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tabRatio="898" activeTab="10"/>
  </bookViews>
  <sheets>
    <sheet name="A马、列、毛、邓" sheetId="14" r:id="rId1"/>
    <sheet name="B  哲学、宗教" sheetId="9" r:id="rId2"/>
    <sheet name="C 社会科学总论" sheetId="13" r:id="rId3"/>
    <sheet name="D  政治、法律" sheetId="8" r:id="rId4"/>
    <sheet name="F 经济" sheetId="3" r:id="rId5"/>
    <sheet name="G 文化、科学、教育、体育" sheetId="10" r:id="rId6"/>
    <sheet name="H 语言" sheetId="11" r:id="rId7"/>
    <sheet name="I 文学" sheetId="6" r:id="rId8"/>
    <sheet name="J 艺术" sheetId="12" r:id="rId9"/>
    <sheet name="K 历史、地理" sheetId="7" r:id="rId10"/>
    <sheet name="T 工业技术" sheetId="2" r:id="rId11"/>
    <sheet name="R 医学" sheetId="5" r:id="rId12"/>
    <sheet name="其他" sheetId="1" r:id="rId13"/>
  </sheets>
  <definedNames>
    <definedName name="_xlnm._FilterDatabase" localSheetId="12" hidden="1">其他!$A$1:$F$1</definedName>
    <definedName name="_xlnm._FilterDatabase" localSheetId="1" hidden="1">'B  哲学、宗教'!$A$1:$F$343</definedName>
  </definedNames>
  <calcPr calcId="144525"/>
</workbook>
</file>

<file path=xl/sharedStrings.xml><?xml version="1.0" encoding="utf-8"?>
<sst xmlns="http://schemas.openxmlformats.org/spreadsheetml/2006/main" count="43120" uniqueCount="15603">
  <si>
    <t>978-7-5117-3882-0</t>
  </si>
  <si>
    <t>马克思恩格斯对经济决定论的批判及其当代价值研究</t>
  </si>
  <si>
    <t>刘菲菲, 郝继松</t>
  </si>
  <si>
    <t>中央编译出版社</t>
  </si>
  <si>
    <t>A811.63/27</t>
  </si>
  <si>
    <t>978-7-5150-2515-5</t>
  </si>
  <si>
    <t>科学社会主义入门: 《社会主义从空想到科学的发展》导读</t>
  </si>
  <si>
    <t>刘海涛</t>
  </si>
  <si>
    <t>国家行政学院出版社</t>
  </si>
  <si>
    <t>A811.24/27</t>
  </si>
  <si>
    <t>978-7-201-17693-2</t>
  </si>
  <si>
    <t>马克思美好生活观及其当代启示</t>
  </si>
  <si>
    <t>肖冬梅</t>
  </si>
  <si>
    <t>天津人民出版社</t>
  </si>
  <si>
    <t>A811.64/82</t>
  </si>
  <si>
    <t>978-7-5620-9633-7</t>
  </si>
  <si>
    <t>新时代青年学子的使命和责任: 培养法大青年马克思主义者之力行篇</t>
  </si>
  <si>
    <t>张永然, 阮广宇</t>
  </si>
  <si>
    <t>中国政法大学出版社</t>
  </si>
  <si>
    <t>A81/940</t>
  </si>
  <si>
    <t>978-7-300-29113-0</t>
  </si>
  <si>
    <t>马克思主义信仰研究</t>
  </si>
  <si>
    <t>刘建军</t>
  </si>
  <si>
    <t>中国人民大学出版社</t>
  </si>
  <si>
    <t>A81/941</t>
  </si>
  <si>
    <t>978-7-5166-5825-3</t>
  </si>
  <si>
    <t>马克思主义经典著作导读</t>
  </si>
  <si>
    <t>张军</t>
  </si>
  <si>
    <t>新华出版社</t>
  </si>
  <si>
    <t>A811/20</t>
  </si>
  <si>
    <t>978-7-214-25509-9</t>
  </si>
  <si>
    <t>恩格斯研究指南</t>
  </si>
  <si>
    <t>张亮, 刘冰菁</t>
  </si>
  <si>
    <t>江苏人民出版社</t>
  </si>
  <si>
    <t>A811.63/28</t>
  </si>
  <si>
    <t>978-7-5520-3691-6</t>
  </si>
  <si>
    <t>新时代领导干部马克思主义信仰教育</t>
  </si>
  <si>
    <t>陈胜云</t>
  </si>
  <si>
    <t>上海社会科学院出版社</t>
  </si>
  <si>
    <t>A81/942</t>
  </si>
  <si>
    <t>978-7-01-023487-8</t>
  </si>
  <si>
    <t>《资本论》中的社会公正观研究</t>
  </si>
  <si>
    <t>童萍</t>
  </si>
  <si>
    <t>人民出版社</t>
  </si>
  <si>
    <t>A811.23/59</t>
  </si>
  <si>
    <t>978-7-5201-8570-7</t>
  </si>
  <si>
    <t>新时代马克思主义论丛. 2021年第1期 总第5期</t>
  </si>
  <si>
    <t>唐昆雄, 欧阳恩良</t>
  </si>
  <si>
    <t>社会科学文献出版社</t>
  </si>
  <si>
    <t>A81/917/5</t>
  </si>
  <si>
    <t>978-7-220-12047-3</t>
  </si>
  <si>
    <t>“南方谈话”从何处来: 追寻邓小平的思想轨迹</t>
  </si>
  <si>
    <t>周锟</t>
  </si>
  <si>
    <t>四川人民出版社</t>
  </si>
  <si>
    <t>A849/73</t>
  </si>
  <si>
    <t>978-7-5115-6808-3</t>
  </si>
  <si>
    <t>新时代马克思主义信仰教育研究</t>
  </si>
  <si>
    <t>徐秦法</t>
  </si>
  <si>
    <t>人民日报出版社</t>
  </si>
  <si>
    <t>A81/943</t>
  </si>
  <si>
    <t>978-7-220-11698-8</t>
  </si>
  <si>
    <t>邓小平的智慧</t>
  </si>
  <si>
    <t>曹应旺</t>
  </si>
  <si>
    <t>A849/74</t>
  </si>
  <si>
    <t>978-7-220-12143-2</t>
  </si>
  <si>
    <t>毛泽东与十大元帅</t>
  </si>
  <si>
    <t>古越</t>
  </si>
  <si>
    <t>A752/348</t>
  </si>
  <si>
    <t>978-7-207-11898-1</t>
  </si>
  <si>
    <t>毛泽东与中国特色社会主义制度建立研究</t>
  </si>
  <si>
    <t>张纯</t>
  </si>
  <si>
    <t>黑龙江人民出版社</t>
  </si>
  <si>
    <t>A84/104</t>
  </si>
  <si>
    <t>978-7-205-10276-0</t>
  </si>
  <si>
    <t>马克思哲学视域下人工自然研究</t>
  </si>
  <si>
    <t>张蕾</t>
  </si>
  <si>
    <t>辽宁人民出版社</t>
  </si>
  <si>
    <t>A811.693/8</t>
  </si>
  <si>
    <t>978-7-207-11837-0</t>
  </si>
  <si>
    <t>马克思主义社会进步观研究</t>
  </si>
  <si>
    <t>周晓光</t>
  </si>
  <si>
    <t>A811.64/83</t>
  </si>
  <si>
    <t>978-7-207-12055-7</t>
  </si>
  <si>
    <t>马克思的资本逻辑批判理论及其当代回响</t>
  </si>
  <si>
    <t>刘严宁</t>
  </si>
  <si>
    <t>A811.66/30</t>
  </si>
  <si>
    <t>978-7-205-09936-7</t>
  </si>
  <si>
    <t>《家庭、私有制和国家的起源》李膺扬译本考</t>
  </si>
  <si>
    <t>刘曙辉</t>
  </si>
  <si>
    <t>A811.24/28</t>
  </si>
  <si>
    <t>978-7-205-09869-8</t>
  </si>
  <si>
    <t>《社会主义从空想到科学的发展》博古译本考</t>
  </si>
  <si>
    <t>李楠明</t>
  </si>
  <si>
    <t>A811.24/29</t>
  </si>
  <si>
    <t>978-7-205-09939-8</t>
  </si>
  <si>
    <t>《共产党宣言》华岗译本考</t>
  </si>
  <si>
    <t>杨哲</t>
  </si>
  <si>
    <t>A811.22/24</t>
  </si>
  <si>
    <t>978-7-205-10130-5</t>
  </si>
  <si>
    <t>《反杜林论》钱铁如译本考</t>
  </si>
  <si>
    <t>李劲</t>
  </si>
  <si>
    <t>A811.24/30</t>
  </si>
  <si>
    <t>978-7-205-10158-9</t>
  </si>
  <si>
    <t>《自然辩证法》陆一远节译本考</t>
  </si>
  <si>
    <t>付少杰, 孙建茵</t>
  </si>
  <si>
    <t>A811.24/31</t>
  </si>
  <si>
    <t>978-7-205-09937-4</t>
  </si>
  <si>
    <t>《国家与革命》莫师古译本考</t>
  </si>
  <si>
    <t>文长春</t>
  </si>
  <si>
    <t>A821.25/5</t>
  </si>
  <si>
    <t>978-7-205-09988-6</t>
  </si>
  <si>
    <t>《德国的革命和反革命》王右铭、柯柏年译本考</t>
  </si>
  <si>
    <t>杨须爱</t>
  </si>
  <si>
    <t>A811.22/25</t>
  </si>
  <si>
    <t>978-7-205-10033-9</t>
  </si>
  <si>
    <t>《恩格斯论 &lt;资本论&gt;》章汉夫、许涤新译本考</t>
  </si>
  <si>
    <t>李福岩</t>
  </si>
  <si>
    <t>A811.23/60</t>
  </si>
  <si>
    <t>978-7-205-09915-2</t>
  </si>
  <si>
    <t>《怎么办? 》唯真译本考</t>
  </si>
  <si>
    <t>胡兵</t>
  </si>
  <si>
    <t>A821/8</t>
  </si>
  <si>
    <t>978-7-205-10144-2</t>
  </si>
  <si>
    <t>《关于自由贸易问题的演说》邹锺隐译本考</t>
  </si>
  <si>
    <t>杨兴业</t>
  </si>
  <si>
    <t>A811.22/26</t>
  </si>
  <si>
    <t>978-7-01-023731-2</t>
  </si>
  <si>
    <t>马克思 恩格斯报刊活动年表</t>
  </si>
  <si>
    <t>童兵, 郑保卫</t>
  </si>
  <si>
    <t>A712/11</t>
  </si>
  <si>
    <t>978-7-01-023939-2</t>
  </si>
  <si>
    <t>多元文化场域下马克思主义意识形态话语权建设论</t>
  </si>
  <si>
    <t>张国臣, 邵发军</t>
  </si>
  <si>
    <t>A811.63/29</t>
  </si>
  <si>
    <t>978-7-01-019826-2</t>
  </si>
  <si>
    <t>马克思政治经济学批判的历史意义与时代价值</t>
  </si>
  <si>
    <t>户晓坤</t>
  </si>
  <si>
    <t>A811.22/27</t>
  </si>
  <si>
    <t>978-7-300-27797-4</t>
  </si>
  <si>
    <t>一位“85后”的马克思主义观</t>
  </si>
  <si>
    <t>陈先达</t>
  </si>
  <si>
    <t>A81-53/3</t>
  </si>
  <si>
    <t>978-7-5561-2728-3</t>
  </si>
  <si>
    <t>共产党宣言: 名家导读</t>
  </si>
  <si>
    <t>艾四林, 曲伟杰</t>
  </si>
  <si>
    <t>湖南人民出版社</t>
  </si>
  <si>
    <t>A811.22/28</t>
  </si>
  <si>
    <t>978-7-108-07325-9</t>
  </si>
  <si>
    <t>读懂毛泽东的关键词</t>
  </si>
  <si>
    <t>杨明伟</t>
  </si>
  <si>
    <t>三联书店</t>
  </si>
  <si>
    <t>A755/23</t>
  </si>
  <si>
    <t>978-7-5115-6759-8</t>
  </si>
  <si>
    <t>马克思主义基本原理十讲</t>
  </si>
  <si>
    <t>新疆大学马克思主义学院</t>
  </si>
  <si>
    <t>A81/944</t>
  </si>
  <si>
    <t>978-7-300-28378-4</t>
  </si>
  <si>
    <t>马克思与青年</t>
  </si>
  <si>
    <t>张晓萌</t>
  </si>
  <si>
    <t>A81/945</t>
  </si>
  <si>
    <t>978-7-300-28957-1</t>
  </si>
  <si>
    <t>再读《资本论》</t>
  </si>
  <si>
    <t>(德) 英戈·施密特, (加) 卡洛·法内利</t>
  </si>
  <si>
    <t>A811.23/61</t>
  </si>
  <si>
    <t>978-7-300-28078-3</t>
  </si>
  <si>
    <t>马克思政治哲学引论</t>
  </si>
  <si>
    <t>臧峰宇</t>
  </si>
  <si>
    <t>A811.64/84</t>
  </si>
  <si>
    <t>978-7-300-28222-0</t>
  </si>
  <si>
    <t>马克思与异化: 关于黑格尔主题的论述</t>
  </si>
  <si>
    <t>(英) 肖恩·塞耶斯</t>
  </si>
  <si>
    <t>A811.63/30</t>
  </si>
  <si>
    <t>978-7-205-10138-1</t>
  </si>
  <si>
    <t>《暴力在历史中的作用》曹汀译本考</t>
  </si>
  <si>
    <t>吴兴德</t>
  </si>
  <si>
    <t>A811.24/32</t>
  </si>
  <si>
    <t>978-7-5117-3895-0</t>
  </si>
  <si>
    <t>解释学视角的《资本论》经济哲学研究</t>
  </si>
  <si>
    <t>王维平</t>
  </si>
  <si>
    <t>A811.23/62</t>
  </si>
  <si>
    <t>978-7-5561-2360-5</t>
  </si>
  <si>
    <t>共产党宣言</t>
  </si>
  <si>
    <t>马克思, 恩格斯</t>
  </si>
  <si>
    <t>A122/15</t>
  </si>
  <si>
    <t>978-7-5117-3909-4</t>
  </si>
  <si>
    <t>A122/16</t>
  </si>
  <si>
    <t>978-7-301-32458-5</t>
  </si>
  <si>
    <t>马克思“人类学笔记”研究: 前沿问题探讨</t>
  </si>
  <si>
    <t>林锋</t>
  </si>
  <si>
    <t>北京大学出版社</t>
  </si>
  <si>
    <t>A811/21</t>
  </si>
  <si>
    <t>978-7-205-09996-1</t>
  </si>
  <si>
    <t>《哲学笔记》曹葆华节译本考</t>
  </si>
  <si>
    <t>A821.24/4</t>
  </si>
  <si>
    <t>978-7-302-59343-0</t>
  </si>
  <si>
    <t>学前儿童发展心理学</t>
  </si>
  <si>
    <t>成丹丹, 龙琴, 常伟苹</t>
  </si>
  <si>
    <t>清华大学出版社</t>
  </si>
  <si>
    <t>B844.12/9</t>
  </si>
  <si>
    <t>978-7-5217-3275-7</t>
  </si>
  <si>
    <t>呼吸. 03. 后退一步</t>
  </si>
  <si>
    <t>英国Breathe辑部</t>
  </si>
  <si>
    <t>中信出版集团股份有限公司</t>
  </si>
  <si>
    <t>B821/1511/3</t>
  </si>
  <si>
    <t>978-7-5217-2901-6</t>
  </si>
  <si>
    <t>生命的意义</t>
  </si>
  <si>
    <t>(美) 威尔·杜兰特</t>
  </si>
  <si>
    <t>B083/55</t>
  </si>
  <si>
    <t>978-7-5570-1313-4</t>
  </si>
  <si>
    <t>冲突背后的冲突: 解读我们内心的俄狄浦斯三角</t>
  </si>
  <si>
    <t>张天布</t>
  </si>
  <si>
    <t>广东旅游出版社</t>
  </si>
  <si>
    <t>B84-065/58</t>
  </si>
  <si>
    <t>978-7-115-54008-9</t>
  </si>
  <si>
    <t>深度玩转思维导图+: 掌握思维导图的88次刻意练习与20个应用场景</t>
  </si>
  <si>
    <t>马芷子, 徐斌</t>
  </si>
  <si>
    <t>人民邮电出版社</t>
  </si>
  <si>
    <t>B804/222</t>
  </si>
  <si>
    <t>978-7-101-14804-6</t>
  </si>
  <si>
    <t>註解正蒙</t>
  </si>
  <si>
    <t>(清) 李光地撰</t>
  </si>
  <si>
    <t>中華書局</t>
  </si>
  <si>
    <t>B244.45/9</t>
  </si>
  <si>
    <t>978-7-5075-5482-3</t>
  </si>
  <si>
    <t>庄子: 站在人生边上</t>
  </si>
  <si>
    <t>刘冬颖</t>
  </si>
  <si>
    <t>华文出版社</t>
  </si>
  <si>
    <t>B223.5/25</t>
  </si>
  <si>
    <t>978-7-115-57602-6</t>
  </si>
  <si>
    <t>65种微习惯: 轻松掌控你的行为、思维和情绪</t>
  </si>
  <si>
    <t>(日) 古川武士</t>
  </si>
  <si>
    <t>B842.6/948</t>
  </si>
  <si>
    <t>978-7-302-57211-4</t>
  </si>
  <si>
    <t>美与公正</t>
  </si>
  <si>
    <t>(美) 伊莱恩·斯凯瑞</t>
  </si>
  <si>
    <t>B83-0/22</t>
  </si>
  <si>
    <t>978-7-5692-9109-4</t>
  </si>
  <si>
    <t>新时代大学生马克思主义哲学教育研究</t>
  </si>
  <si>
    <t>张明娜</t>
  </si>
  <si>
    <t>吉林大学出版社</t>
  </si>
  <si>
    <t>B0-0/102</t>
  </si>
  <si>
    <t>978-7-5692-8938-1</t>
  </si>
  <si>
    <t>“无”的智慧: 基于道家哲学的研究</t>
  </si>
  <si>
    <t>周春兰</t>
  </si>
  <si>
    <t>B223.05/35</t>
  </si>
  <si>
    <t>978-7-214-13387-8</t>
  </si>
  <si>
    <t>中国社会中的宗教与仪式</t>
  </si>
  <si>
    <t>(美) 武雅士</t>
  </si>
  <si>
    <t>B92/31</t>
  </si>
  <si>
    <t>978-7-115-57668-2</t>
  </si>
  <si>
    <t>学习敏锐度: 7步实现复利式成长</t>
  </si>
  <si>
    <t>瑞米</t>
  </si>
  <si>
    <t>B848.4/4090</t>
  </si>
  <si>
    <t>978-7-111-69102-0</t>
  </si>
  <si>
    <t>底层逻辑: 看清这个世界的底牌</t>
  </si>
  <si>
    <t>刘润</t>
  </si>
  <si>
    <t>机械工业出版社</t>
  </si>
  <si>
    <t>B848.4/4091</t>
  </si>
  <si>
    <t>978-7-200-13560-2</t>
  </si>
  <si>
    <t>佛教常识答问</t>
  </si>
  <si>
    <t>赵朴初</t>
  </si>
  <si>
    <t>北京出版社</t>
  </si>
  <si>
    <t>B94/79</t>
  </si>
  <si>
    <t>978-7-200-14786-5</t>
  </si>
  <si>
    <t>周易简要</t>
  </si>
  <si>
    <t>李镜池</t>
  </si>
  <si>
    <t>B221.2/67</t>
  </si>
  <si>
    <t>978-7-305-22682-3</t>
  </si>
  <si>
    <t>现代性</t>
  </si>
  <si>
    <t>汪民安</t>
  </si>
  <si>
    <t>南京大学出版社</t>
  </si>
  <si>
    <t>B089/105</t>
  </si>
  <si>
    <t>978-7-5446-5837-9</t>
  </si>
  <si>
    <t>解析罗兰·巴特《神话学》</t>
  </si>
  <si>
    <t>John M. Gomez</t>
  </si>
  <si>
    <t>上海外语教育出版社</t>
  </si>
  <si>
    <t>B932/37</t>
  </si>
  <si>
    <t>978-7-305-24710-1</t>
  </si>
  <si>
    <t>身体、空间与后现代性</t>
  </si>
  <si>
    <t>B089/77-2</t>
  </si>
  <si>
    <t>978-7-313-25280-7</t>
  </si>
  <si>
    <t>专注力与正念赋能: 摆脱信息上瘾, 提升人生核心竞争力</t>
  </si>
  <si>
    <t>徐天石</t>
  </si>
  <si>
    <t>上海交通大学出版社</t>
  </si>
  <si>
    <t>B821/1512</t>
  </si>
  <si>
    <t>978-7-03-069907-7</t>
  </si>
  <si>
    <t>十大文献综述: 妙理与实例</t>
  </si>
  <si>
    <t>黄忠廉, 刘丽芬</t>
  </si>
  <si>
    <t>科学出版社</t>
  </si>
  <si>
    <t>C-49/2</t>
  </si>
  <si>
    <t>978-7-5719-1223-9</t>
  </si>
  <si>
    <t>SPSS数据分析与应用</t>
  </si>
  <si>
    <t>熊章波, 宋秋前</t>
  </si>
  <si>
    <t>黑龙江科学技术出版社</t>
  </si>
  <si>
    <t>C819/122</t>
  </si>
  <si>
    <t>978-7-100-18649-0</t>
  </si>
  <si>
    <t>反思与自反: 反身性视野下的社会学与风险社会</t>
  </si>
  <si>
    <t>肖瑛</t>
  </si>
  <si>
    <t>商务印书馆</t>
  </si>
  <si>
    <t>C91/210</t>
  </si>
  <si>
    <t>978-7-5217-2656-5</t>
  </si>
  <si>
    <t>人为何物: 进化的逻辑</t>
  </si>
  <si>
    <t>王一江</t>
  </si>
  <si>
    <t>C912.1/1231</t>
  </si>
  <si>
    <t>978-7-5117-3850-9</t>
  </si>
  <si>
    <t>现代社会关系视域下的马克思主义人学研究</t>
  </si>
  <si>
    <t>张治库</t>
  </si>
  <si>
    <t>C912.1/1232</t>
  </si>
  <si>
    <t>978-7-5096-7962-3</t>
  </si>
  <si>
    <t>多层次的领导—部属交换与帮助行为的关系研究: 社会交换视角</t>
  </si>
  <si>
    <t>刘蕴</t>
  </si>
  <si>
    <t>经济管理出版社</t>
  </si>
  <si>
    <t>C912.11/432</t>
  </si>
  <si>
    <t>978-7-5594-4883-5</t>
  </si>
  <si>
    <t>从容社交: 有效的沟通法则</t>
  </si>
  <si>
    <t>高原</t>
  </si>
  <si>
    <t>江苏凤凰文艺出版社</t>
  </si>
  <si>
    <t>C912.11/433</t>
  </si>
  <si>
    <t>978-7-5154-1023-4</t>
  </si>
  <si>
    <t>向上沟通的艺术: 九问式问题锤, 打通向上沟通的路径</t>
  </si>
  <si>
    <t>陈萍</t>
  </si>
  <si>
    <t>当代中国出版社</t>
  </si>
  <si>
    <t>C912.11/434</t>
  </si>
  <si>
    <t>978-7-5217-2305-2</t>
  </si>
  <si>
    <t>亲密关系管理: 如何理性应对亲密关系中的冲突</t>
  </si>
  <si>
    <t>陈历杰</t>
  </si>
  <si>
    <t>C912.11/435</t>
  </si>
  <si>
    <t>978-7-5596-3977-6</t>
  </si>
  <si>
    <t>说出灿烂人生: 跟著名主持人学沟通</t>
  </si>
  <si>
    <t>冯殊</t>
  </si>
  <si>
    <t>北京联合出版公司</t>
  </si>
  <si>
    <t>C912.11/436</t>
  </si>
  <si>
    <t>978-7-114-16343-2</t>
  </si>
  <si>
    <t>生活需要界限感</t>
  </si>
  <si>
    <t>景天</t>
  </si>
  <si>
    <t>人民交通出版社股份有限公司</t>
  </si>
  <si>
    <t>C912.11/437</t>
  </si>
  <si>
    <t>978-7-5113-8346-4</t>
  </si>
  <si>
    <t>人际交往心理学</t>
  </si>
  <si>
    <t>黄青翔</t>
  </si>
  <si>
    <t>中国华侨出版社</t>
  </si>
  <si>
    <t>C912.11/438</t>
  </si>
  <si>
    <t>978-7-5546-1394-8</t>
  </si>
  <si>
    <t>人际关系心理学</t>
  </si>
  <si>
    <t>元心语</t>
  </si>
  <si>
    <t>古吴轩出版社</t>
  </si>
  <si>
    <t>C912.11/439</t>
  </si>
  <si>
    <t>978-7-5699-3446-5</t>
  </si>
  <si>
    <t>矛盾</t>
  </si>
  <si>
    <t>李昊轩</t>
  </si>
  <si>
    <t>北京时代华文书局</t>
  </si>
  <si>
    <t>C912.11/440</t>
  </si>
  <si>
    <t>978-7-5761-0160-7</t>
  </si>
  <si>
    <t>社交礼仪</t>
  </si>
  <si>
    <t>张学林, 王嘉文, 王磊</t>
  </si>
  <si>
    <t>燕山大学出版社</t>
  </si>
  <si>
    <t>C912.12/26</t>
  </si>
  <si>
    <t>978-7-5108-8840-3</t>
  </si>
  <si>
    <t>认知礼仪</t>
  </si>
  <si>
    <t>王美春</t>
  </si>
  <si>
    <t>九州出版社</t>
  </si>
  <si>
    <t>C912.12/27</t>
  </si>
  <si>
    <t>978-7-5143-9227-2</t>
  </si>
  <si>
    <t>化解冲突: 有效沟通七大黄金法则</t>
  </si>
  <si>
    <t>(英) 路易莎·温斯坦</t>
  </si>
  <si>
    <t>现代出版社</t>
  </si>
  <si>
    <t>C912.13/73</t>
  </si>
  <si>
    <t>978-7-5496-3487-3</t>
  </si>
  <si>
    <t>场景致辞与即兴发言</t>
  </si>
  <si>
    <t>卢敬天</t>
  </si>
  <si>
    <t>文汇出版社</t>
  </si>
  <si>
    <t>C912.13/74</t>
  </si>
  <si>
    <t>978-7-5576-6682-8</t>
  </si>
  <si>
    <t>心理学与口才</t>
  </si>
  <si>
    <t>萧杰</t>
  </si>
  <si>
    <t>天津科学技术出版社</t>
  </si>
  <si>
    <t>C912.13/75</t>
  </si>
  <si>
    <t>978-7-5103-3636-2</t>
  </si>
  <si>
    <t>大学生人际交往理论分析与实践探索</t>
  </si>
  <si>
    <t>刘晓燕</t>
  </si>
  <si>
    <t>中国商务出版社</t>
  </si>
  <si>
    <t>C912.15/7</t>
  </si>
  <si>
    <t>978-7-5130-7433-9</t>
  </si>
  <si>
    <t>嵌入与内生: 我国社会组织专业人才生长机制研究</t>
  </si>
  <si>
    <t>陈书洁</t>
  </si>
  <si>
    <t>知识产权出版社</t>
  </si>
  <si>
    <t>C912.2/203</t>
  </si>
  <si>
    <t>978-7-03-069418-8</t>
  </si>
  <si>
    <t>面向共识的群体评价理论与方法</t>
  </si>
  <si>
    <t>董庆兴</t>
  </si>
  <si>
    <t>C912.2/204</t>
  </si>
  <si>
    <t>978-7-5201-8779-4</t>
  </si>
  <si>
    <t>创业型非营利组织: 社会企业家的战略工具</t>
  </si>
  <si>
    <t>(美) J.格雷戈里·迪斯, 杰德·艾默生, 彼得·伊卡诺米</t>
  </si>
  <si>
    <t>C912.21/17</t>
  </si>
  <si>
    <t>978-7-03-067180-6</t>
  </si>
  <si>
    <t>社会网络分析: 软计算方法及应用</t>
  </si>
  <si>
    <t>郝飞</t>
  </si>
  <si>
    <t>C912.3/339</t>
  </si>
  <si>
    <t>978-7-5411-5925-1</t>
  </si>
  <si>
    <t>线上社交超级沟通术</t>
  </si>
  <si>
    <t>林特特</t>
  </si>
  <si>
    <t>四川文艺出版社</t>
  </si>
  <si>
    <t>C912.3/340</t>
  </si>
  <si>
    <t>978-7-5546-1608-6</t>
  </si>
  <si>
    <t>社交恐惧心理学</t>
  </si>
  <si>
    <t>黎瑞芳</t>
  </si>
  <si>
    <t>C912.3/341</t>
  </si>
  <si>
    <t>978-7-300-28595-5</t>
  </si>
  <si>
    <t>对世界说话: 公共关系与传播</t>
  </si>
  <si>
    <t xml:space="preserve">(美) 丹尼斯·L. 威尔科克斯 ...  </t>
  </si>
  <si>
    <t>C912.31/64</t>
  </si>
  <si>
    <t>978-7-5194-5975-8</t>
  </si>
  <si>
    <t>课程思政视阈下案例教学德育价值探析: 公共关系学案例示范</t>
  </si>
  <si>
    <t>王力, 余苏珍</t>
  </si>
  <si>
    <t>光明日报出版社</t>
  </si>
  <si>
    <t>C912.31/65</t>
  </si>
  <si>
    <t>978-7-5208-1701-1</t>
  </si>
  <si>
    <t>谈判心理学</t>
  </si>
  <si>
    <t>董道军</t>
  </si>
  <si>
    <t>中国商业出版社</t>
  </si>
  <si>
    <t>C912.35/64</t>
  </si>
  <si>
    <t>978-7-5690-3991-7</t>
  </si>
  <si>
    <t>现代谈判策略与技巧</t>
  </si>
  <si>
    <t>姚凤云, 朱海凤, 戴国宝</t>
  </si>
  <si>
    <t>四川大学出版社</t>
  </si>
  <si>
    <t>C912.35/65</t>
  </si>
  <si>
    <t>978-7-03-068998-6</t>
  </si>
  <si>
    <t>谈判交际博弈论</t>
  </si>
  <si>
    <t>蒋涌</t>
  </si>
  <si>
    <t>C912.35/66</t>
  </si>
  <si>
    <t>978-7-115-56348-4</t>
  </si>
  <si>
    <t>如何成为谈判专家: 快速掌握谈判心理学和谈判软技能</t>
  </si>
  <si>
    <t>(英) 西蒙·霍尔顿</t>
  </si>
  <si>
    <t>C912.35/67</t>
  </si>
  <si>
    <t>978-7-5432-2963-1</t>
  </si>
  <si>
    <t>人类行为与社会环境</t>
  </si>
  <si>
    <t>韩晓燕, 朱晨海</t>
  </si>
  <si>
    <t>格致出版社</t>
  </si>
  <si>
    <t>C912.4/10=2D</t>
  </si>
  <si>
    <t>978-7-5536-9558-7</t>
  </si>
  <si>
    <t>人类的价值</t>
  </si>
  <si>
    <t>(美) 罗伯特·博伊德</t>
  </si>
  <si>
    <t>浙江教育出版社</t>
  </si>
  <si>
    <t>C912.4/100</t>
  </si>
  <si>
    <t>978-7-5075-5314-7</t>
  </si>
  <si>
    <t>极简人类史</t>
  </si>
  <si>
    <t>(美) 海斯, 穆恩, 韦兰</t>
  </si>
  <si>
    <t>C912.4/101</t>
  </si>
  <si>
    <t>978-7-5446-6448-6</t>
  </si>
  <si>
    <t>解析马塞尔·莫斯《礼物》</t>
  </si>
  <si>
    <t>Elizabeth Whitaker</t>
  </si>
  <si>
    <t>C912.4/102</t>
  </si>
  <si>
    <t>978-7-5446-5871-3</t>
  </si>
  <si>
    <t>解析大卫·休谟《人类理解研究》</t>
  </si>
  <si>
    <t>Michael O''sullivan</t>
  </si>
  <si>
    <t>C912.4/103</t>
  </si>
  <si>
    <t>978-7-300-30024-5</t>
  </si>
  <si>
    <t>情境中的知识: 表征、社群与文化</t>
  </si>
  <si>
    <t>(英) 桑德拉·约夫切洛维奇</t>
  </si>
  <si>
    <t>C912.6/144</t>
  </si>
  <si>
    <t>978-7-5692-7300-7</t>
  </si>
  <si>
    <t>社会心理学的多维探索与拓展研究</t>
  </si>
  <si>
    <t>段晓婧</t>
  </si>
  <si>
    <t>C912.6/145</t>
  </si>
  <si>
    <t>978-7-5630-7252-1</t>
  </si>
  <si>
    <t>社会心理学对分教程</t>
  </si>
  <si>
    <t>陈伟涛</t>
  </si>
  <si>
    <t>河海大学出版社</t>
  </si>
  <si>
    <t>C912.6/146</t>
  </si>
  <si>
    <t>978-7-5520-3047-1</t>
  </si>
  <si>
    <t>社会心理学</t>
  </si>
  <si>
    <t>(德) 托比亚斯·格赖特迈尔</t>
  </si>
  <si>
    <t>C912.6/147</t>
  </si>
  <si>
    <t>978-7-300-28960-1</t>
  </si>
  <si>
    <t>人性实验: 改变社会心理学的28项研究</t>
  </si>
  <si>
    <t>(美) 库尔特·P. 弗雷, 艾登·P. 格雷格</t>
  </si>
  <si>
    <t>C912.6/148</t>
  </si>
  <si>
    <t>978-7-01-021462-7</t>
  </si>
  <si>
    <t>跨文化心理学研究方法</t>
  </si>
  <si>
    <t>(美) 大卫·松本, (荷) 芬斯·J. R.范德维耶弗</t>
  </si>
  <si>
    <t>C912.6/149</t>
  </si>
  <si>
    <t>978-7-307-18078-9</t>
  </si>
  <si>
    <t>真相</t>
  </si>
  <si>
    <t>(美) 玛丽安·卡琳奇</t>
  </si>
  <si>
    <t>武汉大学出版社</t>
  </si>
  <si>
    <t>C912.6/150</t>
  </si>
  <si>
    <t>978-7-300-28793-5</t>
  </si>
  <si>
    <t>偏见</t>
  </si>
  <si>
    <t>(英) 鲁珀特·布朗</t>
  </si>
  <si>
    <t>C912.62/4</t>
  </si>
  <si>
    <t>978-7-300-27774-5</t>
  </si>
  <si>
    <t>压力: 评价与应对</t>
  </si>
  <si>
    <t>(美) 理查德·拉扎勒斯, 苏珊·福尔克曼</t>
  </si>
  <si>
    <t>C912.62/5</t>
  </si>
  <si>
    <t>978-7-5115-7059-8</t>
  </si>
  <si>
    <t>舆论学在中国的发展: 理论学说、时代演进与实践应用</t>
  </si>
  <si>
    <t>喻国明, 耿晓梦, 潘佳宝</t>
  </si>
  <si>
    <t>C912.63/15</t>
  </si>
  <si>
    <t>978-7-5115-6318-7</t>
  </si>
  <si>
    <t>转型时期社会情绪调适与舆论引导研究</t>
  </si>
  <si>
    <t>孔德明</t>
  </si>
  <si>
    <t>C912.63/16</t>
  </si>
  <si>
    <t>978-7-5096-7506-9</t>
  </si>
  <si>
    <t>乌合之众: 群体心理学</t>
  </si>
  <si>
    <t>(法) 居斯塔夫·勒庞</t>
  </si>
  <si>
    <t>C912.64/19-2</t>
  </si>
  <si>
    <t>978-7-5594-4514-8</t>
  </si>
  <si>
    <t>乌合之众: 大众心理研究</t>
  </si>
  <si>
    <t>(法) 古斯塔夫·勒庞</t>
  </si>
  <si>
    <t>C912.64/23-2</t>
  </si>
  <si>
    <t>978-7-218-14310-1</t>
  </si>
  <si>
    <t>乌合之众</t>
  </si>
  <si>
    <t>广东人民出版社</t>
  </si>
  <si>
    <t>C912.64/33-2</t>
  </si>
  <si>
    <t>978-7-5217-2880-4</t>
  </si>
  <si>
    <t>新乌合之众</t>
  </si>
  <si>
    <t>(法) 迈赫迪·穆萨伊德</t>
  </si>
  <si>
    <t>C912.64/39</t>
  </si>
  <si>
    <t>978-7-5096-8112-1</t>
  </si>
  <si>
    <t>群体应激心理与行为传播建模及管理研究</t>
  </si>
  <si>
    <t>陈光华</t>
  </si>
  <si>
    <t>C912.64/40</t>
  </si>
  <si>
    <t>978-7-5201-9056-5</t>
  </si>
  <si>
    <t>知识与社会的交互建构: 知识社会学的解释传统探析</t>
  </si>
  <si>
    <t>李路彬</t>
  </si>
  <si>
    <t>C912.67/7</t>
  </si>
  <si>
    <t>978-7-5682-8563-6</t>
  </si>
  <si>
    <t>地球简史</t>
  </si>
  <si>
    <t>(美) 亨德里克·威廉·房龙</t>
  </si>
  <si>
    <t>北京理工大学出版社</t>
  </si>
  <si>
    <t>C912.8/23</t>
  </si>
  <si>
    <t>978-7-5130-6170-4</t>
  </si>
  <si>
    <t>“文化创意+”产城融合发展</t>
  </si>
  <si>
    <t>周瑜, 刘春成</t>
  </si>
  <si>
    <t>C912.81/116</t>
  </si>
  <si>
    <t>978-7-5559-1108-1</t>
  </si>
  <si>
    <t>乡土中国</t>
  </si>
  <si>
    <t>费孝通</t>
  </si>
  <si>
    <t>河南文艺出版社</t>
  </si>
  <si>
    <t>C912.82/58</t>
  </si>
  <si>
    <t>978-7-5444-9853-1</t>
  </si>
  <si>
    <t>中国乡村社会史名篇精读</t>
  </si>
  <si>
    <t>常建华</t>
  </si>
  <si>
    <t>上海教育出版社</t>
  </si>
  <si>
    <t>C912.82-53/5</t>
  </si>
  <si>
    <t>978-7-5681-6639-3</t>
  </si>
  <si>
    <t>教育关怀: 生涯与职业发展</t>
  </si>
  <si>
    <t>谷峪</t>
  </si>
  <si>
    <t>东北师范大学出版社</t>
  </si>
  <si>
    <t>C913.2/450</t>
  </si>
  <si>
    <t>978-7-111-69298-0</t>
  </si>
  <si>
    <t>休闲与旅游学概论</t>
  </si>
  <si>
    <t>黄安民</t>
  </si>
  <si>
    <t>C913.3/78=2D</t>
  </si>
  <si>
    <t>978-7-5101-6927-4</t>
  </si>
  <si>
    <t>世界人口老龄化对中国的启示</t>
  </si>
  <si>
    <t>丁志宏</t>
  </si>
  <si>
    <t>中国人口出版社</t>
  </si>
  <si>
    <t>C913.6/26</t>
  </si>
  <si>
    <t>978-7-305-24080-5</t>
  </si>
  <si>
    <t>初为人母</t>
  </si>
  <si>
    <t>(英) 安·奥克利</t>
  </si>
  <si>
    <t>C913.68/80</t>
  </si>
  <si>
    <t>978-7-301-31903-1</t>
  </si>
  <si>
    <t>管理学通论</t>
  </si>
  <si>
    <t>胡川, 李绍和</t>
  </si>
  <si>
    <t>C93/971=3D</t>
  </si>
  <si>
    <t>978-7-5581-9603-4</t>
  </si>
  <si>
    <t>从零开始读懂管理学</t>
  </si>
  <si>
    <t>谢普</t>
  </si>
  <si>
    <t>吉林出版集团股份有限公司</t>
  </si>
  <si>
    <t>C93/972</t>
  </si>
  <si>
    <t>978-7-5654-4392-3</t>
  </si>
  <si>
    <t>管理沟通</t>
  </si>
  <si>
    <t>唐飞</t>
  </si>
  <si>
    <t>东北财经大学出版社</t>
  </si>
  <si>
    <t>C93/973</t>
  </si>
  <si>
    <t>978-7-03-070526-6</t>
  </si>
  <si>
    <t>公文写作方法与实践: 从构思到呈现</t>
  </si>
  <si>
    <t>刘钰</t>
  </si>
  <si>
    <t>C931.46/232</t>
  </si>
  <si>
    <t>978-7-300-26393-9</t>
  </si>
  <si>
    <t>政治为什么重要</t>
  </si>
  <si>
    <t>(美) 凯文·杜利, 约瑟夫·帕滕</t>
  </si>
  <si>
    <t>D0/384</t>
  </si>
  <si>
    <t>978-7-5607-6937-0</t>
  </si>
  <si>
    <t>结构与实践: 普兰查斯政治哲学研究</t>
  </si>
  <si>
    <t>张超</t>
  </si>
  <si>
    <t>山东大学出版社</t>
  </si>
  <si>
    <t>D0/385</t>
  </si>
  <si>
    <t>978-7-200-14134-4</t>
  </si>
  <si>
    <t>政治学大纲</t>
  </si>
  <si>
    <t>张慰慈</t>
  </si>
  <si>
    <t>D0/386</t>
  </si>
  <si>
    <t>978-7-01-023969-9</t>
  </si>
  <si>
    <t>社会主义发展史十二讲</t>
  </si>
  <si>
    <t>曹普</t>
  </si>
  <si>
    <t>D0-0/29</t>
  </si>
  <si>
    <t>978-7-5108-9679-8</t>
  </si>
  <si>
    <t>赵必振译文集: 社会主义学说卷</t>
  </si>
  <si>
    <t>中共常德市鼎城区委党史研究室, 常德市鼎城区赵必振研究会</t>
  </si>
  <si>
    <t>D033.4/20</t>
  </si>
  <si>
    <t>978-7-5166-5984-7</t>
  </si>
  <si>
    <t>权利与公平: 两种权力感的作用</t>
  </si>
  <si>
    <t>王娜</t>
  </si>
  <si>
    <t>D033/45</t>
  </si>
  <si>
    <t>978-7-5192-7794-9</t>
  </si>
  <si>
    <t>融媒体与政府公共关系</t>
  </si>
  <si>
    <t>高萍</t>
  </si>
  <si>
    <t>世界图书出版西安有限公司</t>
  </si>
  <si>
    <t>D035.1/87</t>
  </si>
  <si>
    <t>978-7-5638-3233-0</t>
  </si>
  <si>
    <t>政府公共关系</t>
  </si>
  <si>
    <t>谭昆智, 路月玲, 李春凤</t>
  </si>
  <si>
    <t>首都经济贸易大学出版社</t>
  </si>
  <si>
    <t>D035.1/88</t>
  </si>
  <si>
    <t>978-7-5096-8189-3</t>
  </si>
  <si>
    <t>谦逊型领导与员工主动性的关系研究</t>
  </si>
  <si>
    <t>陈艳虹</t>
  </si>
  <si>
    <t>D035.2/70</t>
  </si>
  <si>
    <t>978-7-5001-6539-2</t>
  </si>
  <si>
    <t>高韧性社会: 应对不确定危机的八种能力</t>
  </si>
  <si>
    <t>周园</t>
  </si>
  <si>
    <t>中译出版社</t>
  </si>
  <si>
    <t>D035.29/20</t>
  </si>
  <si>
    <t>978-7-5653-3943-1</t>
  </si>
  <si>
    <t>警务心理专题研究</t>
  </si>
  <si>
    <t>王淑合, 刘志宏</t>
  </si>
  <si>
    <t>中国人民公安大学出版社</t>
  </si>
  <si>
    <t>D035.3/27</t>
  </si>
  <si>
    <t>978-7-5155-2079-7</t>
  </si>
  <si>
    <t>国家安全情报研究. 上册</t>
  </si>
  <si>
    <t>张薇</t>
  </si>
  <si>
    <t>金城出版社</t>
  </si>
  <si>
    <t>D035.3/28/1</t>
  </si>
  <si>
    <t>国家安全情报研究. 下册</t>
  </si>
  <si>
    <t>D035.3/28/2</t>
  </si>
  <si>
    <t>978-7-5130-7409-4</t>
  </si>
  <si>
    <t>应急信息管理与应急信息行为</t>
  </si>
  <si>
    <t>陈兰杰</t>
  </si>
  <si>
    <t>D035.34/15</t>
  </si>
  <si>
    <t>978-7-200-14144-3</t>
  </si>
  <si>
    <t>市政制度</t>
  </si>
  <si>
    <t>D035.5/23</t>
  </si>
  <si>
    <t>978-7-5638-3281-1</t>
  </si>
  <si>
    <t>行政管理学</t>
  </si>
  <si>
    <t>丁煌</t>
  </si>
  <si>
    <t>D035/137=4D</t>
  </si>
  <si>
    <t>978-7-5096-8021-6</t>
  </si>
  <si>
    <t>公共治理的博弈论研究</t>
  </si>
  <si>
    <t>杨冠琼</t>
  </si>
  <si>
    <t>D035/398</t>
  </si>
  <si>
    <t>978-7-5047-7295-4</t>
  </si>
  <si>
    <t>国家建设型案例开发、培训与管理</t>
  </si>
  <si>
    <t>罗来军</t>
  </si>
  <si>
    <t>中国财富出版社有限公司</t>
  </si>
  <si>
    <t>D035/399</t>
  </si>
  <si>
    <t>978-7-5096-7764-3</t>
  </si>
  <si>
    <t>公共政策学学科前沿研究报告</t>
  </si>
  <si>
    <t>施青军, 刘庆乐, 张剑</t>
  </si>
  <si>
    <t>D035/400</t>
  </si>
  <si>
    <t>978-7-5689-2736-9</t>
  </si>
  <si>
    <t>行政规制的原理与技术</t>
  </si>
  <si>
    <t>徐信贵, 赵谦</t>
  </si>
  <si>
    <t>重庆大学出版社</t>
  </si>
  <si>
    <t>D035/401</t>
  </si>
  <si>
    <t>978-7-306-07236-8</t>
  </si>
  <si>
    <t>王乐夫教授文集</t>
  </si>
  <si>
    <t>王乐夫</t>
  </si>
  <si>
    <t>中山大学出版社</t>
  </si>
  <si>
    <t>D035/402</t>
  </si>
  <si>
    <t>978-7-5517-2427-2</t>
  </si>
  <si>
    <t>公共管理经典理论概要</t>
  </si>
  <si>
    <t>杜宝贵</t>
  </si>
  <si>
    <t>东北大学出版社</t>
  </si>
  <si>
    <t>D035/403</t>
  </si>
  <si>
    <t>978-7-5225-0192-5</t>
  </si>
  <si>
    <t>数字政府: 从数字到智慧的升级路径</t>
  </si>
  <si>
    <t>严谨</t>
  </si>
  <si>
    <t>D035/404</t>
  </si>
  <si>
    <t>978-7-201-16481-6</t>
  </si>
  <si>
    <t>公共政策效果评价研究</t>
  </si>
  <si>
    <t>徐爱好, 王晓霞</t>
  </si>
  <si>
    <t>D035/405</t>
  </si>
  <si>
    <t>978-7-5130-6908-3</t>
  </si>
  <si>
    <t>行政组织学概论</t>
  </si>
  <si>
    <t>史春媛, 郑夏, 颜冰</t>
  </si>
  <si>
    <t>D035/406</t>
  </si>
  <si>
    <t>978-7-5692-6956-7</t>
  </si>
  <si>
    <t>公共管理案例采编的理论与实践</t>
  </si>
  <si>
    <t>孙守相, 付中强</t>
  </si>
  <si>
    <t>D035/407</t>
  </si>
  <si>
    <t>978-7-5484-5992-7</t>
  </si>
  <si>
    <t>危机公关</t>
  </si>
  <si>
    <t>(英) 卡里·库珀, 肖恩·奥米拉</t>
  </si>
  <si>
    <t>哈尔滨出版社</t>
  </si>
  <si>
    <t>D035/408</t>
  </si>
  <si>
    <t>978-7-5697-0882-0</t>
  </si>
  <si>
    <t>MPA学位论文写作技巧</t>
  </si>
  <si>
    <t>刘仁富, 方德成</t>
  </si>
  <si>
    <t>西南师范大学出版社</t>
  </si>
  <si>
    <t>D035/409</t>
  </si>
  <si>
    <t>978-7-5690-4717-2</t>
  </si>
  <si>
    <t>公共管理跨学科研究: 探索与展望</t>
  </si>
  <si>
    <t xml:space="preserve">薛喆 ...  </t>
  </si>
  <si>
    <t>D035-0/12</t>
  </si>
  <si>
    <t>978-7-5504-4247-4</t>
  </si>
  <si>
    <t>卓越绩效模式在法定机构建设中的应用研究</t>
  </si>
  <si>
    <t>林梦笑</t>
  </si>
  <si>
    <t>西南财经大学出版社</t>
  </si>
  <si>
    <t>D035-0/13</t>
  </si>
  <si>
    <t>978-7-5446-5951-2</t>
  </si>
  <si>
    <t>解析约翰·罗尔斯《正义论》</t>
  </si>
  <si>
    <t>Filippo Dionigi, Jeremy Kleidosty</t>
  </si>
  <si>
    <t>D081/63</t>
  </si>
  <si>
    <t>978-7-300-28961-8</t>
  </si>
  <si>
    <t>作为社会建构的人权: 从乌托邦到人类解放</t>
  </si>
  <si>
    <t>(美) 本杰明·格雷格</t>
  </si>
  <si>
    <t>D082/65</t>
  </si>
  <si>
    <t>978-7-303-25843-7</t>
  </si>
  <si>
    <t>奈恩唯物史观的民族主义思想研究</t>
  </si>
  <si>
    <t>刘烨</t>
  </si>
  <si>
    <t>北京师范大学出版社</t>
  </si>
  <si>
    <t>D091.5/63</t>
  </si>
  <si>
    <t>978-7-300-29030-0</t>
  </si>
  <si>
    <t>资本主义将如何终结</t>
  </si>
  <si>
    <t>(德) 沃尔夫冈·施特雷克</t>
  </si>
  <si>
    <t>D091.5/64</t>
  </si>
  <si>
    <t>978-7-5147-1074-8</t>
  </si>
  <si>
    <t>社会主义发展简史</t>
  </si>
  <si>
    <t xml:space="preserve">本书组 </t>
  </si>
  <si>
    <t>D091.6/76</t>
  </si>
  <si>
    <t>978-7-305-22829-2</t>
  </si>
  <si>
    <t>批判与引领: 当代中国非主流社会思潮研究</t>
  </si>
  <si>
    <t>王岩</t>
  </si>
  <si>
    <t>D092.7/18</t>
  </si>
  <si>
    <t>978-7-01-022719-1</t>
  </si>
  <si>
    <t>保尔·拉法格的社会主义思想及其当代价值</t>
  </si>
  <si>
    <t>周莉莉</t>
  </si>
  <si>
    <t>D095.65/2</t>
  </si>
  <si>
    <t>978-7-5180-6750-3</t>
  </si>
  <si>
    <t>社会契约论</t>
  </si>
  <si>
    <t>(法) 让·雅克·卢梭</t>
  </si>
  <si>
    <t>中国纺织出版社有限公司</t>
  </si>
  <si>
    <t>D095.654/19</t>
  </si>
  <si>
    <t>978-7-119-12275-5</t>
  </si>
  <si>
    <t>100个词读懂中国共产党与中华民族伟大复兴</t>
  </si>
  <si>
    <t>阿文翻樊佳伟</t>
  </si>
  <si>
    <t>外文出版社</t>
  </si>
  <si>
    <t>D219/129-2</t>
  </si>
  <si>
    <t>978-7-224-13648-7</t>
  </si>
  <si>
    <t>精读党章</t>
  </si>
  <si>
    <t>刘晓芬</t>
  </si>
  <si>
    <t>陕西人民出版社</t>
  </si>
  <si>
    <t>D219/130</t>
  </si>
  <si>
    <t>978-7-01-016266-9</t>
  </si>
  <si>
    <t>中国共产党两个关于若干历史问题的决议</t>
  </si>
  <si>
    <t>D220/60</t>
  </si>
  <si>
    <t>978-7-5098-5775-5</t>
  </si>
  <si>
    <t>中共六大与马克思主义中国化研究</t>
  </si>
  <si>
    <t>闻君宝</t>
  </si>
  <si>
    <t>中共党史出版社</t>
  </si>
  <si>
    <t>D220/61</t>
  </si>
  <si>
    <t>978-7-01-023988-0</t>
  </si>
  <si>
    <t>《中共中央关于党的百年奋斗重大成就和历史经验的决议》辅导读本</t>
  </si>
  <si>
    <t>本书组</t>
  </si>
  <si>
    <t>D229/66</t>
  </si>
  <si>
    <t>978-7-01-023527-1</t>
  </si>
  <si>
    <t>中国共产党一百年大事记: 1921年7月—2021年6月</t>
  </si>
  <si>
    <t>中共中央党史和文献研究院</t>
  </si>
  <si>
    <t>D23/146-2</t>
  </si>
  <si>
    <t>978-7-01-023390-1</t>
  </si>
  <si>
    <t>党史知识面面观: 1921-2021</t>
  </si>
  <si>
    <t>D23/151</t>
  </si>
  <si>
    <t>978-7-5098-5599-7</t>
  </si>
  <si>
    <t>曙光: 8个中共早期组织的创建</t>
  </si>
  <si>
    <t>红船精神研究院</t>
  </si>
  <si>
    <t>D23/152</t>
  </si>
  <si>
    <t>978-7-01-023530-1</t>
  </si>
  <si>
    <t>中共党史基本知识</t>
  </si>
  <si>
    <t>李忠杰</t>
  </si>
  <si>
    <t>D23/153</t>
  </si>
  <si>
    <t>978-7-5147-1041-0</t>
  </si>
  <si>
    <t>奋斗百年: 大党为什么能</t>
  </si>
  <si>
    <t>张占斌, 薛伟江</t>
  </si>
  <si>
    <t>学习出版社</t>
  </si>
  <si>
    <t>D23/154</t>
  </si>
  <si>
    <t>978-7-01-023431-1</t>
  </si>
  <si>
    <t>中国共产党100年奋斗历程</t>
  </si>
  <si>
    <t>D23/155</t>
  </si>
  <si>
    <t>978-7-01-023025-2</t>
  </si>
  <si>
    <t>党史解释要论</t>
  </si>
  <si>
    <t>吴汉全</t>
  </si>
  <si>
    <t>D23/156</t>
  </si>
  <si>
    <t>978-7-5596-5615-5</t>
  </si>
  <si>
    <t>读懂中国共产党</t>
  </si>
  <si>
    <t>谢春涛</t>
  </si>
  <si>
    <t>D23/157</t>
  </si>
  <si>
    <t>978-7-214-26147-2</t>
  </si>
  <si>
    <t>锻造: 党的建设一百年</t>
  </si>
  <si>
    <t>刘松汉</t>
  </si>
  <si>
    <t>D23/158</t>
  </si>
  <si>
    <t>978-7-01-023932-3</t>
  </si>
  <si>
    <t>中国共产党百年历史经验</t>
  </si>
  <si>
    <t>曲青山</t>
  </si>
  <si>
    <t>D23/159</t>
  </si>
  <si>
    <t>978-7-5207-2220-9</t>
  </si>
  <si>
    <t>建党1921</t>
  </si>
  <si>
    <t>邵维正, 刘晓宝</t>
  </si>
  <si>
    <t>东方出版社</t>
  </si>
  <si>
    <t>D23/160</t>
  </si>
  <si>
    <t>978-7-5216-2046-7</t>
  </si>
  <si>
    <t>党史百年天天读. 上. 1月-6月: 1921-2021</t>
  </si>
  <si>
    <t>卢佳, 郭伟伟</t>
  </si>
  <si>
    <t>中国法制出版社</t>
  </si>
  <si>
    <t>D23/161/1</t>
  </si>
  <si>
    <t>党史百年天天读. 下. 7月-12月: 1921-2021</t>
  </si>
  <si>
    <t>D23/161/2</t>
  </si>
  <si>
    <t>978-7-01-023645-2</t>
  </si>
  <si>
    <t>百年复兴的开端: 中国共产党怎样走来</t>
  </si>
  <si>
    <t>D23/162</t>
  </si>
  <si>
    <t>978-7-5098-5768-7</t>
  </si>
  <si>
    <t>浴火新生: 中国共产党的革命实践与伟大飞跃</t>
  </si>
  <si>
    <t>江沛, 张丹</t>
  </si>
  <si>
    <t>D23/163</t>
  </si>
  <si>
    <t>978-7-5705-2388-7</t>
  </si>
  <si>
    <t>百年如誓</t>
  </si>
  <si>
    <t>梅黎明</t>
  </si>
  <si>
    <t>江西教育出版社</t>
  </si>
  <si>
    <t>D23/164</t>
  </si>
  <si>
    <t>978-7-5115-6985-1</t>
  </si>
  <si>
    <t>学好党史这门必修课: 学党史 悟思想 办实事 开新局</t>
  </si>
  <si>
    <t>任仲文</t>
  </si>
  <si>
    <t>D23/165</t>
  </si>
  <si>
    <t>978-7-229-15841-5</t>
  </si>
  <si>
    <t>怎样学党史</t>
  </si>
  <si>
    <t>《怎样学党史》组</t>
  </si>
  <si>
    <t>重庆出版社</t>
  </si>
  <si>
    <t>D23/166</t>
  </si>
  <si>
    <t>978-7-01-023248-5</t>
  </si>
  <si>
    <t>中国共产党百年辉煌</t>
  </si>
  <si>
    <t>D23/167</t>
  </si>
  <si>
    <t>978-7-5207-1838-7</t>
  </si>
  <si>
    <t>“九个必须”: 以史为鉴、开创未来的行动指南</t>
  </si>
  <si>
    <t>人民日报理论部</t>
  </si>
  <si>
    <t>D23/168</t>
  </si>
  <si>
    <t>978-7-224-11212-2</t>
  </si>
  <si>
    <t>历史的细节与主流: 中共党史大研究中的历史虚无主义辨析</t>
  </si>
  <si>
    <t>卢毅, 罗平汉</t>
  </si>
  <si>
    <t>D23/169</t>
  </si>
  <si>
    <t>978-7-5577-0884-9</t>
  </si>
  <si>
    <t>《新中华报》的抗战动员</t>
  </si>
  <si>
    <t>张晓曦</t>
  </si>
  <si>
    <t>山西经济出版社</t>
  </si>
  <si>
    <t>D231/40</t>
  </si>
  <si>
    <t>978-7-214-26164-9</t>
  </si>
  <si>
    <t>向北方</t>
  </si>
  <si>
    <t>李红梅, 刘仰东</t>
  </si>
  <si>
    <t>D231/41</t>
  </si>
  <si>
    <t>978-7-5166-6002-7</t>
  </si>
  <si>
    <t>建党伟业</t>
  </si>
  <si>
    <t>张隼</t>
  </si>
  <si>
    <t>D231/42=D</t>
  </si>
  <si>
    <t>978-7-5155-2038-4</t>
  </si>
  <si>
    <t>剑吼西风: 中央特科纪事</t>
  </si>
  <si>
    <t>叶孝慎</t>
  </si>
  <si>
    <t>D231/43</t>
  </si>
  <si>
    <t>978-7-5098-5974-2</t>
  </si>
  <si>
    <t>北京党史慕课100讲</t>
  </si>
  <si>
    <t>中共北京市委组织部, 中共北京市委党史研究室市地方志办, 北京歌华传媒集团</t>
  </si>
  <si>
    <t>D235.1/4</t>
  </si>
  <si>
    <t>978-7-5098-5931-5</t>
  </si>
  <si>
    <t>延安志. 上</t>
  </si>
  <si>
    <t>中国延安精神研究会</t>
  </si>
  <si>
    <t>D235.413/2/1</t>
  </si>
  <si>
    <t>延安志. 下</t>
  </si>
  <si>
    <t>D235.413/2/2</t>
  </si>
  <si>
    <t>978-7-208-17430-6</t>
  </si>
  <si>
    <t>黎明前的胜利曙光: 党的诞生地·上海革命遗址系列故事</t>
  </si>
  <si>
    <t>上海市作家协会</t>
  </si>
  <si>
    <t>上海人民出版社</t>
  </si>
  <si>
    <t>D235.51/6</t>
  </si>
  <si>
    <t>978-7-5697-0861-5</t>
  </si>
  <si>
    <t>图说渝中党史</t>
  </si>
  <si>
    <t>中共重庆市渝中区党史研究室</t>
  </si>
  <si>
    <t>D235.719/5</t>
  </si>
  <si>
    <t>978-7-5615-8145-2</t>
  </si>
  <si>
    <t>图说厦门党史: 新民主主义革命时期</t>
  </si>
  <si>
    <t>中共厦门市委党史和地方志研究室</t>
  </si>
  <si>
    <t>厦门大学出版社</t>
  </si>
  <si>
    <t>D235/2</t>
  </si>
  <si>
    <t>978-7-5411-6121-6</t>
  </si>
  <si>
    <t>世纪辉煌: 百年党史中的成华记忆</t>
  </si>
  <si>
    <t>成都市成华区作家协会</t>
  </si>
  <si>
    <t>D235/3</t>
  </si>
  <si>
    <t>978-7-5670-2867-8</t>
  </si>
  <si>
    <t>红色崂山</t>
  </si>
  <si>
    <t>崂山区档案馆, 崂山区委党史研究中心, 崂山区地方史志研究中心</t>
  </si>
  <si>
    <t>中国海洋大学出版社</t>
  </si>
  <si>
    <t>D235/4</t>
  </si>
  <si>
    <t>978-7-01-023933-0</t>
  </si>
  <si>
    <t>百年大党的光辉实践与历史启示</t>
  </si>
  <si>
    <t>何毅亭</t>
  </si>
  <si>
    <t>D23-53/14</t>
  </si>
  <si>
    <t>978-7-01-023698-8</t>
  </si>
  <si>
    <t>百年党史: 决定中国命运的关键抉择</t>
  </si>
  <si>
    <t>张神根, 张倔</t>
  </si>
  <si>
    <t>D239/32</t>
  </si>
  <si>
    <t>978-7-300-29893-1</t>
  </si>
  <si>
    <t>不忘初心: 中国共产党为什么能永葆朝气</t>
  </si>
  <si>
    <t>黄相怀</t>
  </si>
  <si>
    <t>D25/57=3D</t>
  </si>
  <si>
    <t>978-7-5622-8140-5</t>
  </si>
  <si>
    <t>中国共产党执政能力建设历史经验研究: 1949-1956</t>
  </si>
  <si>
    <t>孙泽学, 左世元</t>
  </si>
  <si>
    <t>华中师范大学出版社</t>
  </si>
  <si>
    <t>D25/92</t>
  </si>
  <si>
    <t>978-7-01-023449-6</t>
  </si>
  <si>
    <t>百年大党与中国之治</t>
  </si>
  <si>
    <t>冯俊</t>
  </si>
  <si>
    <t>D25/93</t>
  </si>
  <si>
    <t>978-7-5098-5000-8</t>
  </si>
  <si>
    <t>中国共产党与手工业合作事业的发展</t>
  </si>
  <si>
    <t>中华全国手工业合作总社</t>
  </si>
  <si>
    <t>D25/94</t>
  </si>
  <si>
    <t>978-7-01-023239-3</t>
  </si>
  <si>
    <t>立党为公 执政为民: 中国共产党的人民观研究</t>
  </si>
  <si>
    <t>魏立平</t>
  </si>
  <si>
    <t>D252/23</t>
  </si>
  <si>
    <t>978-7-5171-3737-5</t>
  </si>
  <si>
    <t>改革开放的中国与中国共产党</t>
  </si>
  <si>
    <t>郑科扬</t>
  </si>
  <si>
    <t>中国言实出版社</t>
  </si>
  <si>
    <t>D26/204=2D</t>
  </si>
  <si>
    <t>978-7-119-12353-0</t>
  </si>
  <si>
    <t>红船精神: 启航的梦想</t>
  </si>
  <si>
    <t>浙江省人民政府新闻办公室, 嘉兴市人民政府新闻办公室</t>
  </si>
  <si>
    <t>D26/278-2</t>
  </si>
  <si>
    <t>978-7-5115-6775-8</t>
  </si>
  <si>
    <t>新时代中国共产党文化观</t>
  </si>
  <si>
    <t>颜旭</t>
  </si>
  <si>
    <t>D26/280</t>
  </si>
  <si>
    <t>978-7-5098-5769-4</t>
  </si>
  <si>
    <t>理论强党: 中国共产党理论创新的百年历程</t>
  </si>
  <si>
    <t>刘景泉, 高德罡, 陆阳</t>
  </si>
  <si>
    <t>D26/281</t>
  </si>
  <si>
    <t>978-7-208-17362-0</t>
  </si>
  <si>
    <t>新时代党的建设与依规治党. 第2辑</t>
  </si>
  <si>
    <t>刘红凛</t>
  </si>
  <si>
    <t>D26/282/2</t>
  </si>
  <si>
    <t>978-7-01-023701-5</t>
  </si>
  <si>
    <t>百年大党: 马克思主义使命型政党</t>
  </si>
  <si>
    <t>李海青</t>
  </si>
  <si>
    <t>D26/283</t>
  </si>
  <si>
    <t>978-7-01-023954-5</t>
  </si>
  <si>
    <t>深入学习习近平总书记“七一”重要讲话精神</t>
  </si>
  <si>
    <t>D26/284</t>
  </si>
  <si>
    <t>978-7-5166-5627-3</t>
  </si>
  <si>
    <t>百年青春: 中国共产党永葆先进性的奥秘</t>
  </si>
  <si>
    <t>刘玉瑛</t>
  </si>
  <si>
    <t>D26/285</t>
  </si>
  <si>
    <t>978-7-5207-2257-5</t>
  </si>
  <si>
    <t>兴党强党 砥砺前行</t>
  </si>
  <si>
    <t>张福俭</t>
  </si>
  <si>
    <t>D26/286</t>
  </si>
  <si>
    <t>978-7-5115-6682-9</t>
  </si>
  <si>
    <t>制度治党</t>
  </si>
  <si>
    <t>秦强</t>
  </si>
  <si>
    <t>D26/287</t>
  </si>
  <si>
    <t>978-7-5115-6795-6</t>
  </si>
  <si>
    <t>党的制度建设视域下的历史经验研究</t>
  </si>
  <si>
    <t>王炳林</t>
  </si>
  <si>
    <t>D26/288</t>
  </si>
  <si>
    <t>978-7-5194-6025-9</t>
  </si>
  <si>
    <t>党领导法治中国建设的逻辑进路研究</t>
  </si>
  <si>
    <t>汪火良</t>
  </si>
  <si>
    <t>D26/289</t>
  </si>
  <si>
    <t>978-7-5115-6780-2</t>
  </si>
  <si>
    <t>做到“两个维护”</t>
  </si>
  <si>
    <t>马正立</t>
  </si>
  <si>
    <t>D261.1/40</t>
  </si>
  <si>
    <t>978-7-210-13246-2</t>
  </si>
  <si>
    <t>中国共产党道德传承和发展研究</t>
  </si>
  <si>
    <t>韩桥生</t>
  </si>
  <si>
    <t>江西人民出版社</t>
  </si>
  <si>
    <t>D261.3/112</t>
  </si>
  <si>
    <t>978-7-5115-6960-8</t>
  </si>
  <si>
    <t>新时代党员干部要发扬光荣传统和优良作风</t>
  </si>
  <si>
    <t>D261.3/113</t>
  </si>
  <si>
    <t>978-7-5166-5717-1</t>
  </si>
  <si>
    <t>做党的光荣传统和优良作风的忠实传人</t>
  </si>
  <si>
    <t>李松</t>
  </si>
  <si>
    <t>D261.3/114</t>
  </si>
  <si>
    <t>978-7-5166-5817-8</t>
  </si>
  <si>
    <t>讲传统 强作风 干实事</t>
  </si>
  <si>
    <t>刘玉瑛, 王文军</t>
  </si>
  <si>
    <t>D261.3/115</t>
  </si>
  <si>
    <t>978-7-5194-6166-9</t>
  </si>
  <si>
    <t>延安时期党的学风建设</t>
  </si>
  <si>
    <t>高璐佳</t>
  </si>
  <si>
    <t>D261.3/116</t>
  </si>
  <si>
    <t>978-7-5098-5610-9</t>
  </si>
  <si>
    <t>为什么需要精神: 中国共产党革命精神引论</t>
  </si>
  <si>
    <t>D261.3/117</t>
  </si>
  <si>
    <t>978-7-5336-8806-6</t>
  </si>
  <si>
    <t>西柏坡精神</t>
  </si>
  <si>
    <t>何虎生</t>
  </si>
  <si>
    <t>安徽教育出版社</t>
  </si>
  <si>
    <t>D261.3/118</t>
  </si>
  <si>
    <t>978-7-5150-2537-7</t>
  </si>
  <si>
    <t>传承: 做党的光荣传统和优良作风的忠实传人</t>
  </si>
  <si>
    <t>尚传斌</t>
  </si>
  <si>
    <t>D261.3/119</t>
  </si>
  <si>
    <t>978-7-5098-3827-3</t>
  </si>
  <si>
    <t>李建强</t>
  </si>
  <si>
    <t>D261.3/120</t>
  </si>
  <si>
    <t>978-7-01-023175-4</t>
  </si>
  <si>
    <t>中央党校公开课</t>
  </si>
  <si>
    <t>中央党校 (国家行政学院) 习近平新时代中国特色社会主义思想研究中心</t>
  </si>
  <si>
    <t>D261.41/13</t>
  </si>
  <si>
    <t>978-7-01-023456-4</t>
  </si>
  <si>
    <t>八位党员英模的人生境界</t>
  </si>
  <si>
    <t>肖伟光</t>
  </si>
  <si>
    <t>D261.42/222</t>
  </si>
  <si>
    <t>978-7-5104-7295-4</t>
  </si>
  <si>
    <t>初心的力量: 共产党人的赤子情怀</t>
  </si>
  <si>
    <t>吕虹</t>
  </si>
  <si>
    <t>新世界出版社</t>
  </si>
  <si>
    <t>D261.42/223</t>
  </si>
  <si>
    <t>978-7-5207-2333-6</t>
  </si>
  <si>
    <t>从“心”出发: 践行百年初心使命</t>
  </si>
  <si>
    <t>于建荣, 何芹</t>
  </si>
  <si>
    <t>D261.42/224</t>
  </si>
  <si>
    <t>978-7-5682-9702-8</t>
  </si>
  <si>
    <t>高校学生党员教育研究: 以北京理工大学计算机学院党课教学创新活动为例</t>
  </si>
  <si>
    <t xml:space="preserve">奚英伦 ...  </t>
  </si>
  <si>
    <t>D261.42/225</t>
  </si>
  <si>
    <t>978-7-5098-5747-2</t>
  </si>
  <si>
    <t>人民至上: 中国共产党的根本政治立场</t>
  </si>
  <si>
    <t>王炳林, 徐春生</t>
  </si>
  <si>
    <t>D261.42/226</t>
  </si>
  <si>
    <t>978-7-5115-6532-7</t>
  </si>
  <si>
    <t>新时代高校党课</t>
  </si>
  <si>
    <t>魏胜强</t>
  </si>
  <si>
    <t>D261.42/227</t>
  </si>
  <si>
    <t>978-7-5115-6816-8</t>
  </si>
  <si>
    <t>信仰的力量: 共产党员的信仰故事</t>
  </si>
  <si>
    <t>赵朝峰</t>
  </si>
  <si>
    <t>D261.42/228</t>
  </si>
  <si>
    <t>978-7-5115-6944-8</t>
  </si>
  <si>
    <t>中国共产党的光荣传统</t>
  </si>
  <si>
    <t>李庆刚</t>
  </si>
  <si>
    <t>D261.42/229</t>
  </si>
  <si>
    <t>978-7-5703-1673-1</t>
  </si>
  <si>
    <t>主题党课这样讲</t>
  </si>
  <si>
    <t>邢云文, 邢雅娟</t>
  </si>
  <si>
    <t>山西教育出版社</t>
  </si>
  <si>
    <t>D261.42/230</t>
  </si>
  <si>
    <t>978-7-5115-6683-6</t>
  </si>
  <si>
    <t>思想建党</t>
  </si>
  <si>
    <t>郝彤</t>
  </si>
  <si>
    <t>D261/43</t>
  </si>
  <si>
    <t>978-7-5073-4816-3</t>
  </si>
  <si>
    <t>强基固本: 中国共产党的思想建设</t>
  </si>
  <si>
    <t>王建华</t>
  </si>
  <si>
    <t>D261/44</t>
  </si>
  <si>
    <t>978-7-5115-6073-5</t>
  </si>
  <si>
    <t>新时代党规</t>
  </si>
  <si>
    <t>D262.13/26</t>
  </si>
  <si>
    <t>978-7-5115-6024-7</t>
  </si>
  <si>
    <t>新时代党纪</t>
  </si>
  <si>
    <t>D262.13/27</t>
  </si>
  <si>
    <t>978-7-214-24834-3</t>
  </si>
  <si>
    <t>读书与领导力: 新时代干部必读的100本书</t>
  </si>
  <si>
    <t>周毅之</t>
  </si>
  <si>
    <t>D262.3/113</t>
  </si>
  <si>
    <t>978-7-5207-2121-9</t>
  </si>
  <si>
    <t>做了不起的党员干部</t>
  </si>
  <si>
    <t>刘鹏</t>
  </si>
  <si>
    <t>D262.3/114</t>
  </si>
  <si>
    <t>978-7-5689-2830-4</t>
  </si>
  <si>
    <t>高素质专业化干部队伍建设. 一. 思想淬炼</t>
  </si>
  <si>
    <t>谢金峰</t>
  </si>
  <si>
    <t>D262.3/115/1</t>
  </si>
  <si>
    <t>978-7-5689-2831-1</t>
  </si>
  <si>
    <t>高素质专业化干部队伍建设. 二. 政治历练</t>
  </si>
  <si>
    <t>D262.3/115/2</t>
  </si>
  <si>
    <t>978-7-5689-2832-8</t>
  </si>
  <si>
    <t>高素质专业化干部队伍建设. 三. 实践锻炼</t>
  </si>
  <si>
    <t>D262.3/115/3</t>
  </si>
  <si>
    <t>978-7-5689-2833-5</t>
  </si>
  <si>
    <t>高素质专业化干部队伍建设. 四. 专业训练</t>
  </si>
  <si>
    <t>D262.3/115/4</t>
  </si>
  <si>
    <t>978-7-5166-5715-7</t>
  </si>
  <si>
    <t>提高“政治三力”: 破解复杂棘手难题</t>
  </si>
  <si>
    <t>刘玉瑛, 张今</t>
  </si>
  <si>
    <t>D262.3/116</t>
  </si>
  <si>
    <t>978-7-01-023204-1</t>
  </si>
  <si>
    <t>领导干部要提高“政治三力”</t>
  </si>
  <si>
    <t>D262.3/117</t>
  </si>
  <si>
    <t>978-7-01-023784-8</t>
  </si>
  <si>
    <t>新时代德才兼备的高素质干部</t>
  </si>
  <si>
    <t>中央党校 (国家行政学院) 党建部</t>
  </si>
  <si>
    <t>D262.3/118</t>
  </si>
  <si>
    <t>978-7-5115-7004-8</t>
  </si>
  <si>
    <t>千秋伟业 百年风华</t>
  </si>
  <si>
    <t>D262.3/119</t>
  </si>
  <si>
    <t>978-7-5150-2529-2</t>
  </si>
  <si>
    <t>讲政治: 党员干部必须提高三种能力</t>
  </si>
  <si>
    <t>D262.3/120</t>
  </si>
  <si>
    <t>978-7-5207-1646-8</t>
  </si>
  <si>
    <t>党员干部履职必备</t>
  </si>
  <si>
    <t>D262.3/121</t>
  </si>
  <si>
    <t>978-7-5166-6130-7</t>
  </si>
  <si>
    <t>新时代领导干部如何讲政治</t>
  </si>
  <si>
    <t>D262.3/122</t>
  </si>
  <si>
    <t>978-7-01-023242-3</t>
  </si>
  <si>
    <t>领导干部如何提高政治判断力 领悟力 执行力</t>
  </si>
  <si>
    <t>D262.3/123</t>
  </si>
  <si>
    <t>978-7-213-10371-1</t>
  </si>
  <si>
    <t>发展党员工作方法与实务</t>
  </si>
  <si>
    <t>王亚平</t>
  </si>
  <si>
    <t>浙江人民出版社</t>
  </si>
  <si>
    <t>D262.4/11</t>
  </si>
  <si>
    <t>978-7-5620-6621-7</t>
  </si>
  <si>
    <t>新编纪检监察学教程</t>
  </si>
  <si>
    <t>杨永庚, 常利娟</t>
  </si>
  <si>
    <t>D262.6/125</t>
  </si>
  <si>
    <t>978-7-5194-6221-5</t>
  </si>
  <si>
    <t>巡视巡察上下联动机制研究</t>
  </si>
  <si>
    <t>庄德水</t>
  </si>
  <si>
    <t>D262.6/126</t>
  </si>
  <si>
    <t>978-7-01-023368-0</t>
  </si>
  <si>
    <t>党纪法规70例</t>
  </si>
  <si>
    <t>王静</t>
  </si>
  <si>
    <t>D262.6/127</t>
  </si>
  <si>
    <t>978-7-5073-4868-2</t>
  </si>
  <si>
    <t>纪律严明: 中国共产党的纪律建设</t>
  </si>
  <si>
    <t>林绪武</t>
  </si>
  <si>
    <t>中央文献出版社</t>
  </si>
  <si>
    <t>D262.6/128</t>
  </si>
  <si>
    <t>978-7-5197-5402-0</t>
  </si>
  <si>
    <t>新时代党员干部不可不知的党内法规</t>
  </si>
  <si>
    <t>法律出版社法规中心</t>
  </si>
  <si>
    <t>法律出版社</t>
  </si>
  <si>
    <t>D262.6/129=2D</t>
  </si>
  <si>
    <t>978-7-5197-5375-7</t>
  </si>
  <si>
    <t>最新常用党内法规</t>
  </si>
  <si>
    <t>D262.6/130=4D</t>
  </si>
  <si>
    <t>978-7-5197-5303-0</t>
  </si>
  <si>
    <t>中国共产党党员权利保障条例及相关党内法规学习手册</t>
  </si>
  <si>
    <t>D263.2/9</t>
  </si>
  <si>
    <t>978-7-5115-6765-9</t>
  </si>
  <si>
    <t>新时代共产党员修养资鉴</t>
  </si>
  <si>
    <t>闫何清</t>
  </si>
  <si>
    <t>D263.3/55</t>
  </si>
  <si>
    <t>978-7-5115-6664-5</t>
  </si>
  <si>
    <t>作风正党</t>
  </si>
  <si>
    <t>张荣臣</t>
  </si>
  <si>
    <t>D263.3/56</t>
  </si>
  <si>
    <t>978-7-5649-4516-9</t>
  </si>
  <si>
    <t>十个共产党员</t>
  </si>
  <si>
    <t>穆青</t>
  </si>
  <si>
    <t>河南大学出版社</t>
  </si>
  <si>
    <t>D263/102</t>
  </si>
  <si>
    <t>978-7-5115-7033-8</t>
  </si>
  <si>
    <t>我是共产党员: 为群众办实事的贴心人</t>
  </si>
  <si>
    <t>D263/103</t>
  </si>
  <si>
    <t>978-7-225-06172-6</t>
  </si>
  <si>
    <t>党旗在我心中: 青海百名共产党员的故事</t>
  </si>
  <si>
    <t>中共青海省委党史学习教育领导小组办公室, 中共青海省委组织部, 中共青海省委宣传部</t>
  </si>
  <si>
    <t>青海人民出版社</t>
  </si>
  <si>
    <t>D263/104</t>
  </si>
  <si>
    <t>978-7-5113-8524-6</t>
  </si>
  <si>
    <t>百年风华 雨花侨魂</t>
  </si>
  <si>
    <t>中国侨联文化交流部, 江苏省侨联, 南京市侨联</t>
  </si>
  <si>
    <t>D263/105</t>
  </si>
  <si>
    <t>978-7-5115-6894-6</t>
  </si>
  <si>
    <t>我是共产党员: 中国共产党人的革命故事</t>
  </si>
  <si>
    <t>郭海成</t>
  </si>
  <si>
    <t>D263/106</t>
  </si>
  <si>
    <t>978-7-5607-7014-7</t>
  </si>
  <si>
    <t>中国国有企业党的领导制度变迁研究: 基于“嵌入式治理”结构视角</t>
  </si>
  <si>
    <t>龚睿</t>
  </si>
  <si>
    <t>D267.1/45</t>
  </si>
  <si>
    <t>978-7-5639-7742-0</t>
  </si>
  <si>
    <t>现代企业党建工作研究</t>
  </si>
  <si>
    <t>杨琴</t>
  </si>
  <si>
    <t>北京工业大学出版社</t>
  </si>
  <si>
    <t>D267.1/46</t>
  </si>
  <si>
    <t>978-7-5166-4656-4</t>
  </si>
  <si>
    <t>新时期国有企业基层党建工作标准化研究</t>
  </si>
  <si>
    <t>刘孝孔</t>
  </si>
  <si>
    <t>D267.1/47</t>
  </si>
  <si>
    <t>978-7-5013-6954-6</t>
  </si>
  <si>
    <t>献礼中国共产党成立100周年: 新时代企业党建创新优秀成果选编</t>
  </si>
  <si>
    <t>中国文化管理协会企业文化管理专业委员会</t>
  </si>
  <si>
    <t>国家图书馆出版社</t>
  </si>
  <si>
    <t>D267.1-53/2</t>
  </si>
  <si>
    <t>978-7-215-12813-2</t>
  </si>
  <si>
    <t>机关基层党组织工作手册</t>
  </si>
  <si>
    <t>中共河南省委直属机关工作委员会</t>
  </si>
  <si>
    <t>河南人民出版社</t>
  </si>
  <si>
    <t>D267.5/21</t>
  </si>
  <si>
    <t>978-7-5620-9790-7</t>
  </si>
  <si>
    <t>行政机关重要党内法规学习汇编</t>
  </si>
  <si>
    <t>中国政法大学党规研究中心</t>
  </si>
  <si>
    <t>D267.5/22</t>
  </si>
  <si>
    <t>978-7-5670-2728-2</t>
  </si>
  <si>
    <t>一名高校党务干部的思考与探索</t>
  </si>
  <si>
    <t>秦晓钟</t>
  </si>
  <si>
    <t>D267.6/48</t>
  </si>
  <si>
    <t>978-7-208-17311-8</t>
  </si>
  <si>
    <t>立德树人: 美术院校基层党建工作创新案例汇编</t>
  </si>
  <si>
    <t>吴东杰, 黄思思, 黄海澜</t>
  </si>
  <si>
    <t>D267.6/49</t>
  </si>
  <si>
    <t>978-7-5194-6298-7</t>
  </si>
  <si>
    <t>高校“双带头人”培育机制研究: 基于高校教师党支部书记培育的原理、机制与实践</t>
  </si>
  <si>
    <t>杨子生, 彭海英, 余京珂</t>
  </si>
  <si>
    <t>D267.6/50</t>
  </si>
  <si>
    <t>978-7-5115-6809-0</t>
  </si>
  <si>
    <t>首都高校党建研究报告</t>
  </si>
  <si>
    <t>首都高校党建研究基地</t>
  </si>
  <si>
    <t>D267.6/51</t>
  </si>
  <si>
    <t>978-7-307-22349-3</t>
  </si>
  <si>
    <t>创新 互鉴 提高: 武汉大学机关与直属单位“党支部工作法”精选</t>
  </si>
  <si>
    <t>谭玉敏</t>
  </si>
  <si>
    <t>D267.6/52</t>
  </si>
  <si>
    <t>978-7-114-15214-6</t>
  </si>
  <si>
    <t>普通高等学校发展党员工作基本规范</t>
  </si>
  <si>
    <t>尹作发, 张俊, 何玲</t>
  </si>
  <si>
    <t>D267.6/53</t>
  </si>
  <si>
    <t>978-7-5608-5841-8</t>
  </si>
  <si>
    <t>点亮星火: “党员TALK”师生演讲实录</t>
  </si>
  <si>
    <t>李静茹, 赵盈</t>
  </si>
  <si>
    <t>同济大学出版社</t>
  </si>
  <si>
    <t>D267.6/54</t>
  </si>
  <si>
    <t>978-7-5620-9792-1</t>
  </si>
  <si>
    <t>高等院校重要党内法规学习汇编</t>
  </si>
  <si>
    <t>D267.6/55</t>
  </si>
  <si>
    <t>978-7-5697-0867-7</t>
  </si>
  <si>
    <t>先锋: 庆祝中国共产党成立100周年优秀民办学校党建工作风采录</t>
  </si>
  <si>
    <t>张广义</t>
  </si>
  <si>
    <t>D267.6/56</t>
  </si>
  <si>
    <t>978-7-5115-6876-2</t>
  </si>
  <si>
    <t>新时代高校基层党支部共建创新理论与实践</t>
  </si>
  <si>
    <t>李成茂</t>
  </si>
  <si>
    <t>D267.6/57</t>
  </si>
  <si>
    <t>978-7-5160-3312-8</t>
  </si>
  <si>
    <t>高校学生样板党支部建设的理论与实践</t>
  </si>
  <si>
    <t>谢昕晔, 旷灿华, 杜颖</t>
  </si>
  <si>
    <t>中国建材工业出版社</t>
  </si>
  <si>
    <t>D267.6/58</t>
  </si>
  <si>
    <t>978-7-208-17405-4</t>
  </si>
  <si>
    <t>党建引领上海社会治理新探</t>
  </si>
  <si>
    <t>吴涛</t>
  </si>
  <si>
    <t>D267/163</t>
  </si>
  <si>
    <t>978-7-01-023619-3</t>
  </si>
  <si>
    <t>新媒体时代基层党建工作研究</t>
  </si>
  <si>
    <t>梁松柏</t>
  </si>
  <si>
    <t>D267/164</t>
  </si>
  <si>
    <t>978-7-5607-7015-4</t>
  </si>
  <si>
    <t>全面从严治党实践中基层党组织整体功能研究</t>
  </si>
  <si>
    <t>马明冲</t>
  </si>
  <si>
    <t>D267/165</t>
  </si>
  <si>
    <t>978-7-5150-2539-1</t>
  </si>
  <si>
    <t>伟大的支部: 新时代党支部建设1333工作法</t>
  </si>
  <si>
    <t>郭玉良</t>
  </si>
  <si>
    <t>D267/166</t>
  </si>
  <si>
    <t>978-7-5115-6714-7</t>
  </si>
  <si>
    <t>组织强党</t>
  </si>
  <si>
    <t>裴泽庆</t>
  </si>
  <si>
    <t>D267/167</t>
  </si>
  <si>
    <t>978-7-5703-1670-0</t>
  </si>
  <si>
    <t>主题党日这样过</t>
  </si>
  <si>
    <t>D267/168</t>
  </si>
  <si>
    <t>978-7-5620-9789-1</t>
  </si>
  <si>
    <t>企事业单位重要党内法规学习汇编</t>
  </si>
  <si>
    <t>D267/169</t>
  </si>
  <si>
    <t>978-7-5207-1784-7</t>
  </si>
  <si>
    <t>优秀党支部书记这样干</t>
  </si>
  <si>
    <t>D267/170</t>
  </si>
  <si>
    <t>978-7-5197-4202-7</t>
  </si>
  <si>
    <t>党的基层组织工作学习手册</t>
  </si>
  <si>
    <t>D267-62/4</t>
  </si>
  <si>
    <t>978-7-5194-5891-1</t>
  </si>
  <si>
    <t>新时代福建高校团支部建设典型案例汇编</t>
  </si>
  <si>
    <t>刘晓晖</t>
  </si>
  <si>
    <t>D297.6/13</t>
  </si>
  <si>
    <t>978-7-80770-228-3</t>
  </si>
  <si>
    <t>新时代高校共青团工作理论与实践教程</t>
  </si>
  <si>
    <t>桂晓玲</t>
  </si>
  <si>
    <t>孔学堂书局</t>
  </si>
  <si>
    <t>D297.6/14</t>
  </si>
  <si>
    <t>978-7-5171-3564-7</t>
  </si>
  <si>
    <t>筑梦青春: 大学生共青团学习材料</t>
  </si>
  <si>
    <t>门奎英, 江楠, 余愿</t>
  </si>
  <si>
    <t>D297.6/15</t>
  </si>
  <si>
    <t>978-7-5620-6659-0</t>
  </si>
  <si>
    <t>新时代农民素养培育研究</t>
  </si>
  <si>
    <t>姜桂芝, 乔宗方</t>
  </si>
  <si>
    <t>D422.6/11</t>
  </si>
  <si>
    <t>978-7-5603-9379-7</t>
  </si>
  <si>
    <t>中日大学生教育志愿行动激励机制比较研究</t>
  </si>
  <si>
    <t>刘丽丽</t>
  </si>
  <si>
    <t>哈尔滨工业大学出版社</t>
  </si>
  <si>
    <t>D432.6/39</t>
  </si>
  <si>
    <t>978-7-5117-3938-4</t>
  </si>
  <si>
    <t>新时代中国青年社会责任感培养研究</t>
  </si>
  <si>
    <t>郑士鹏</t>
  </si>
  <si>
    <t>D432.62/72</t>
  </si>
  <si>
    <t>978-7-5426-7295-7</t>
  </si>
  <si>
    <t>中国女性的感情与性</t>
  </si>
  <si>
    <t>李银河</t>
  </si>
  <si>
    <t>上海三联书店</t>
  </si>
  <si>
    <t>D442.64/9</t>
  </si>
  <si>
    <t>978-7-214-07540-6</t>
  </si>
  <si>
    <t>姐妹们与陌生人: 上海棉纱厂女工, 1919-1949</t>
  </si>
  <si>
    <t>(美) 韩起澜</t>
  </si>
  <si>
    <t>D442.9/28</t>
  </si>
  <si>
    <t>978-7-5012-6492-6</t>
  </si>
  <si>
    <t>中国周边安全形势评估. 2021</t>
  </si>
  <si>
    <t>张洁</t>
  </si>
  <si>
    <t>世界知识出版社</t>
  </si>
  <si>
    <t>D5/118/2021</t>
  </si>
  <si>
    <t>978-7-5195-0455-7</t>
  </si>
  <si>
    <t>全球要事报告. 2010-2021</t>
  </si>
  <si>
    <t>王宪磊</t>
  </si>
  <si>
    <t>时事出版社</t>
  </si>
  <si>
    <t>D5/163/2020-2021</t>
  </si>
  <si>
    <t>978-7-5217-1885-0</t>
  </si>
  <si>
    <t>未来已来: 全球领袖论天下</t>
  </si>
  <si>
    <t>朱民</t>
  </si>
  <si>
    <t>D5/188</t>
  </si>
  <si>
    <t>978-7-5195-0402-1</t>
  </si>
  <si>
    <t>国际政治理论流派与前沿问题</t>
  </si>
  <si>
    <t>宋志辉</t>
  </si>
  <si>
    <t>D5/189</t>
  </si>
  <si>
    <t>978-7-5612-7301-2</t>
  </si>
  <si>
    <t>公务员制度: 简明原理与比较</t>
  </si>
  <si>
    <t>李妮</t>
  </si>
  <si>
    <t>西北工业大学出版社</t>
  </si>
  <si>
    <t>D523.2/5</t>
  </si>
  <si>
    <t>978-7-5096-7763-6</t>
  </si>
  <si>
    <t>电子政务学科前沿研究报告</t>
  </si>
  <si>
    <t>宋魏巍, 刘潇钺</t>
  </si>
  <si>
    <t>D523/33</t>
  </si>
  <si>
    <t>978-7-5155-2031-5</t>
  </si>
  <si>
    <t>情报战例</t>
  </si>
  <si>
    <t>孙建民, 汪明敏</t>
  </si>
  <si>
    <t>D526/32</t>
  </si>
  <si>
    <t>978-7-5087-6017-9</t>
  </si>
  <si>
    <t>华人社工协同与合作</t>
  </si>
  <si>
    <t xml:space="preserve">刘庆龙 ...  </t>
  </si>
  <si>
    <t>中国社会出版社</t>
  </si>
  <si>
    <t>D58/21</t>
  </si>
  <si>
    <t>978-7-5207-2079-3</t>
  </si>
  <si>
    <t>读懂中国优势</t>
  </si>
  <si>
    <t>钟君</t>
  </si>
  <si>
    <t>D6/116</t>
  </si>
  <si>
    <t>978-7-305-24726-2</t>
  </si>
  <si>
    <t>社会政策: 概念、理论与分析框架</t>
  </si>
  <si>
    <t>杨涛</t>
  </si>
  <si>
    <t>D601/44</t>
  </si>
  <si>
    <t>978-7-01-023241-6</t>
  </si>
  <si>
    <t>真理的味道</t>
  </si>
  <si>
    <t>伍正华</t>
  </si>
  <si>
    <t>D609.9/85</t>
  </si>
  <si>
    <t>978-7-5205-3439-0</t>
  </si>
  <si>
    <t>微言集</t>
  </si>
  <si>
    <t>陈利浩</t>
  </si>
  <si>
    <t>中国文史出版社</t>
  </si>
  <si>
    <t>D609.9/86</t>
  </si>
  <si>
    <t>978-7-01-023459-5</t>
  </si>
  <si>
    <t>新时代·新思想. 二</t>
  </si>
  <si>
    <t>D61/264/2</t>
  </si>
  <si>
    <t>978-7-5115-6778-9</t>
  </si>
  <si>
    <t>开启现代化国家新征程</t>
  </si>
  <si>
    <t>吕红波, 马代绍俊</t>
  </si>
  <si>
    <t>D61/294</t>
  </si>
  <si>
    <t>978-7-301-31625-2</t>
  </si>
  <si>
    <t>中国现代化报告. 2020. 世界现代化的度量衡</t>
  </si>
  <si>
    <t>何传启</t>
  </si>
  <si>
    <t>D61/295/2020</t>
  </si>
  <si>
    <t>978-7-5166-5554-2</t>
  </si>
  <si>
    <t>全面建设社会主义现代化国家热点解读</t>
  </si>
  <si>
    <t>《全面建设社会主义现代化国家热点解读》组</t>
  </si>
  <si>
    <t>D61/296</t>
  </si>
  <si>
    <t>978-7-01-023806-7</t>
  </si>
  <si>
    <t>新时代强国之道</t>
  </si>
  <si>
    <t>国防大学习近平新时代中国特色社会主义思想研究中心</t>
  </si>
  <si>
    <t>D61/297</t>
  </si>
  <si>
    <t>978-7-300-30051-1</t>
  </si>
  <si>
    <t>理论是非辨与析: 用马克思主义引领社会思潮</t>
  </si>
  <si>
    <t>汪亭友</t>
  </si>
  <si>
    <t>D61/298</t>
  </si>
  <si>
    <t>978-7-5477-3503-9</t>
  </si>
  <si>
    <t>《共产党》选辑</t>
  </si>
  <si>
    <t>彭积冬</t>
  </si>
  <si>
    <t>北京日报出版社</t>
  </si>
  <si>
    <t>D61/299</t>
  </si>
  <si>
    <t>978-7-5115-6900-4</t>
  </si>
  <si>
    <t>征途漫漫 惟有奋斗: 开启全面建设社会主义现代化国家新征程</t>
  </si>
  <si>
    <t>D61/300</t>
  </si>
  <si>
    <t>978-7-5130-7201-4</t>
  </si>
  <si>
    <t>马克思主义中国化与富强之路</t>
  </si>
  <si>
    <t>朱奕冰</t>
  </si>
  <si>
    <t>D61/301</t>
  </si>
  <si>
    <t>978-7-01-022786-3</t>
  </si>
  <si>
    <t>共产国际与马克思主义在中国的传播</t>
  </si>
  <si>
    <t>谢从高</t>
  </si>
  <si>
    <t>D61/302</t>
  </si>
  <si>
    <t>978-7-300-29453-7</t>
  </si>
  <si>
    <t>当代中国社会建设</t>
  </si>
  <si>
    <t>马庆钰</t>
  </si>
  <si>
    <t>D61/303</t>
  </si>
  <si>
    <t>978-7-5197-5327-6</t>
  </si>
  <si>
    <t>中国共产党统一战线工作条例及相关党内法规学习手册</t>
  </si>
  <si>
    <t>D613/25</t>
  </si>
  <si>
    <t>978-7-210-13605-7</t>
  </si>
  <si>
    <t>以人为本加强社会主义核心价值观教育</t>
  </si>
  <si>
    <t>杨艳春</t>
  </si>
  <si>
    <t>D616/741</t>
  </si>
  <si>
    <t>978-7-5168-2754-3</t>
  </si>
  <si>
    <t>用心理学践行社会主义核心价值观</t>
  </si>
  <si>
    <t>韦志中, 邓伟平</t>
  </si>
  <si>
    <t>台海出版社</t>
  </si>
  <si>
    <t>D616/742</t>
  </si>
  <si>
    <t>978-7-5620-9583-5</t>
  </si>
  <si>
    <t>文化自信视域下高校社会主义核心价值观培育研究</t>
  </si>
  <si>
    <t>王凤祥</t>
  </si>
  <si>
    <t>D616/743</t>
  </si>
  <si>
    <t>978-7-216-10097-7</t>
  </si>
  <si>
    <t>社会主义核心价值观培育的逻辑与实践路径研究</t>
  </si>
  <si>
    <t>潘建红</t>
  </si>
  <si>
    <t>湖北人民出版社</t>
  </si>
  <si>
    <t>D616/744</t>
  </si>
  <si>
    <t>978-7-5692-7165-2</t>
  </si>
  <si>
    <t>中国特色社会主义核心价值观话语体系研究</t>
  </si>
  <si>
    <t>闫兴</t>
  </si>
  <si>
    <t>D616/745</t>
  </si>
  <si>
    <t>978-7-5096-7702-5</t>
  </si>
  <si>
    <t>新时代中国特色社会主义理论与实践研究: 2021年版</t>
  </si>
  <si>
    <t>常红利</t>
  </si>
  <si>
    <t>D616/746/2021</t>
  </si>
  <si>
    <t>978-7-5092-1994-2</t>
  </si>
  <si>
    <t>中华民族伟大复兴战略全局初步认识</t>
  </si>
  <si>
    <t>丛书组</t>
  </si>
  <si>
    <t>中国市场出版社</t>
  </si>
  <si>
    <t>D616/747</t>
  </si>
  <si>
    <t>978-7-5607-7004-8</t>
  </si>
  <si>
    <t>基于公平正义的共享发展研究</t>
  </si>
  <si>
    <t>陈家付</t>
  </si>
  <si>
    <t>D616/748</t>
  </si>
  <si>
    <t>978-7-5096-7886-2</t>
  </si>
  <si>
    <t>中国模式的政治经济学分析</t>
  </si>
  <si>
    <t xml:space="preserve">何自力 ... </t>
  </si>
  <si>
    <t>D616/749</t>
  </si>
  <si>
    <t>978-7-300-27510-9</t>
  </si>
  <si>
    <t>道路何以自信</t>
  </si>
  <si>
    <t>陈培永</t>
  </si>
  <si>
    <t>D616/750</t>
  </si>
  <si>
    <t>978-7-214-24917-3</t>
  </si>
  <si>
    <t>中国梦与软实力</t>
  </si>
  <si>
    <t>骆郁廷</t>
  </si>
  <si>
    <t>D616/751</t>
  </si>
  <si>
    <t>978-7-300-27495-9</t>
  </si>
  <si>
    <t>理论何以自信</t>
  </si>
  <si>
    <t>秦宣</t>
  </si>
  <si>
    <t>D616/752</t>
  </si>
  <si>
    <t>978-7-5225-0003-4</t>
  </si>
  <si>
    <t>“九二共识”历史存证</t>
  </si>
  <si>
    <t>海峡两岸关系协会</t>
  </si>
  <si>
    <t>D618/14=2D</t>
  </si>
  <si>
    <t>978-7-5225-0491-9</t>
  </si>
  <si>
    <t>两岸关系和平发展制度化理论研究</t>
  </si>
  <si>
    <t>严安林</t>
  </si>
  <si>
    <t>D618/58=2D</t>
  </si>
  <si>
    <t>978-7-5108-8784-0</t>
  </si>
  <si>
    <t>“九二共识”文集</t>
  </si>
  <si>
    <t>许世铨, 杨开煌</t>
  </si>
  <si>
    <t>D618/59=2D</t>
  </si>
  <si>
    <t>978-7-5051-5183-3</t>
  </si>
  <si>
    <t>“重要窗口”问答</t>
  </si>
  <si>
    <t>中共浙江省委宣传部</t>
  </si>
  <si>
    <t>红旗出版社</t>
  </si>
  <si>
    <t>D619.55/5</t>
  </si>
  <si>
    <t>978-7-5329-5993-8</t>
  </si>
  <si>
    <t>这就是中国: 食</t>
  </si>
  <si>
    <t>郭雷庆, 赵彩燕</t>
  </si>
  <si>
    <t>山东文艺出版社</t>
  </si>
  <si>
    <t>D619/147</t>
  </si>
  <si>
    <t>978-7-5329-6043-9</t>
  </si>
  <si>
    <t>这就是中国: 行</t>
  </si>
  <si>
    <t>王非, 金淑霞</t>
  </si>
  <si>
    <t>D619/148</t>
  </si>
  <si>
    <t>978-7-5329-6035-4</t>
  </si>
  <si>
    <t>这就是中国: 重器</t>
  </si>
  <si>
    <t>王非</t>
  </si>
  <si>
    <t>D619/149</t>
  </si>
  <si>
    <t>978-7-5085-4260-7</t>
  </si>
  <si>
    <t>中国共产党与中国的发展进步</t>
  </si>
  <si>
    <t>章百家, 陈述</t>
  </si>
  <si>
    <t>五洲传播出版社</t>
  </si>
  <si>
    <t>D619/81=3D</t>
  </si>
  <si>
    <t>978-7-01-022951-5</t>
  </si>
  <si>
    <t>推进协商民主广泛多层制度化发展研究</t>
  </si>
  <si>
    <t>张峰</t>
  </si>
  <si>
    <t>D621/83</t>
  </si>
  <si>
    <t>978-7-300-27502-4</t>
  </si>
  <si>
    <t>制度何以自信</t>
  </si>
  <si>
    <t>肖贵清</t>
  </si>
  <si>
    <t>D621/84</t>
  </si>
  <si>
    <t>978-7-214-25726-0</t>
  </si>
  <si>
    <t>改革开放以来人大制度发展</t>
  </si>
  <si>
    <t>黎堂斌</t>
  </si>
  <si>
    <t>D622/52</t>
  </si>
  <si>
    <t>978-7-300-30034-4</t>
  </si>
  <si>
    <t>接诉即办的北京经验</t>
  </si>
  <si>
    <t>李文钊</t>
  </si>
  <si>
    <t>D625.1/8</t>
  </si>
  <si>
    <t>978-7-03-063366-8</t>
  </si>
  <si>
    <t>新时代浙江政府职能转变再出发: “最多跑一次”改革</t>
  </si>
  <si>
    <t>范柏乃</t>
  </si>
  <si>
    <t>D625.55/4</t>
  </si>
  <si>
    <t>978-7-5687-0415-1</t>
  </si>
  <si>
    <t>协商民主视域下的地方政府决策模式创新研究</t>
  </si>
  <si>
    <t>罗立</t>
  </si>
  <si>
    <t>湘潭大学出版社</t>
  </si>
  <si>
    <t>D625/104</t>
  </si>
  <si>
    <t>978-7-5189-5873-3</t>
  </si>
  <si>
    <t>地方政府行为模式与环境污染</t>
  </si>
  <si>
    <t>王娟</t>
  </si>
  <si>
    <t>科学技术文献出版社</t>
  </si>
  <si>
    <t>D625/105</t>
  </si>
  <si>
    <t>978-7-5504-5104-9</t>
  </si>
  <si>
    <t>地方政府治理与企业行为研究</t>
  </si>
  <si>
    <t>于文超</t>
  </si>
  <si>
    <t>D625/106</t>
  </si>
  <si>
    <t>978-7-309-15793-2</t>
  </si>
  <si>
    <t>地方治理: 动机、行为与制度环境</t>
  </si>
  <si>
    <t>左才</t>
  </si>
  <si>
    <t>复旦大学出版社有限公司</t>
  </si>
  <si>
    <t>D625/107</t>
  </si>
  <si>
    <t>978-7-5201-5199-3</t>
  </si>
  <si>
    <t>中国地方政府治理评论. 2019年卷·总第6辑</t>
  </si>
  <si>
    <t>张立荣</t>
  </si>
  <si>
    <t>D625/108/6</t>
  </si>
  <si>
    <t>978-7-5117-3869-1</t>
  </si>
  <si>
    <t>地方政府参与式治理创新研究</t>
  </si>
  <si>
    <t>张紧跟</t>
  </si>
  <si>
    <t>D625/109</t>
  </si>
  <si>
    <t>978-7-300-29165-9</t>
  </si>
  <si>
    <t>治大国若烹小鲜: 基层治理与世道人心</t>
  </si>
  <si>
    <t>吕德文</t>
  </si>
  <si>
    <t>D625/110</t>
  </si>
  <si>
    <t>978-7-5205-2546-6</t>
  </si>
  <si>
    <t>谱写生命新乐章</t>
  </si>
  <si>
    <t>卢光琇</t>
  </si>
  <si>
    <t>D627/43</t>
  </si>
  <si>
    <t>978-7-5126-8496-6</t>
  </si>
  <si>
    <t>使命与担当: 全国政协常委朱永新2019年履职实录</t>
  </si>
  <si>
    <t>朱永新</t>
  </si>
  <si>
    <t>团结出版社</t>
  </si>
  <si>
    <t>D627/44</t>
  </si>
  <si>
    <t>978-7-5108-8853-3</t>
  </si>
  <si>
    <t>社会治理创新: 地方实践与共同体构建</t>
  </si>
  <si>
    <t>朱盼玲</t>
  </si>
  <si>
    <t>D63/215</t>
  </si>
  <si>
    <t>978-7-5581-8840-4</t>
  </si>
  <si>
    <t>公共政策过程与绩效评估研究</t>
  </si>
  <si>
    <t>来丽锋</t>
  </si>
  <si>
    <t>D63/216</t>
  </si>
  <si>
    <t>978-7-5194-5748-8</t>
  </si>
  <si>
    <t>新媒体参与社会治理的“优”与“忧”</t>
  </si>
  <si>
    <t>王健, 金旭阳</t>
  </si>
  <si>
    <t>D63/217</t>
  </si>
  <si>
    <t>978-7-01-022850-1</t>
  </si>
  <si>
    <t>中国社会治理如何开启现代化</t>
  </si>
  <si>
    <t>杨宜勇</t>
  </si>
  <si>
    <t>D63/218</t>
  </si>
  <si>
    <t>978-7-208-17465-8</t>
  </si>
  <si>
    <t>社会风险评估与治理的中国实践</t>
  </si>
  <si>
    <t>孔祥涛, 汪伟全</t>
  </si>
  <si>
    <t>D63/219</t>
  </si>
  <si>
    <t>978-7-5639-6940-1</t>
  </si>
  <si>
    <t>全媒体视域下的社会治理研究</t>
  </si>
  <si>
    <t>墨玉</t>
  </si>
  <si>
    <t>D63/220</t>
  </si>
  <si>
    <t>978-7-01-023366-6</t>
  </si>
  <si>
    <t>当代中国社会公共参与有序化研究</t>
  </si>
  <si>
    <t>陈付龙</t>
  </si>
  <si>
    <t>D63/221</t>
  </si>
  <si>
    <t>978-7-5692-7220-8</t>
  </si>
  <si>
    <t>基层社会治理与社会服务研究</t>
  </si>
  <si>
    <t>何一, 冯丽丽</t>
  </si>
  <si>
    <t>D63/222</t>
  </si>
  <si>
    <t>978-7-5130-7613-5</t>
  </si>
  <si>
    <t>公众获取政府信息渠道选择及策略研究</t>
  </si>
  <si>
    <t>朱红灿</t>
  </si>
  <si>
    <t>D63/223</t>
  </si>
  <si>
    <t>978-7-5692-7986-3</t>
  </si>
  <si>
    <t>社会数字治理信用化体系建设研究</t>
  </si>
  <si>
    <t>周金泉</t>
  </si>
  <si>
    <t>D63/224</t>
  </si>
  <si>
    <t>978-7-5201-9219-4</t>
  </si>
  <si>
    <t>论社会治理的公众参与权</t>
  </si>
  <si>
    <t>杨新元</t>
  </si>
  <si>
    <t>D63/225</t>
  </si>
  <si>
    <t>978-7-201-16463-2</t>
  </si>
  <si>
    <t>技术型治理的基层实践: 中国城乡基层治理研究</t>
  </si>
  <si>
    <t>肖唐镖</t>
  </si>
  <si>
    <t>D63/226</t>
  </si>
  <si>
    <t>978-7-5684-1644-3</t>
  </si>
  <si>
    <t>公共管理教学案例解析</t>
  </si>
  <si>
    <t>周绿林, 陈浩, 许远旺</t>
  </si>
  <si>
    <t>江苏大学出版社</t>
  </si>
  <si>
    <t>D63/227</t>
  </si>
  <si>
    <t>978-7-5046-9008-1</t>
  </si>
  <si>
    <t>探路智慧社会</t>
  </si>
  <si>
    <t>之江实验室</t>
  </si>
  <si>
    <t>中国科学技术出版社</t>
  </si>
  <si>
    <t>D63/228</t>
  </si>
  <si>
    <t>978-7-01-023653-7</t>
  </si>
  <si>
    <t>社会风险治理研究</t>
  </si>
  <si>
    <t>刘秦民, 张建华, 张青兰</t>
  </si>
  <si>
    <t>D63/229</t>
  </si>
  <si>
    <t>978-7-5693-1827-2</t>
  </si>
  <si>
    <t>一体化指挥调度: 社会治理安全场景数字化</t>
  </si>
  <si>
    <t>一体化指挥调度技术国家工程实验室</t>
  </si>
  <si>
    <t>西安交通大学出版社</t>
  </si>
  <si>
    <t>D63/230</t>
  </si>
  <si>
    <t>978-7-5671-4269-5</t>
  </si>
  <si>
    <t>改革开放以来中国行政价值观演进研究: 以上海为例</t>
  </si>
  <si>
    <t>杨舒涵</t>
  </si>
  <si>
    <t>上海大学出版社</t>
  </si>
  <si>
    <t>D63/231</t>
  </si>
  <si>
    <t>978-7-5484-5824-1</t>
  </si>
  <si>
    <t>社会治理实践探索</t>
  </si>
  <si>
    <t>梅文娟</t>
  </si>
  <si>
    <t>D63/232</t>
  </si>
  <si>
    <t>978-7-5210-0799-2</t>
  </si>
  <si>
    <t>建设服务型政府. 2021: 中国政务热线服务能力发展报告</t>
  </si>
  <si>
    <t>黄国彬, 陈亮, 邓金花</t>
  </si>
  <si>
    <t>海洋出版社</t>
  </si>
  <si>
    <t>D630.1/241/2021</t>
  </si>
  <si>
    <t>978-7-5130-3046-5</t>
  </si>
  <si>
    <t>政府购买: 公共文化服务社会化路径研究</t>
  </si>
  <si>
    <t>刘京晶</t>
  </si>
  <si>
    <t>D630.1/242</t>
  </si>
  <si>
    <t>978-7-300-27712-7</t>
  </si>
  <si>
    <t>法治视野下的政府权力结构和运行机制研究: 决策权、执行权、监督权的制约与协调问卷调查数据分析</t>
  </si>
  <si>
    <t>薛刚凌</t>
  </si>
  <si>
    <t>D630.1/243</t>
  </si>
  <si>
    <t>978-7-5690-3685-5</t>
  </si>
  <si>
    <t>新时代中国公务员培训特色与创新研究</t>
  </si>
  <si>
    <t>练忆茹</t>
  </si>
  <si>
    <t>D630.3/716</t>
  </si>
  <si>
    <t>978-7-5150-2554-4</t>
  </si>
  <si>
    <t>为与位: 新时代年轻干部如何健康成长</t>
  </si>
  <si>
    <t>黄明哲</t>
  </si>
  <si>
    <t>中共中央党校出版社</t>
  </si>
  <si>
    <t>D630.3/717</t>
  </si>
  <si>
    <t>978-7-5672-3400-0</t>
  </si>
  <si>
    <t>公务员能力建设的有效性问题研究</t>
  </si>
  <si>
    <t>王玉玫</t>
  </si>
  <si>
    <t>苏州大学出版社</t>
  </si>
  <si>
    <t>D630.3/718</t>
  </si>
  <si>
    <t>978-7-01-023912-5</t>
  </si>
  <si>
    <t>年轻干部要可堪大用能担重任</t>
  </si>
  <si>
    <t>洪向华</t>
  </si>
  <si>
    <t>D630.3/719</t>
  </si>
  <si>
    <t>978-7-5194-5862-1</t>
  </si>
  <si>
    <t>创新文化视域下的干部培训互动式教学研究</t>
  </si>
  <si>
    <t>张品茹</t>
  </si>
  <si>
    <t>D630.3/720</t>
  </si>
  <si>
    <t>978-7-5638-3240-8</t>
  </si>
  <si>
    <t>治贤之道: 创建中国高级专业技术类公务员制度研究</t>
  </si>
  <si>
    <t>潘娜</t>
  </si>
  <si>
    <t>D630.3/721</t>
  </si>
  <si>
    <t>978-7-5087-6452-8</t>
  </si>
  <si>
    <t>网络群体性事件及其防范和治理研究</t>
  </si>
  <si>
    <t>王敏</t>
  </si>
  <si>
    <t>D630.8/34</t>
  </si>
  <si>
    <t>978-7-5008-7692-2</t>
  </si>
  <si>
    <t>御风法则: 社会注意力风暴研判</t>
  </si>
  <si>
    <t>刘鹏飞</t>
  </si>
  <si>
    <t>中国工人出版社</t>
  </si>
  <si>
    <t>D630.8/35</t>
  </si>
  <si>
    <t>978-7-5614-8937-6</t>
  </si>
  <si>
    <t>“画”说安全</t>
  </si>
  <si>
    <t>成都市机关事务管理局</t>
  </si>
  <si>
    <t>D630.8/36</t>
  </si>
  <si>
    <t>978-7-300-28722-5</t>
  </si>
  <si>
    <t>中国应急管理制度创新: 国家治理现代化视角</t>
  </si>
  <si>
    <t>高小平, 刘一弘</t>
  </si>
  <si>
    <t>D630.8/37</t>
  </si>
  <si>
    <t>978-7-03-065634-6</t>
  </si>
  <si>
    <t>公共安全管理研究</t>
  </si>
  <si>
    <t>闪淳昌</t>
  </si>
  <si>
    <t>D630.8/38</t>
  </si>
  <si>
    <t>978-7-5645-7430-7</t>
  </si>
  <si>
    <t>高校强化政治监督突出日常监督工作机制研究</t>
  </si>
  <si>
    <t>许东升</t>
  </si>
  <si>
    <t>郑州大学出版社</t>
  </si>
  <si>
    <t>D630.9/134</t>
  </si>
  <si>
    <t>978-7-5653-3963-9</t>
  </si>
  <si>
    <t>新时代“枫桥经验”与基层社会治安治理创新</t>
  </si>
  <si>
    <t>中国人民公安大学“枫桥经验”研究中心, 公安部公安发展战略研究所“枫桥经验”研究中心</t>
  </si>
  <si>
    <t>D631.4/35</t>
  </si>
  <si>
    <t>978-7-5484-5458-8</t>
  </si>
  <si>
    <t>中国流动人口社会保障管理研究</t>
  </si>
  <si>
    <t>吴丽丽</t>
  </si>
  <si>
    <t>D631.42/10</t>
  </si>
  <si>
    <t>978-7-5201-4582-4</t>
  </si>
  <si>
    <t>跨体制群体: “自理口粮”户籍身份的结构化形塑</t>
  </si>
  <si>
    <t>刘杰</t>
  </si>
  <si>
    <t>D631.42/9</t>
  </si>
  <si>
    <t>978-7-5201-9221-7</t>
  </si>
  <si>
    <t>中国非传统安全研究报告. 2020-2021</t>
  </si>
  <si>
    <t>魏志江, 谢贵平, 廖丹子</t>
  </si>
  <si>
    <t>D631/85/2020-2021</t>
  </si>
  <si>
    <t>978-7-5607-6943-1</t>
  </si>
  <si>
    <t>暖警心语</t>
  </si>
  <si>
    <t>丁文俊, 单冬, 鞠丽华</t>
  </si>
  <si>
    <t>D631/90</t>
  </si>
  <si>
    <t>978-7-5013-5425-2</t>
  </si>
  <si>
    <t>面向国家安全的情报研究</t>
  </si>
  <si>
    <t>石进</t>
  </si>
  <si>
    <t>D631/91</t>
  </si>
  <si>
    <t>978-7-5022-9630-8</t>
  </si>
  <si>
    <t>中国特色社会保障发展的理论与问题研究</t>
  </si>
  <si>
    <t>周楠</t>
  </si>
  <si>
    <t>中国原子能出版社</t>
  </si>
  <si>
    <t>D632.1/234</t>
  </si>
  <si>
    <t>978-7-01-022008-6</t>
  </si>
  <si>
    <t>新时代民生建设的理论与实践研究</t>
  </si>
  <si>
    <t>李全宏</t>
  </si>
  <si>
    <t>D632.1/235</t>
  </si>
  <si>
    <t>978-7-5166-5265-7</t>
  </si>
  <si>
    <t>好干部的民生课</t>
  </si>
  <si>
    <t>D632.1/236</t>
  </si>
  <si>
    <t>978-7-5201-9018-3</t>
  </si>
  <si>
    <t>发展型社会救助政策</t>
  </si>
  <si>
    <t>慈勤英</t>
  </si>
  <si>
    <t>D632.1/237</t>
  </si>
  <si>
    <t>978-7-5225-0475-9</t>
  </si>
  <si>
    <t>中国社会保障相关问题研究</t>
  </si>
  <si>
    <t>杨良初</t>
  </si>
  <si>
    <t>D632.1/238</t>
  </si>
  <si>
    <t>978-7-300-26821-7</t>
  </si>
  <si>
    <t>福利与伦理: 基本理论与实证研究</t>
  </si>
  <si>
    <t>陈燕, 臧政</t>
  </si>
  <si>
    <t>D632.1/239</t>
  </si>
  <si>
    <t>978-7-5690-4875-9</t>
  </si>
  <si>
    <t>公益新媒体视频传播与创作</t>
  </si>
  <si>
    <t>黄晓波, 张宏树</t>
  </si>
  <si>
    <t>D632.1/240</t>
  </si>
  <si>
    <t>978-7-229-15344-1</t>
  </si>
  <si>
    <t>“互联网+慈善”在重庆的实践与应用</t>
  </si>
  <si>
    <t>杨艳梅, 游浚, 况由志</t>
  </si>
  <si>
    <t>D632.1/241</t>
  </si>
  <si>
    <t>978-7-5103-3981-3</t>
  </si>
  <si>
    <t>社会工作平台管理</t>
  </si>
  <si>
    <t>魏晨, 李同</t>
  </si>
  <si>
    <t>D632/78</t>
  </si>
  <si>
    <t>978-7-5201-9071-8</t>
  </si>
  <si>
    <t>行走的社工: 专业·爱·成长</t>
  </si>
  <si>
    <t>任敏</t>
  </si>
  <si>
    <t>D632/79</t>
  </si>
  <si>
    <t>978-7-5087-6123-7</t>
  </si>
  <si>
    <t>纪念改革开放40周年四川民政事业发展蓝皮书. 上册</t>
  </si>
  <si>
    <t>四川省民政厅</t>
  </si>
  <si>
    <t>D632/80/1</t>
  </si>
  <si>
    <t>纪念改革开放40周年四川民政事业发展蓝皮书. 下册</t>
  </si>
  <si>
    <t>D632/80/2</t>
  </si>
  <si>
    <t>978-7-03-065403-8</t>
  </si>
  <si>
    <t>社会工作与西部社会发展研究</t>
  </si>
  <si>
    <t>赵军雷, 叶平芳, 栗学钟</t>
  </si>
  <si>
    <t>D633/54</t>
  </si>
  <si>
    <t>978-7-5194-5610-8</t>
  </si>
  <si>
    <t>微传播与网络善治</t>
  </si>
  <si>
    <t>王君超, 易艳刚</t>
  </si>
  <si>
    <t>D63-39/10</t>
  </si>
  <si>
    <t>978-7-5638-3278-1</t>
  </si>
  <si>
    <t>新时期乡村治理的路径研究</t>
  </si>
  <si>
    <t>章浩, 李国梁, 刘莹</t>
  </si>
  <si>
    <t>D638/60</t>
  </si>
  <si>
    <t>978-7-5720-1250-1</t>
  </si>
  <si>
    <t>联结与生成: 为学生发展而教</t>
  </si>
  <si>
    <t>张尚达</t>
  </si>
  <si>
    <t>D64/147</t>
  </si>
  <si>
    <t>978-7-5196-0810-1</t>
  </si>
  <si>
    <t>文化视阈中的思想政治教育研究</t>
  </si>
  <si>
    <t>刘迎光</t>
  </si>
  <si>
    <t>经济日报出版社</t>
  </si>
  <si>
    <t>D64/148</t>
  </si>
  <si>
    <t>978-7-5607-7141-0</t>
  </si>
  <si>
    <t>思想政治教育学科前沿问题研究</t>
  </si>
  <si>
    <t>杨立蛟, 常春, 邵勇</t>
  </si>
  <si>
    <t>D64/149</t>
  </si>
  <si>
    <t>978-7-5690-3889-7</t>
  </si>
  <si>
    <t>新时代思想政治教育前沿问题研究. 第一辑</t>
  </si>
  <si>
    <t>李辽宁, 石立春</t>
  </si>
  <si>
    <t>D64/150/1</t>
  </si>
  <si>
    <t>978-7-5194-5985-7</t>
  </si>
  <si>
    <t>化与认同: 思想政治教育实践机制的深层理论探究</t>
  </si>
  <si>
    <t>奚彦辉</t>
  </si>
  <si>
    <t>D64/151</t>
  </si>
  <si>
    <t>978-7-5716-1007-4</t>
  </si>
  <si>
    <t>新时代思想政治教育理论与实践探索</t>
  </si>
  <si>
    <t>江洪明, 秦海燕</t>
  </si>
  <si>
    <t>沈阳出版社</t>
  </si>
  <si>
    <t>D64/152</t>
  </si>
  <si>
    <t>978-7-5068-8064-0</t>
  </si>
  <si>
    <t>思想政治教育前沿问题研究</t>
  </si>
  <si>
    <t>张晓红</t>
  </si>
  <si>
    <t>中国书籍出版社</t>
  </si>
  <si>
    <t>D64/153</t>
  </si>
  <si>
    <t>978-7-5194-5900-0</t>
  </si>
  <si>
    <t>马克思主义实践观视域下的思想政治教育评价论</t>
  </si>
  <si>
    <t>张春秀</t>
  </si>
  <si>
    <t>D64/154</t>
  </si>
  <si>
    <t>978-7-5194-6064-8</t>
  </si>
  <si>
    <t>新时代思想政治教育个体价值及社会实践研究</t>
  </si>
  <si>
    <t>王瑞娜</t>
  </si>
  <si>
    <t>D64/155</t>
  </si>
  <si>
    <t>978-7-5225-0634-0</t>
  </si>
  <si>
    <t>中国古代政教思想及其制度研究. 上</t>
  </si>
  <si>
    <t>李英华</t>
  </si>
  <si>
    <t>D64/156/1</t>
  </si>
  <si>
    <t>中国古代政教思想及其制度研究. 下</t>
  </si>
  <si>
    <t>D64/156/2</t>
  </si>
  <si>
    <t>978-7-5143-8948-7</t>
  </si>
  <si>
    <t>现代思想政治教育的文化价值研究</t>
  </si>
  <si>
    <t>刘萍萍</t>
  </si>
  <si>
    <t>D64/157</t>
  </si>
  <si>
    <t>978-7-5763-0206-6</t>
  </si>
  <si>
    <t>社会主义核心价值观融入主题班会教程</t>
  </si>
  <si>
    <t>薛运强, 崔邦军, 孔杰</t>
  </si>
  <si>
    <t>D641/5</t>
  </si>
  <si>
    <t>978-7-5570-2387-4</t>
  </si>
  <si>
    <t>新媒体时代红色旅游教育元素融入高校思政教育研究</t>
  </si>
  <si>
    <t>刘云鹤</t>
  </si>
  <si>
    <t>D642/16</t>
  </si>
  <si>
    <t>978-7-5115-7164-9</t>
  </si>
  <si>
    <t>大主题 巧叙事 慧传承: 红色基因如何“智”胜未来</t>
  </si>
  <si>
    <t>张蕾蕾</t>
  </si>
  <si>
    <t>D647/39</t>
  </si>
  <si>
    <t>978-7-5692-8419-5</t>
  </si>
  <si>
    <t>公民德性教育论</t>
  </si>
  <si>
    <t>闫闯</t>
  </si>
  <si>
    <t>D648.3/92</t>
  </si>
  <si>
    <t>978-7-5166-3960-3</t>
  </si>
  <si>
    <t>新时代公民道德建设读本</t>
  </si>
  <si>
    <t>D648.3/93</t>
  </si>
  <si>
    <t>978-7-01-022417-6</t>
  </si>
  <si>
    <t>新时代中国特色社会主义道德建设研究</t>
  </si>
  <si>
    <t>朱金瑞</t>
  </si>
  <si>
    <t>D648.3/94</t>
  </si>
  <si>
    <t>978-7-305-24907-5</t>
  </si>
  <si>
    <t>公民素质通论</t>
  </si>
  <si>
    <t>施向峰, 丁志春</t>
  </si>
  <si>
    <t>D648.3/95</t>
  </si>
  <si>
    <t>978-7-01-022859-4</t>
  </si>
  <si>
    <t>正谊明道: 中国新型政党制度何以为新</t>
  </si>
  <si>
    <t>徐锋, 高国升</t>
  </si>
  <si>
    <t>D665/27</t>
  </si>
  <si>
    <t>978-7-5169-1508-0</t>
  </si>
  <si>
    <t>社会力学: 了解社会/理解社会/改造社会</t>
  </si>
  <si>
    <t>郭玉生</t>
  </si>
  <si>
    <t>华龄出版社</t>
  </si>
  <si>
    <t>D668/152</t>
  </si>
  <si>
    <t>978-7-301-22721-3</t>
  </si>
  <si>
    <t>新乡土中国</t>
  </si>
  <si>
    <t>贺雪峰</t>
  </si>
  <si>
    <t>D668/153=D</t>
  </si>
  <si>
    <t>978-7-5085-4241-6</t>
  </si>
  <si>
    <t>当代中国社会</t>
  </si>
  <si>
    <t>李文</t>
  </si>
  <si>
    <t>D668/154=2D</t>
  </si>
  <si>
    <t>978-7-5096-7680-6</t>
  </si>
  <si>
    <t>乡野调研实录集</t>
  </si>
  <si>
    <t>刘善庆, 黎志辉</t>
  </si>
  <si>
    <t>D668/155</t>
  </si>
  <si>
    <t>978-7-01-023748-0</t>
  </si>
  <si>
    <t>新发展理念下的民生与社会</t>
  </si>
  <si>
    <t>丁元竹</t>
  </si>
  <si>
    <t>D668/156</t>
  </si>
  <si>
    <t>978-7-5130-7402-5</t>
  </si>
  <si>
    <t>当代家庭问题与社会工作</t>
  </si>
  <si>
    <t>杨柳</t>
  </si>
  <si>
    <t>D669.1/78</t>
  </si>
  <si>
    <t>978-7-300-28084-4</t>
  </si>
  <si>
    <t>抗疫助业: 重大公共卫生事件下的就业保障</t>
  </si>
  <si>
    <t>杨伟国, 孙世玉, 张晓媚</t>
  </si>
  <si>
    <t>D669.2/83</t>
  </si>
  <si>
    <t>978-7-5504-4711-0</t>
  </si>
  <si>
    <t>基本公共服务城乡差异测度、困境及解决路径研究</t>
  </si>
  <si>
    <t>张霞</t>
  </si>
  <si>
    <t>D669.3/264</t>
  </si>
  <si>
    <t>978-7-5692-6812-6</t>
  </si>
  <si>
    <t>中国基本公共服务均等化: 实施效度与实现程度评估研究</t>
  </si>
  <si>
    <t>张婵娟, 尚虎平</t>
  </si>
  <si>
    <t>D669.3/265</t>
  </si>
  <si>
    <t>978-7-01-022743-6</t>
  </si>
  <si>
    <t>城乡基本公共服务均等化实现机制: 理论与实践</t>
  </si>
  <si>
    <t>余佶</t>
  </si>
  <si>
    <t>D669.3/266</t>
  </si>
  <si>
    <t>978-7-01-023763-3</t>
  </si>
  <si>
    <t>国家治理现代化背景下的公共服务体系建设</t>
  </si>
  <si>
    <t>邢伟</t>
  </si>
  <si>
    <t>D669.3/267</t>
  </si>
  <si>
    <t>978-7-5201-4255-7</t>
  </si>
  <si>
    <t>中国公众环境行为逻辑</t>
  </si>
  <si>
    <t>王晓楠</t>
  </si>
  <si>
    <t>D669.3/268</t>
  </si>
  <si>
    <t>978-7-5092-1988-1</t>
  </si>
  <si>
    <t>加强社会公共服务体系建设</t>
  </si>
  <si>
    <t>D669.3/269</t>
  </si>
  <si>
    <t>978-7-5194-6119-5</t>
  </si>
  <si>
    <t>网络空间: 情感动员与规则体认</t>
  </si>
  <si>
    <t>刘玉梅</t>
  </si>
  <si>
    <t>D669.4/4</t>
  </si>
  <si>
    <t>978-7-5620-9950-5</t>
  </si>
  <si>
    <t>网络谣言的法律治理研究</t>
  </si>
  <si>
    <t>林华</t>
  </si>
  <si>
    <t>D669.4/5</t>
  </si>
  <si>
    <t>978-7-5194-6105-8</t>
  </si>
  <si>
    <t>青年网络画像与媒介素养</t>
  </si>
  <si>
    <t>叶燊</t>
  </si>
  <si>
    <t>D669.4/6</t>
  </si>
  <si>
    <t>978-7-5169-1756-5</t>
  </si>
  <si>
    <t>新时代积极应对人口老龄化研究文集. 2020</t>
  </si>
  <si>
    <t>中国老年学和老年医学学会</t>
  </si>
  <si>
    <t>D669.6/94/2020</t>
  </si>
  <si>
    <t>978-7-208-17342-2</t>
  </si>
  <si>
    <t>情理与正义: 转型期中国社会的伦理学原理</t>
  </si>
  <si>
    <t>汪丁丁</t>
  </si>
  <si>
    <t>D669/137</t>
  </si>
  <si>
    <t>978-7-5638-3141-8</t>
  </si>
  <si>
    <t>北京“四个中心”配套服务体系建设研究</t>
  </si>
  <si>
    <t>何明珂, 魏国辰</t>
  </si>
  <si>
    <t>D669/138</t>
  </si>
  <si>
    <t>978-7-5661-2461-6</t>
  </si>
  <si>
    <t>社会工作实务案例评析</t>
  </si>
  <si>
    <t>杨国庆, 刘辉</t>
  </si>
  <si>
    <t>哈尔滨工程大学出版社</t>
  </si>
  <si>
    <t>D669/139</t>
  </si>
  <si>
    <t>978-7-5087-6434-4</t>
  </si>
  <si>
    <t>高校教师创办社会工作机构口述史. 第一卷</t>
  </si>
  <si>
    <t>易松国</t>
  </si>
  <si>
    <t>D669/140/1</t>
  </si>
  <si>
    <t>978-7-109-28641-2</t>
  </si>
  <si>
    <t>高级社会工作理论与实务</t>
  </si>
  <si>
    <t>张红</t>
  </si>
  <si>
    <t>中国农业出版社</t>
  </si>
  <si>
    <t>D669/141</t>
  </si>
  <si>
    <t>978-7-5762-1913-5</t>
  </si>
  <si>
    <t>新时代“枫桥经验”在诸暨的实践</t>
  </si>
  <si>
    <t>陈婵, 万泽民</t>
  </si>
  <si>
    <t>江西高校出版社</t>
  </si>
  <si>
    <t>D675.54/2</t>
  </si>
  <si>
    <t>978-7-5473-1724-2</t>
  </si>
  <si>
    <t>中国盐政史</t>
  </si>
  <si>
    <t>曾仰丰</t>
  </si>
  <si>
    <t>东方出版中心</t>
  </si>
  <si>
    <t>D69/43-2</t>
  </si>
  <si>
    <t>978-7-220-12096-1</t>
  </si>
  <si>
    <t>清代社会的贱民等级</t>
  </si>
  <si>
    <t>经君健</t>
  </si>
  <si>
    <t>D691.2/22-2</t>
  </si>
  <si>
    <t>978-7-5217-2398-4</t>
  </si>
  <si>
    <t>法度与人心: 帝制时期人与制度的互动</t>
  </si>
  <si>
    <t>赵冬梅</t>
  </si>
  <si>
    <t>D691.2/79</t>
  </si>
  <si>
    <t>978-7-214-25735-2</t>
  </si>
  <si>
    <t>宋帝国的危机与维系: 信息、领土与人际网络</t>
  </si>
  <si>
    <t>(比利时) 魏希德</t>
  </si>
  <si>
    <t>D691.2/80</t>
  </si>
  <si>
    <t>978-7-108-07167-5</t>
  </si>
  <si>
    <t>清代政治论稿</t>
  </si>
  <si>
    <t>郭成康</t>
  </si>
  <si>
    <t>D691.21/25</t>
  </si>
  <si>
    <t>978-7-303-26409-4</t>
  </si>
  <si>
    <t>察举制度变迁史稿</t>
  </si>
  <si>
    <t>阎步克</t>
  </si>
  <si>
    <t>D691.4/3-2</t>
  </si>
  <si>
    <t>978-7-300-29977-8</t>
  </si>
  <si>
    <t>惊隐诗社研究</t>
  </si>
  <si>
    <t>周于飞</t>
  </si>
  <si>
    <t>D691.71/42</t>
  </si>
  <si>
    <t>978-7-5117-3807-3</t>
  </si>
  <si>
    <t>两汉长者研究</t>
  </si>
  <si>
    <t>匡长用</t>
  </si>
  <si>
    <t>D691.71/43</t>
  </si>
  <si>
    <t>978-7-5347-9863-4</t>
  </si>
  <si>
    <t>宋人筆記視域下的唐五代社會</t>
  </si>
  <si>
    <t>張劍光</t>
  </si>
  <si>
    <t>大象出版社</t>
  </si>
  <si>
    <t>D691.9/45</t>
  </si>
  <si>
    <t>978-7-5008-7456-0</t>
  </si>
  <si>
    <t>清代社会日常生活</t>
  </si>
  <si>
    <t>冯尔康</t>
  </si>
  <si>
    <t>D691.9/46</t>
  </si>
  <si>
    <t>978-7-5008-7455-3</t>
  </si>
  <si>
    <t>古人日常生活与社会风俗</t>
  </si>
  <si>
    <t>D691.9/47</t>
  </si>
  <si>
    <t>978-7-214-06835-4</t>
  </si>
  <si>
    <t>矢志不渝: 明清时期的贞女现象</t>
  </si>
  <si>
    <t>(美) 卢苇菁</t>
  </si>
  <si>
    <t>D691.91/22</t>
  </si>
  <si>
    <t>978-7-214-25354-5</t>
  </si>
  <si>
    <t>中国精英与政治变迁: 20世纪初的浙江</t>
  </si>
  <si>
    <t>(美) 萧邦奇</t>
  </si>
  <si>
    <t>D691/174</t>
  </si>
  <si>
    <t>978-7-201-14668-3</t>
  </si>
  <si>
    <t>一代直声 百年尽瘁: 梁漱溟乡村建设运动研究</t>
  </si>
  <si>
    <t>崔慧姝</t>
  </si>
  <si>
    <t>D693.62/9</t>
  </si>
  <si>
    <t>978-7-5615-7824-7</t>
  </si>
  <si>
    <t>档案中的永定近代社会生活</t>
  </si>
  <si>
    <t>董兴艳</t>
  </si>
  <si>
    <t>D693.93/5</t>
  </si>
  <si>
    <t>978-7-5195-0458-8</t>
  </si>
  <si>
    <t>同盟视域下日本国家安全战略转型研究</t>
  </si>
  <si>
    <t>徐万胜</t>
  </si>
  <si>
    <t>D731.33/4</t>
  </si>
  <si>
    <t>978-7-313-25687-4</t>
  </si>
  <si>
    <t>日本当代社会问题研究与评析</t>
  </si>
  <si>
    <t>管纪龙</t>
  </si>
  <si>
    <t>D731.38/11</t>
  </si>
  <si>
    <t>978-7-5195-0302-4</t>
  </si>
  <si>
    <t>“一带一路”背景下阿拉伯智库研究</t>
  </si>
  <si>
    <t>李意</t>
  </si>
  <si>
    <t>D737/5</t>
  </si>
  <si>
    <t>978-7-5133-3996-4</t>
  </si>
  <si>
    <t>美国独行: 西方世界的末日</t>
  </si>
  <si>
    <t>(加) 马克·斯坦恩</t>
  </si>
  <si>
    <t>新星出版社</t>
  </si>
  <si>
    <t>D750.69/1=2D</t>
  </si>
  <si>
    <t>978-7-5195-0415-1</t>
  </si>
  <si>
    <t>新世纪俄罗斯政治经济与外交</t>
  </si>
  <si>
    <t>徐光辉</t>
  </si>
  <si>
    <t>D751.2/7</t>
  </si>
  <si>
    <t>978-7-301-30215-6</t>
  </si>
  <si>
    <t>焦虑的社会: 德国当代的恐惧症</t>
  </si>
  <si>
    <t>(德) 海因茨·布德</t>
  </si>
  <si>
    <t>D751.68/2</t>
  </si>
  <si>
    <t>978-7-5426-7323-7</t>
  </si>
  <si>
    <t>Atlas of classical antiquities</t>
  </si>
  <si>
    <t>(德) 乔治·施莱伯, (英) 威廉·安德森</t>
  </si>
  <si>
    <t>D754.68/2</t>
  </si>
  <si>
    <t>978-7-5651-4756-2</t>
  </si>
  <si>
    <t>维多利亚时代的道德建设</t>
  </si>
  <si>
    <t>姜德福</t>
  </si>
  <si>
    <t>南京师范大学出版社</t>
  </si>
  <si>
    <t>D756.1/12</t>
  </si>
  <si>
    <t>英国城镇社会转型与发展</t>
  </si>
  <si>
    <t>陆伟芳</t>
  </si>
  <si>
    <t>D756.1/13</t>
  </si>
  <si>
    <t>英国治安防控与警察发展</t>
  </si>
  <si>
    <t>吴铁稳</t>
  </si>
  <si>
    <t>D756.135/2</t>
  </si>
  <si>
    <t>978-7-309-15751-2</t>
  </si>
  <si>
    <t>现代英国的社会流动与阶级结构</t>
  </si>
  <si>
    <t>(英) 约翰·H. 戈德索普</t>
  </si>
  <si>
    <t>复旦大学出版社</t>
  </si>
  <si>
    <t>D756.161/3</t>
  </si>
  <si>
    <t>近代英国人口、婚姻与家庭</t>
  </si>
  <si>
    <t>傅新球</t>
  </si>
  <si>
    <t>D756.18/4</t>
  </si>
  <si>
    <t>978-7-5195-0382-6</t>
  </si>
  <si>
    <t>美国大势. 2019</t>
  </si>
  <si>
    <t>中国现代国际关系研究院美国研究所</t>
  </si>
  <si>
    <t>D771.2/72/2019</t>
  </si>
  <si>
    <t>978-7-300-29990-7</t>
  </si>
  <si>
    <t>无法实现的美国“平等梦”: 美国“肯定性行动”与黑人就业</t>
  </si>
  <si>
    <t>杨超</t>
  </si>
  <si>
    <t>D771.222/8</t>
  </si>
  <si>
    <t>978-7-309-15263-0</t>
  </si>
  <si>
    <t>美国印太安全布局研究</t>
  </si>
  <si>
    <t>韦宗友</t>
  </si>
  <si>
    <t>D771.235/12</t>
  </si>
  <si>
    <t>978-7-5195-0376-5</t>
  </si>
  <si>
    <t>美国国家情报战略研究</t>
  </si>
  <si>
    <t>谢海星, 钟思礼</t>
  </si>
  <si>
    <t>D771.236/19</t>
  </si>
  <si>
    <t>978-7-5520-3092-1</t>
  </si>
  <si>
    <t>美国社会危机</t>
  </si>
  <si>
    <t xml:space="preserve"> (美) 杰罗米·H. 什科尔尼克, 埃利奥特·柯里</t>
  </si>
  <si>
    <t>D771.28/29</t>
  </si>
  <si>
    <t>978-7-5008-7636-6</t>
  </si>
  <si>
    <t>美国危机: 时代的真相与被放纵的自由</t>
  </si>
  <si>
    <t>石述思</t>
  </si>
  <si>
    <t>D771.28/30</t>
  </si>
  <si>
    <t>978-7-300-28544-3</t>
  </si>
  <si>
    <t>美国社会问题</t>
  </si>
  <si>
    <t>(美) 约翰·D. 卡尔</t>
  </si>
  <si>
    <t>D771.28/31</t>
  </si>
  <si>
    <t>978-7-01-022706-1</t>
  </si>
  <si>
    <t>马克思世界交往理论研究</t>
  </si>
  <si>
    <t>李维意</t>
  </si>
  <si>
    <t>D80/47</t>
  </si>
  <si>
    <t>978-7-307-22416-2</t>
  </si>
  <si>
    <t>外交礼仪与谈判</t>
  </si>
  <si>
    <t>吴蔚</t>
  </si>
  <si>
    <t>D802.2/11</t>
  </si>
  <si>
    <t>978-7-5195-0343-7</t>
  </si>
  <si>
    <t>全球化与利益共同体</t>
  </si>
  <si>
    <t>王琛, 宫秀川</t>
  </si>
  <si>
    <t>D81/106</t>
  </si>
  <si>
    <t>978-7-5092-1995-9</t>
  </si>
  <si>
    <t>世界百年未有之大变局初析</t>
  </si>
  <si>
    <t>D81/107</t>
  </si>
  <si>
    <t>978-7-5012-6364-6</t>
  </si>
  <si>
    <t>“话语操控”与安全化话语机制研究</t>
  </si>
  <si>
    <t>艾喜荣</t>
  </si>
  <si>
    <t>D81/108</t>
  </si>
  <si>
    <t>978-7-5012-6360-8</t>
  </si>
  <si>
    <t>人类命运共同体的愿景与实践: 第十届“池田大作思想国际学术研讨会”文集</t>
  </si>
  <si>
    <t>王荣华, 马场善久</t>
  </si>
  <si>
    <t>D81-53/10</t>
  </si>
  <si>
    <t>978-7-5561-2726-9</t>
  </si>
  <si>
    <t>时代之问 中国之答: 构建人类命运共同体</t>
  </si>
  <si>
    <t>王义桅</t>
  </si>
  <si>
    <t>D82/66</t>
  </si>
  <si>
    <t>978-7-01-023903-3</t>
  </si>
  <si>
    <t>推动构建人类命运共同体的理论内涵与实践路径研究</t>
  </si>
  <si>
    <t>邵发军</t>
  </si>
  <si>
    <t>D82/67</t>
  </si>
  <si>
    <t>978-7-5203-5922-1</t>
  </si>
  <si>
    <t>面向新时代的中拉关系</t>
  </si>
  <si>
    <t>吴白乙</t>
  </si>
  <si>
    <t>中国社会科学出版社</t>
  </si>
  <si>
    <t>D822.373/4</t>
  </si>
  <si>
    <t>978-7-01-023357-4</t>
  </si>
  <si>
    <t>大变局下的中国角色</t>
  </si>
  <si>
    <t>D822/45</t>
  </si>
  <si>
    <t>978-7-100-20380-7</t>
  </si>
  <si>
    <t>絲瓷之路. Ⅷ: 古代中外關係史研究</t>
  </si>
  <si>
    <t>餘太山, 李錦繡主編</t>
  </si>
  <si>
    <t>商務印書館</t>
  </si>
  <si>
    <t>D829/91/8</t>
  </si>
  <si>
    <t>978-7-301-31272-8</t>
  </si>
  <si>
    <t>如何高效学习法律</t>
  </si>
  <si>
    <t>(德) 芭芭拉·朗格</t>
  </si>
  <si>
    <t>D90/246</t>
  </si>
  <si>
    <t>978-7-302-58870-2</t>
  </si>
  <si>
    <t>学点法律, 避点坑: 有趣有料的法律科普</t>
  </si>
  <si>
    <t>隋兵</t>
  </si>
  <si>
    <t>D920.5/162=D</t>
  </si>
  <si>
    <t>978-7-5111-4796-7</t>
  </si>
  <si>
    <t>中华人民共和国行政处罚 (最新修订版) 条文案例解读</t>
  </si>
  <si>
    <t>王学堂</t>
  </si>
  <si>
    <t>中国环境出版集团</t>
  </si>
  <si>
    <t>D922.115/33=D</t>
  </si>
  <si>
    <t>978-7-5429-6774-9</t>
  </si>
  <si>
    <t>中华人民共和国现行税收法规及优惠政策解读: 2021年权威解读版</t>
  </si>
  <si>
    <t>《中华人民共和国现行税收法规及优惠政策解读》委会</t>
  </si>
  <si>
    <t>立信会计出版社</t>
  </si>
  <si>
    <t>D922.220/28/2021</t>
  </si>
  <si>
    <t>978-7-100-12713-4</t>
  </si>
  <si>
    <t>中国劳动法案例精读</t>
  </si>
  <si>
    <t>董保华</t>
  </si>
  <si>
    <t>D922.505/17</t>
  </si>
  <si>
    <t>978-7-301-32610-7</t>
  </si>
  <si>
    <t>经济学基础</t>
  </si>
  <si>
    <t>(美) 曼昆</t>
  </si>
  <si>
    <t>F0/522-2</t>
  </si>
  <si>
    <t>978-7-5225-0517-6</t>
  </si>
  <si>
    <t>经济学究竟是什么</t>
  </si>
  <si>
    <t>(美) 亚瑟·奥沙利文, 史蒂文·谢弗林, 斯蒂芬·佩雷斯</t>
  </si>
  <si>
    <t>F0/879</t>
  </si>
  <si>
    <t>978-7-305-25028-6</t>
  </si>
  <si>
    <t>实验经济学</t>
  </si>
  <si>
    <t>武志伟, 周耿</t>
  </si>
  <si>
    <t>F0/880</t>
  </si>
  <si>
    <t>978-7-5108-9548-7</t>
  </si>
  <si>
    <t>贝叶斯框架下门限模型的扩展研究</t>
  </si>
  <si>
    <t>朱艳丽, 黄德春, 张长征</t>
  </si>
  <si>
    <t>F0/881</t>
  </si>
  <si>
    <t>978-7-5327-8639-8</t>
  </si>
  <si>
    <t>Principles of economics</t>
  </si>
  <si>
    <t>Alfred Marshall</t>
  </si>
  <si>
    <t>上海译文出版社</t>
  </si>
  <si>
    <t>F0/882</t>
  </si>
  <si>
    <t>978-7-5096-8036-0</t>
  </si>
  <si>
    <t>经济学暨工商管理学科研究生专业英语</t>
  </si>
  <si>
    <t>张华平</t>
  </si>
  <si>
    <t>F0/883</t>
  </si>
  <si>
    <t>978-7-214-24863-3</t>
  </si>
  <si>
    <t>马克思与资本形成的动力学: 政治经济学的美学</t>
  </si>
  <si>
    <t>(加) 巴弗莱·贝斯特</t>
  </si>
  <si>
    <t>F0/884</t>
  </si>
  <si>
    <t>978-7-5484-5934-7</t>
  </si>
  <si>
    <t>共益理论构建与经济改革策论</t>
  </si>
  <si>
    <t>苑晟,苑东生</t>
  </si>
  <si>
    <t>F0/885</t>
  </si>
  <si>
    <t>978-7-5096-7558-8</t>
  </si>
  <si>
    <t>流行范式批判: 经济学的庸俗化取向</t>
  </si>
  <si>
    <t>朱富强</t>
  </si>
  <si>
    <t>F0/886</t>
  </si>
  <si>
    <t>978-7-5685-2986-0</t>
  </si>
  <si>
    <t>什么是经济学?</t>
  </si>
  <si>
    <t>原毅军</t>
  </si>
  <si>
    <t>大连理工大学出版社</t>
  </si>
  <si>
    <t>F0/887</t>
  </si>
  <si>
    <t>978-7-5642-3798-1</t>
  </si>
  <si>
    <t>市场与制度的政治经济学</t>
  </si>
  <si>
    <t>金子胜</t>
  </si>
  <si>
    <t>上海财经大学出版社</t>
  </si>
  <si>
    <t>F0/888</t>
  </si>
  <si>
    <t>978-7-5217-3306-8</t>
  </si>
  <si>
    <t>长寿时代: 从长寿、健康、财富的角度透视人类未来</t>
  </si>
  <si>
    <t>陈东升</t>
  </si>
  <si>
    <t>F0/889</t>
  </si>
  <si>
    <t>978-7-5442-9884-1</t>
  </si>
  <si>
    <t>经济用语图鉴</t>
  </si>
  <si>
    <t>(日) 花冈幸子</t>
  </si>
  <si>
    <t>南海出版公司</t>
  </si>
  <si>
    <t>F0/891</t>
  </si>
  <si>
    <t>978-7-5699-4403-7</t>
  </si>
  <si>
    <t>趣解经济学: 选择稳赚的人生</t>
  </si>
  <si>
    <t>(日) 神树兵辅</t>
  </si>
  <si>
    <t>F0/892</t>
  </si>
  <si>
    <t>978-7-5139-3246-2</t>
  </si>
  <si>
    <t>半小时经济学</t>
  </si>
  <si>
    <t>(日) 根井雅弘</t>
  </si>
  <si>
    <t>民主与建设出版社</t>
  </si>
  <si>
    <t>F0/893</t>
  </si>
  <si>
    <t>978-7-5142-3067-3</t>
  </si>
  <si>
    <t>1小时图解经济学</t>
  </si>
  <si>
    <t>(日) 铃木一之</t>
  </si>
  <si>
    <t>文化发展出版社</t>
  </si>
  <si>
    <t>F0/894</t>
  </si>
  <si>
    <t>978-7-5321-7497-3</t>
  </si>
  <si>
    <t>基本收入</t>
  </si>
  <si>
    <t>(英) 盖伊·斯坦丁</t>
  </si>
  <si>
    <t>上海文艺出版社</t>
  </si>
  <si>
    <t>F0/895</t>
  </si>
  <si>
    <t>从零开始读懂经济学</t>
  </si>
  <si>
    <t>F0/896</t>
  </si>
  <si>
    <t>978-7-5504-4470-6</t>
  </si>
  <si>
    <t>新编高级政治经济学</t>
  </si>
  <si>
    <t>刘灿, 李萍, 盖凯程</t>
  </si>
  <si>
    <t>F0/897</t>
  </si>
  <si>
    <t>978-7-5693-1569-1</t>
  </si>
  <si>
    <t>经济学的思维方式</t>
  </si>
  <si>
    <t>俞炜华, 赵媛</t>
  </si>
  <si>
    <t>F011/17</t>
  </si>
  <si>
    <t>978-7-5581-8618-9</t>
  </si>
  <si>
    <t>市场经济与城市管理</t>
  </si>
  <si>
    <t>高博文, 娄桂莲</t>
  </si>
  <si>
    <t>F014.3/49</t>
  </si>
  <si>
    <t>978-7-5207-2209-4</t>
  </si>
  <si>
    <t>新商机: 改变商业版图的100项蓝海</t>
  </si>
  <si>
    <t>(日) 日经BP综研</t>
  </si>
  <si>
    <t>F014.3/50</t>
  </si>
  <si>
    <t>978-7-5096-7127-6</t>
  </si>
  <si>
    <t>分配正义的实证之维: 实证社会选择的中国应用</t>
  </si>
  <si>
    <t>汪毅霖</t>
  </si>
  <si>
    <t>F014.4/35</t>
  </si>
  <si>
    <t>978-7-206-18078-1</t>
  </si>
  <si>
    <t>消费经济与消费者行为研究</t>
  </si>
  <si>
    <t>陈颖, 连波</t>
  </si>
  <si>
    <t>吉林人民出版社</t>
  </si>
  <si>
    <t>F014.5/32</t>
  </si>
  <si>
    <t>978-7-208-17334-7</t>
  </si>
  <si>
    <t>食物浪费的真相</t>
  </si>
  <si>
    <t>(美) 安德鲁·史密斯</t>
  </si>
  <si>
    <t>F014.5/33</t>
  </si>
  <si>
    <t>978-7-5327-8742-5</t>
  </si>
  <si>
    <t>论闲逸阶级</t>
  </si>
  <si>
    <t>(美) 索斯丹·凡勃伦(Thorstein Veblen)</t>
  </si>
  <si>
    <t>F014.5/34</t>
  </si>
  <si>
    <t>978-7-5217-2246-8</t>
  </si>
  <si>
    <t>宏观经济学</t>
  </si>
  <si>
    <t>(美) 达龙·阿西莫格鲁,  戴维·莱布森, 约翰·A. 李斯特</t>
  </si>
  <si>
    <t>F015/185</t>
  </si>
  <si>
    <t>978-7-5164-2531-2</t>
  </si>
  <si>
    <t>宏观经济学基础</t>
  </si>
  <si>
    <t>牛蕊</t>
  </si>
  <si>
    <t>企业管理出版社</t>
  </si>
  <si>
    <t>F015/186</t>
  </si>
  <si>
    <t>978-7-5096-7821-3</t>
  </si>
  <si>
    <t>实验宏观经济学的理论框架与政策应用研究</t>
  </si>
  <si>
    <t>付婷婷</t>
  </si>
  <si>
    <t>F015/187</t>
  </si>
  <si>
    <t>978-7-5139-3278-3</t>
  </si>
  <si>
    <t>一本书读懂宏观经济</t>
  </si>
  <si>
    <t>熊靖宇</t>
  </si>
  <si>
    <t>F015/188</t>
  </si>
  <si>
    <t>978-7-5096-6434-6</t>
  </si>
  <si>
    <t>微观经济学</t>
  </si>
  <si>
    <t>于永娟, 魏鑫</t>
  </si>
  <si>
    <t>F016/158</t>
  </si>
  <si>
    <t>978-7-5096-8085-8</t>
  </si>
  <si>
    <t>动态经济学: 方法、应用与基于MATLAB的实现</t>
  </si>
  <si>
    <t>赵果庆</t>
  </si>
  <si>
    <t>F019.2/3</t>
  </si>
  <si>
    <t>978-7-5096-8146-6</t>
  </si>
  <si>
    <t>低调还是张扬?: 消费者信号迷失现象的成因与干预研究</t>
  </si>
  <si>
    <t>王汪帅</t>
  </si>
  <si>
    <t>F036.3/5</t>
  </si>
  <si>
    <t>978-7-5446-6731-9</t>
  </si>
  <si>
    <t>解析约翰·A. 霍布森《帝国主义》</t>
  </si>
  <si>
    <t>Riley Quinn</t>
  </si>
  <si>
    <t>F038/15</t>
  </si>
  <si>
    <t>978-7-5477-3973-0</t>
  </si>
  <si>
    <t>认知世界的经济学</t>
  </si>
  <si>
    <t>钱明义</t>
  </si>
  <si>
    <t>F0-49/247</t>
  </si>
  <si>
    <t>978-7-5473-1690-0</t>
  </si>
  <si>
    <t>管理全球共同体: 气候变化经济学</t>
  </si>
  <si>
    <t>(美) 威廉·诺德豪斯</t>
  </si>
  <si>
    <t>F061.3/66</t>
  </si>
  <si>
    <t>978-7-5096-8111-4</t>
  </si>
  <si>
    <t>超越GDP: 测度福利和可持续性研究</t>
  </si>
  <si>
    <t>(法) 马克·弗勒拜伊, 迪迪埃·布兰切特</t>
  </si>
  <si>
    <t>F061.4/15</t>
  </si>
  <si>
    <t>978-7-313-23319-6</t>
  </si>
  <si>
    <t>区域创新体系概论</t>
  </si>
  <si>
    <t>(挪威) 比约恩·阿什海姆, 阿尔内·伊萨克森, (奥地利) 米夏埃拉·特里普尔</t>
  </si>
  <si>
    <t>F061.5/35</t>
  </si>
  <si>
    <t>978-7-305-24340-0</t>
  </si>
  <si>
    <t>跨学科修辞视域下的隐喻型术语翻译研究</t>
  </si>
  <si>
    <t>江娜</t>
  </si>
  <si>
    <t>F0-61/9</t>
  </si>
  <si>
    <t>978-7-307-22538-1</t>
  </si>
  <si>
    <t>循环经济中的回收定价机制与再制造决策研究</t>
  </si>
  <si>
    <t>王启飞</t>
  </si>
  <si>
    <t>F062.2/30</t>
  </si>
  <si>
    <t>978-7-5478-5561-4</t>
  </si>
  <si>
    <t>享低碳未来</t>
  </si>
  <si>
    <t>赵斌</t>
  </si>
  <si>
    <t>上海科学技术出版社</t>
  </si>
  <si>
    <t>F062.2/31</t>
  </si>
  <si>
    <t>978-7-5164-2285-4</t>
  </si>
  <si>
    <t>蓝色未来: 循环经济探索与发展</t>
  </si>
  <si>
    <t>王汉洪, 邓学文</t>
  </si>
  <si>
    <t>F062.2/32</t>
  </si>
  <si>
    <t>978-7-03-066339-9</t>
  </si>
  <si>
    <t>绿碳行为经济学: 汲取增长与濡化发展</t>
  </si>
  <si>
    <t xml:space="preserve">田立新 ...  </t>
  </si>
  <si>
    <t>F062.2/33</t>
  </si>
  <si>
    <t>978-7-303-26367-7</t>
  </si>
  <si>
    <t>Green civilization: human consensus on global collaboration for sustainable development</t>
  </si>
  <si>
    <t>Xiaoxi Li</t>
  </si>
  <si>
    <t>F062.2/34</t>
  </si>
  <si>
    <t>978-7-208-16132-0</t>
  </si>
  <si>
    <t>知识经济与企业知识产权管理</t>
  </si>
  <si>
    <t>马忠法</t>
  </si>
  <si>
    <t>F062.3/33=2D</t>
  </si>
  <si>
    <t>978-7-5664-2262-0</t>
  </si>
  <si>
    <t>包容性创新驱动发展的机理与路径研究</t>
  </si>
  <si>
    <t>王玉娟</t>
  </si>
  <si>
    <t>安徽大学出版社</t>
  </si>
  <si>
    <t>F062.4/108</t>
  </si>
  <si>
    <t>978-7-307-22059-1</t>
  </si>
  <si>
    <t>工程经济学</t>
  </si>
  <si>
    <t>王艳丽, 李长花, 段宗志</t>
  </si>
  <si>
    <t>F062.4/109=2D</t>
  </si>
  <si>
    <t>978-7-5661-2675-7</t>
  </si>
  <si>
    <t>吴守彥, 王怀珠, 刘芳</t>
  </si>
  <si>
    <t>F062.4/110</t>
  </si>
  <si>
    <t>978-7-5195-0414-4</t>
  </si>
  <si>
    <t>科技创新与国际关系</t>
  </si>
  <si>
    <t>孙海泳</t>
  </si>
  <si>
    <t>F062.4/111</t>
  </si>
  <si>
    <t>978-7-03-057417-6</t>
  </si>
  <si>
    <t>公共项目公私合作机制研究: 基于西部城市PPP项目实践</t>
  </si>
  <si>
    <t>叶晓甦</t>
  </si>
  <si>
    <t>F062.4/112</t>
  </si>
  <si>
    <t>978-7-5615-8019-6</t>
  </si>
  <si>
    <t>科技创新导论</t>
  </si>
  <si>
    <t>尹应武</t>
  </si>
  <si>
    <t>F062.4/113</t>
  </si>
  <si>
    <t>978-7-5642-3701-1</t>
  </si>
  <si>
    <t>中国公共经济与社会治理调研报告</t>
  </si>
  <si>
    <t>方芳</t>
  </si>
  <si>
    <t>F062.6/84</t>
  </si>
  <si>
    <t>978-7-03-070571-6</t>
  </si>
  <si>
    <t>社会选择与接受</t>
  </si>
  <si>
    <t>李一希</t>
  </si>
  <si>
    <t>F062.6/85</t>
  </si>
  <si>
    <t>978-7-5654-4389-3</t>
  </si>
  <si>
    <t>产业经济学</t>
  </si>
  <si>
    <t>李悦</t>
  </si>
  <si>
    <t>F062.9/42=5D-2</t>
  </si>
  <si>
    <t>978-7-201-17163-0</t>
  </si>
  <si>
    <t>经济社会学理论分析与实践探索</t>
  </si>
  <si>
    <t>田亚楠</t>
  </si>
  <si>
    <t>F069.9/88</t>
  </si>
  <si>
    <t>978-7-220-12625-3</t>
  </si>
  <si>
    <t>助推2.0</t>
  </si>
  <si>
    <t>(美) 卡斯·R. 桑斯坦</t>
  </si>
  <si>
    <t>F069.9/89</t>
  </si>
  <si>
    <t>978-7-5207-2342-8</t>
  </si>
  <si>
    <t>图解生活中的行为经济学</t>
  </si>
  <si>
    <t>(日) 真壁昭夫</t>
  </si>
  <si>
    <t>F069.9/90</t>
  </si>
  <si>
    <t>978-7-5473-1665-8</t>
  </si>
  <si>
    <t>理解现代经济学</t>
  </si>
  <si>
    <t>钱颖一</t>
  </si>
  <si>
    <t>F091.3/85</t>
  </si>
  <si>
    <t>978-7-5155-1940-1</t>
  </si>
  <si>
    <t>政治经济学及赋税原理</t>
  </si>
  <si>
    <t>(英) 大卫·李嘉图</t>
  </si>
  <si>
    <t>F091.33/15-4</t>
  </si>
  <si>
    <t>978-7-5446-6391-5</t>
  </si>
  <si>
    <t>解析亚当·斯密《国富论》</t>
  </si>
  <si>
    <t>John Collins</t>
  </si>
  <si>
    <t>F091.33/69</t>
  </si>
  <si>
    <t>978-7-310-05839-6</t>
  </si>
  <si>
    <t>英国古典政治经济学</t>
  </si>
  <si>
    <t>季陶达</t>
  </si>
  <si>
    <t>南开大学出版社</t>
  </si>
  <si>
    <t>F091.33/70</t>
  </si>
  <si>
    <t>978-7-5446-6413-4</t>
  </si>
  <si>
    <t>解析约翰·梅纳德·凯恩斯《就业、利息和货币通论》</t>
  </si>
  <si>
    <t>F091.348/37</t>
  </si>
  <si>
    <t>978-7-5327-8541-4</t>
  </si>
  <si>
    <t>就业、利息与货币通论</t>
  </si>
  <si>
    <t>(英) 约翰·凯恩斯(John Keynes</t>
  </si>
  <si>
    <t>F091.348/38</t>
  </si>
  <si>
    <t>978-7-5327-8392-2</t>
  </si>
  <si>
    <t>资本主义、社会主义与民主</t>
  </si>
  <si>
    <t>(美) 约瑟夫·熊彼特(Joseph Schumpter)</t>
  </si>
  <si>
    <t>F091.354/9-2</t>
  </si>
  <si>
    <t>978-7-201-15797-9</t>
  </si>
  <si>
    <t>当代国外经济思想要览</t>
  </si>
  <si>
    <t>陈琳</t>
  </si>
  <si>
    <t>F091/53</t>
  </si>
  <si>
    <t>978-7-5714-1054-4</t>
  </si>
  <si>
    <t>全球变局下的中国与世界: 看国际知名专家如何破局</t>
  </si>
  <si>
    <t>方力</t>
  </si>
  <si>
    <t>北京科学技术出版社</t>
  </si>
  <si>
    <t>F11/155</t>
  </si>
  <si>
    <t>978-7-5654-4135-6</t>
  </si>
  <si>
    <t>国际经济与贸易专业综合实训: 流程实操</t>
  </si>
  <si>
    <t>杨培强</t>
  </si>
  <si>
    <t>F11/156</t>
  </si>
  <si>
    <t>978-7-5504-4313-6</t>
  </si>
  <si>
    <t>国外流域经济案例研究</t>
  </si>
  <si>
    <t xml:space="preserve">罗志高 ... </t>
  </si>
  <si>
    <t>F11/157</t>
  </si>
  <si>
    <t>978-7-5473-1669-6</t>
  </si>
  <si>
    <t>变暖的世界: 全球变暖的经济模型</t>
  </si>
  <si>
    <t>(美) 威廉·诺德豪斯, 约瑟夫·博耶</t>
  </si>
  <si>
    <t>F11/158</t>
  </si>
  <si>
    <t>978-7-5446-6447-9</t>
  </si>
  <si>
    <t>解析迈克尔·E.波特《竞争战略: 分析产业和竞争对手的技术》</t>
  </si>
  <si>
    <t>Padraing Belton</t>
  </si>
  <si>
    <t>F110/10</t>
  </si>
  <si>
    <t>978-7-5641-9825-1</t>
  </si>
  <si>
    <t>国际经济与贸易专业导论</t>
  </si>
  <si>
    <t>熊季霞</t>
  </si>
  <si>
    <t>东南大学出版社</t>
  </si>
  <si>
    <t>F11-0/60=2D</t>
  </si>
  <si>
    <t>978-7-214-15942-7</t>
  </si>
  <si>
    <t>世界财富控制权变迁</t>
  </si>
  <si>
    <t>张明之</t>
  </si>
  <si>
    <t>F11-0/61</t>
  </si>
  <si>
    <t>978-7-5473-1730-3</t>
  </si>
  <si>
    <t>平衡问题: 全球变暖政策选择的权衡</t>
  </si>
  <si>
    <t>F110/9</t>
  </si>
  <si>
    <t>978-7-5692-6399-2</t>
  </si>
  <si>
    <t>世界经济发展概述</t>
  </si>
  <si>
    <t>李静, 宿晨华, 白江</t>
  </si>
  <si>
    <t>F113.4/110</t>
  </si>
  <si>
    <t>978-7-5692-8093-7</t>
  </si>
  <si>
    <t>资本流通形态变化对西方国家经济影响: 兼论我国产业政策走向</t>
  </si>
  <si>
    <t>于玲</t>
  </si>
  <si>
    <t>F113.4/111</t>
  </si>
  <si>
    <t>978-7-5225-0173-4</t>
  </si>
  <si>
    <t>贫困文化博弈: 人类文明审视的贫困现象与贫困文化碰撞</t>
  </si>
  <si>
    <t>刘燕生</t>
  </si>
  <si>
    <t>F113.9/15</t>
  </si>
  <si>
    <t>978-7-5164-2539-8</t>
  </si>
  <si>
    <t>东亚减贫示范合作技术援助项目故事选编</t>
  </si>
  <si>
    <t>中国国际扶贫中心</t>
  </si>
  <si>
    <t>F113.9/16</t>
  </si>
  <si>
    <t>978-7-5012-6468-1</t>
  </si>
  <si>
    <t>全球经济治理变革</t>
  </si>
  <si>
    <t>张丽娟, 张蕴岭</t>
  </si>
  <si>
    <t>F113/30</t>
  </si>
  <si>
    <t>978-7-5654-4101-1</t>
  </si>
  <si>
    <t>国际经济合作</t>
  </si>
  <si>
    <t>施锦芳</t>
  </si>
  <si>
    <t>F114.4/31=5D</t>
  </si>
  <si>
    <t>978-7-5642-3901-5</t>
  </si>
  <si>
    <t>合作团队的经济学: 一个文献综述</t>
  </si>
  <si>
    <t>F114.4/32=2D</t>
  </si>
  <si>
    <t>978-7-5654-4330-5</t>
  </si>
  <si>
    <t>东北亚: 深化改革 合作共赢</t>
  </si>
  <si>
    <t>东北财经大学东北亚经济研究院</t>
  </si>
  <si>
    <t>F114.46/35</t>
  </si>
  <si>
    <t>978-7-5195-0451-9</t>
  </si>
  <si>
    <t>丝绸之路区域合作新论</t>
  </si>
  <si>
    <t>姜淑芹</t>
  </si>
  <si>
    <t>F114.46/36</t>
  </si>
  <si>
    <t>978-7-5012-6369-1</t>
  </si>
  <si>
    <t>APEC30年: 机制·进程·前景研究</t>
  </si>
  <si>
    <t>杨泽瑞</t>
  </si>
  <si>
    <t>F116/10</t>
  </si>
  <si>
    <t>978-7-5196-0893-4</t>
  </si>
  <si>
    <t>二十国集团 (G20) 发展报告. 2020-2021</t>
  </si>
  <si>
    <t>牛华勇</t>
  </si>
  <si>
    <t>F116/9/2020-2021</t>
  </si>
  <si>
    <t>978-7-5561-2376-6</t>
  </si>
  <si>
    <t>图说世界经济史</t>
  </si>
  <si>
    <t>(韩) 宋炳建</t>
  </si>
  <si>
    <t>F119/45</t>
  </si>
  <si>
    <t>978-7-214-24864-0</t>
  </si>
  <si>
    <t>马克思主义的资本主义史</t>
  </si>
  <si>
    <t>(美) 亨利·海勒</t>
  </si>
  <si>
    <t>F119/46</t>
  </si>
  <si>
    <t>978-7-5682-8105-8</t>
  </si>
  <si>
    <t>经济简史</t>
  </si>
  <si>
    <t>(德) 马克斯·韦伯</t>
  </si>
  <si>
    <t>F119/47</t>
  </si>
  <si>
    <t>978-7-5096-7438-3</t>
  </si>
  <si>
    <t>死亡率模型、长寿风险的经济影响及管理理论研究</t>
  </si>
  <si>
    <t>贺磊</t>
  </si>
  <si>
    <t>F12/247</t>
  </si>
  <si>
    <t>978-7-01-023420-5</t>
  </si>
  <si>
    <t>中国经济热点解读</t>
  </si>
  <si>
    <t>中央党校 (国家行政学院) 经济学部</t>
  </si>
  <si>
    <t>F12/248</t>
  </si>
  <si>
    <t>978-7-5169-1446-5</t>
  </si>
  <si>
    <t>供给侧结构性改革理论、实践与发展探究</t>
  </si>
  <si>
    <t>孙国生</t>
  </si>
  <si>
    <t>F12/249</t>
  </si>
  <si>
    <t>978-7-5692-4678-0</t>
  </si>
  <si>
    <t>进入深度调整期的中国经济升级研究</t>
  </si>
  <si>
    <t>郭丽芳</t>
  </si>
  <si>
    <t>F12/250</t>
  </si>
  <si>
    <t>978-7-220-12081-7</t>
  </si>
  <si>
    <t>中国经济: 实践探索与学理解说</t>
  </si>
  <si>
    <t>蔡昉</t>
  </si>
  <si>
    <t>F12/251</t>
  </si>
  <si>
    <t>978-7-01-023845-6</t>
  </si>
  <si>
    <t>中国微观经济调查: 家庭财富卷</t>
  </si>
  <si>
    <t>经济日报社中国经济趋势研究院, 中国社会科学院经济研究所经济转型与发展研究中心</t>
  </si>
  <si>
    <t>F12/252</t>
  </si>
  <si>
    <t>978-7-309-15873-1</t>
  </si>
  <si>
    <t>中国特色社会主义政治经济学: 理论、历史与现实</t>
  </si>
  <si>
    <t>周文, 刘少阳</t>
  </si>
  <si>
    <t>F120.2/131</t>
  </si>
  <si>
    <t>978-7-5504-4217-7</t>
  </si>
  <si>
    <t>中国特色社会主义政治经济学本硕博论坛研究报告. 2017</t>
  </si>
  <si>
    <t>盖凯程</t>
  </si>
  <si>
    <t>F120.2/132/2017</t>
  </si>
  <si>
    <t>978-7-5504-4422-5</t>
  </si>
  <si>
    <t>新时代中国特色社会主义经济理论与实践</t>
  </si>
  <si>
    <t>赵德武, 尹庆双</t>
  </si>
  <si>
    <t>F120.2-53/9</t>
  </si>
  <si>
    <t>978-7-5194-5648-1</t>
  </si>
  <si>
    <t>经济增长方式转变研究: 以广东为例</t>
  </si>
  <si>
    <t>刘璟</t>
  </si>
  <si>
    <t>F120.3/21</t>
  </si>
  <si>
    <t>978-7-5578-8115-3</t>
  </si>
  <si>
    <t>多维视角下的经济发展战略研究</t>
  </si>
  <si>
    <t>左燕薇, 李墨溪, 刘虔</t>
  </si>
  <si>
    <t>吉林科学技术出版社</t>
  </si>
  <si>
    <t>F120.4/36</t>
  </si>
  <si>
    <t>978-7-03-065752-7</t>
  </si>
  <si>
    <t>宏观经济政策研究报告. 2020</t>
  </si>
  <si>
    <t xml:space="preserve">陈小亮 ...  </t>
  </si>
  <si>
    <t>F120/30/2020</t>
  </si>
  <si>
    <t>978-7-5511-5267-9</t>
  </si>
  <si>
    <t>连接力: 社交时代的个体生存法则</t>
  </si>
  <si>
    <t>刘Sir</t>
  </si>
  <si>
    <t>花山文艺出版社</t>
  </si>
  <si>
    <t>F121.23/43</t>
  </si>
  <si>
    <t>978-7-5201-9173-9</t>
  </si>
  <si>
    <t>民营经济发展报告: “两个健康”理论与温州实践</t>
  </si>
  <si>
    <t>黄群慧, 杜创</t>
  </si>
  <si>
    <t>F121.23/44/2021</t>
  </si>
  <si>
    <t>978-7-5201-4808-5</t>
  </si>
  <si>
    <t>经济发展、区际非均衡增长与债务风险</t>
  </si>
  <si>
    <t>闫衍</t>
  </si>
  <si>
    <t>F121/214</t>
  </si>
  <si>
    <t>978-7-5520-3676-3</t>
  </si>
  <si>
    <t>A political-economic analysis of China''s economic system innovation</t>
  </si>
  <si>
    <t>Zhang Daogen, et al</t>
  </si>
  <si>
    <t>F121/215</t>
  </si>
  <si>
    <t>978-7-220-12408-2</t>
  </si>
  <si>
    <t>沉沙无意却成洲: 中国经济改革的文化底色</t>
  </si>
  <si>
    <t>厉以宁</t>
  </si>
  <si>
    <t>F121/216</t>
  </si>
  <si>
    <t>978-7-5473-1823-2</t>
  </si>
  <si>
    <t>基本经济制度发展指数研究</t>
  </si>
  <si>
    <t>韩清, 李正图</t>
  </si>
  <si>
    <t>F121/217</t>
  </si>
  <si>
    <t>978-7-5115-6425-2</t>
  </si>
  <si>
    <t>宏观经济不确定性与货币政策有效性</t>
  </si>
  <si>
    <t>陈浩</t>
  </si>
  <si>
    <t>F123.16/44</t>
  </si>
  <si>
    <t>978-7-5096-5994-6</t>
  </si>
  <si>
    <t>中国宏观经济波动的能源因素: 基于DSGE框架的分析</t>
  </si>
  <si>
    <t>谭琦</t>
  </si>
  <si>
    <t>F123.16/45</t>
  </si>
  <si>
    <t>978-7-5150-2509-4</t>
  </si>
  <si>
    <t>开新局</t>
  </si>
  <si>
    <t>张占斌</t>
  </si>
  <si>
    <t>F123.3/11</t>
  </si>
  <si>
    <t>978-7-5207-1706-9</t>
  </si>
  <si>
    <t>共和国的脚步: “一五”至“十五”计划编制与实施的历史回顾</t>
  </si>
  <si>
    <t>曹文炼, 张力炜</t>
  </si>
  <si>
    <t>F123.3/12</t>
  </si>
  <si>
    <t>978-7-01-023851-7</t>
  </si>
  <si>
    <t>现代化经济体系建设的科学指引与实践路径</t>
  </si>
  <si>
    <t>方凤玲</t>
  </si>
  <si>
    <t>F123/34</t>
  </si>
  <si>
    <t>978-7-5607-6921-9</t>
  </si>
  <si>
    <t>现代化经济体系建设基本知识</t>
  </si>
  <si>
    <t>杨珍, 丁兆庆</t>
  </si>
  <si>
    <t>F123/35</t>
  </si>
  <si>
    <t>978-7-5115-6798-7</t>
  </si>
  <si>
    <t>现代化经济体系</t>
  </si>
  <si>
    <t>彭五堂</t>
  </si>
  <si>
    <t>F123/36</t>
  </si>
  <si>
    <t>978-7-5096-7330-0</t>
  </si>
  <si>
    <t>外贸与经济增长的统计研究</t>
  </si>
  <si>
    <t>汪彩玲</t>
  </si>
  <si>
    <t>F124.1/69</t>
  </si>
  <si>
    <t>978-7-5096-7383-6</t>
  </si>
  <si>
    <t>中国经济增长的动力机制研究</t>
  </si>
  <si>
    <t>董直庆, 王林辉</t>
  </si>
  <si>
    <t>F124.1/70</t>
  </si>
  <si>
    <t>978-7-5096-7689-9</t>
  </si>
  <si>
    <t>资产短缺对我国经济增长的影响研究</t>
  </si>
  <si>
    <t>阳旸</t>
  </si>
  <si>
    <t>F124.1/71</t>
  </si>
  <si>
    <t>978-7-5164-2307-3</t>
  </si>
  <si>
    <t>价值链视角下科技创新与产业升级研究</t>
  </si>
  <si>
    <t>周志霞</t>
  </si>
  <si>
    <t>F124.3/77</t>
  </si>
  <si>
    <t>978-7-5763-0655-2</t>
  </si>
  <si>
    <t>科技成果转化工作指南</t>
  </si>
  <si>
    <t>国家科技评估中心, 中国科技评估与成果管理研究会</t>
  </si>
  <si>
    <t>F124.3/78</t>
  </si>
  <si>
    <t>978-7-5096-7519-9</t>
  </si>
  <si>
    <t>产业集聚的国民收入增长效应研究</t>
  </si>
  <si>
    <t>王珍珍</t>
  </si>
  <si>
    <t>F124.7/102</t>
  </si>
  <si>
    <t>978-7-5207-1505-8</t>
  </si>
  <si>
    <t>决胜全面建成小康社会九讲</t>
  </si>
  <si>
    <t>程勤</t>
  </si>
  <si>
    <t>F124.7/103</t>
  </si>
  <si>
    <t>978-7-5115-6890-8</t>
  </si>
  <si>
    <t>全面建成小康社会</t>
  </si>
  <si>
    <t>夏一璞</t>
  </si>
  <si>
    <t>F124.7/104</t>
  </si>
  <si>
    <t>978-7-01-023797-8</t>
  </si>
  <si>
    <t>迈向共同富裕的分配行动探究</t>
  </si>
  <si>
    <t>李清彬</t>
  </si>
  <si>
    <t>F124.7/105</t>
  </si>
  <si>
    <t>978-7-5207-1792-2</t>
  </si>
  <si>
    <t>全面建成小康社会 奔向美好生活新时代</t>
  </si>
  <si>
    <t>杨静, 张晨, 封世蓝</t>
  </si>
  <si>
    <t>F124.7/106</t>
  </si>
  <si>
    <t>978-7-5194-6149-2</t>
  </si>
  <si>
    <t>共同富裕的探索: 中国特色反贫困理论与实践</t>
  </si>
  <si>
    <t>王琳</t>
  </si>
  <si>
    <t>F124.7/107</t>
  </si>
  <si>
    <t>978-7-5194-6289-5</t>
  </si>
  <si>
    <t>全面建成小康社会的中国经验</t>
  </si>
  <si>
    <t>蒋永穆</t>
  </si>
  <si>
    <t>F124.7/108</t>
  </si>
  <si>
    <t>978-7-5154-1145-3</t>
  </si>
  <si>
    <t>百年大党和共同富裕. 上: 全国社会科学院系统中国特色社会主义理论体系研究中心第二十六届年会论文集</t>
  </si>
  <si>
    <t>姜辉, 何显明</t>
  </si>
  <si>
    <t>F124.7/109/1</t>
  </si>
  <si>
    <t>百年大党和共同富裕. 下: 全国社会科学院系统中国特色社会主义理论体系研究中心第二十六届年会论文集</t>
  </si>
  <si>
    <t>F124.7/109/2</t>
  </si>
  <si>
    <t>978-7-5096-8209-8</t>
  </si>
  <si>
    <t>全球经济失衡背景下中国开放型经济发展模式转型升级研究</t>
  </si>
  <si>
    <t>王玉华</t>
  </si>
  <si>
    <t>F124/383</t>
  </si>
  <si>
    <t>978-7-5096-7509-0</t>
  </si>
  <si>
    <t>本土市场效应: 经济制度和创新能力的调节作用</t>
  </si>
  <si>
    <t>崔娜</t>
  </si>
  <si>
    <t>F124/384</t>
  </si>
  <si>
    <t>978-7-5096-7822-0</t>
  </si>
  <si>
    <t>中等收入转型特征与路径: 基于新结构经济学的理论与实证分析</t>
  </si>
  <si>
    <t>朱兰</t>
  </si>
  <si>
    <t>F124/385</t>
  </si>
  <si>
    <t>978-7-5578-8278-5</t>
  </si>
  <si>
    <t>大数据背景下中国经济发展变化解析</t>
  </si>
  <si>
    <t>王智璇, 龚家友, 刘博语</t>
  </si>
  <si>
    <t>F124/386</t>
  </si>
  <si>
    <t>978-7-5096-7550-2</t>
  </si>
  <si>
    <t>跨越中等收入陷阱: 中国道路与产业选择</t>
  </si>
  <si>
    <t>F124/387</t>
  </si>
  <si>
    <t>978-7-5096-6779-8</t>
  </si>
  <si>
    <t>中国国民经济综合平衡理论史</t>
  </si>
  <si>
    <t>拓志超</t>
  </si>
  <si>
    <t>F124/388</t>
  </si>
  <si>
    <t>978-7-5578-7855-9</t>
  </si>
  <si>
    <t>历史气候变化对中国经济影响创新研究</t>
  </si>
  <si>
    <t>王力, 孙芳, 周舒佳</t>
  </si>
  <si>
    <t>F124/389</t>
  </si>
  <si>
    <t>978-7-5207-2089-2</t>
  </si>
  <si>
    <t>大国新局: 读懂百万亿后的中国经济</t>
  </si>
  <si>
    <t>韩康, 张占斌</t>
  </si>
  <si>
    <t>F124/390</t>
  </si>
  <si>
    <t>978-7-5164-2306-6</t>
  </si>
  <si>
    <t>新旧动能转换下高质量发展研究</t>
  </si>
  <si>
    <t>F124/391</t>
  </si>
  <si>
    <t>978-7-5520-3204-8</t>
  </si>
  <si>
    <t>中国与“一带一路”沿线国家贸易投资报告. 2019</t>
  </si>
  <si>
    <t>孙立行, 沈玉良</t>
  </si>
  <si>
    <t>F125.5/68/2019</t>
  </si>
  <si>
    <t>978-7-216-09947-9</t>
  </si>
  <si>
    <t>“一带一路”与多边机制的合作: 机遇、挑战与共赢</t>
  </si>
  <si>
    <t>何焰, 刘萌荫</t>
  </si>
  <si>
    <t>F125/111</t>
  </si>
  <si>
    <t>978-7-5520-3710-4</t>
  </si>
  <si>
    <t>迈向高质量的“一带一路”: 海外学者的视角</t>
  </si>
  <si>
    <t>王战</t>
  </si>
  <si>
    <t>F125/112</t>
  </si>
  <si>
    <t>978-7-5096-7612-7</t>
  </si>
  <si>
    <t>新时期沿边开放发展方略研究</t>
  </si>
  <si>
    <t>周民良</t>
  </si>
  <si>
    <t>F125/113</t>
  </si>
  <si>
    <t>978-7-5520-3150-8</t>
  </si>
  <si>
    <t>中国“一带一路”跨境园区发展报告. 2019</t>
  </si>
  <si>
    <t>沈桂龙</t>
  </si>
  <si>
    <t>F125/114/2019</t>
  </si>
  <si>
    <t>978-7-5639-6254-9</t>
  </si>
  <si>
    <t>中国沿边地区对外开放新格局</t>
  </si>
  <si>
    <t>梁滢</t>
  </si>
  <si>
    <t>F125/115</t>
  </si>
  <si>
    <t>978-7-5164-2305-9</t>
  </si>
  <si>
    <t>新旧动能转换下开放型经济与企业发展研究</t>
  </si>
  <si>
    <t>周志霞, 李庆军, 郑明亮</t>
  </si>
  <si>
    <t>F125/116</t>
  </si>
  <si>
    <t>978-7-5685-2735-4</t>
  </si>
  <si>
    <t>“一带一路”人文交流大数据报告. 2019</t>
  </si>
  <si>
    <t>本书组组</t>
  </si>
  <si>
    <t>F125/117/2019</t>
  </si>
  <si>
    <t>978-7-119-12631-9</t>
  </si>
  <si>
    <t>Un brillante futuro compartido</t>
  </si>
  <si>
    <t>CAITEC del ministerio de comercio</t>
  </si>
  <si>
    <t>F125/118</t>
  </si>
  <si>
    <t>978-7-119-12630-2</t>
  </si>
  <si>
    <t>Reve commun</t>
  </si>
  <si>
    <t>CAITEC du ministère chinois du commerce</t>
  </si>
  <si>
    <t>F125/118-2</t>
  </si>
  <si>
    <t>978-7-119-12535-0</t>
  </si>
  <si>
    <t>A bright shared future</t>
  </si>
  <si>
    <t>F125/118-3</t>
  </si>
  <si>
    <t>978-7-5692-6450-0</t>
  </si>
  <si>
    <t>变迁中的不平衡: 基于收入空间分布差异的消费特征研究</t>
  </si>
  <si>
    <t>陆地</t>
  </si>
  <si>
    <t>F126.1/59</t>
  </si>
  <si>
    <t>978-7-5096-7828-2</t>
  </si>
  <si>
    <t>新型城镇化背景下扩大服务消费制度联动研究</t>
  </si>
  <si>
    <t>张颖熙</t>
  </si>
  <si>
    <t>F126.1/60</t>
  </si>
  <si>
    <t>978-7-5194-5187-5</t>
  </si>
  <si>
    <t>当代中国农民经济利益问题研究</t>
  </si>
  <si>
    <t>刘权政</t>
  </si>
  <si>
    <t>F126.2/29</t>
  </si>
  <si>
    <t>978-7-5096-7478-9</t>
  </si>
  <si>
    <t>金融知识、金融行为促进收入增长的效果与提升途径研究</t>
  </si>
  <si>
    <t>李云峰, 徐书林</t>
  </si>
  <si>
    <t>F126.2/30</t>
  </si>
  <si>
    <t>978-7-5561-2520-3</t>
  </si>
  <si>
    <t>中国减贫的世界贡献</t>
  </si>
  <si>
    <t>张占斌, 杜庆昊</t>
  </si>
  <si>
    <t>F126/63</t>
  </si>
  <si>
    <t>978-7-01-023236-2</t>
  </si>
  <si>
    <t>图说中国特色减贫道路</t>
  </si>
  <si>
    <t>王晓毅, 徐宗阳, 阿妮尔</t>
  </si>
  <si>
    <t>F126/64</t>
  </si>
  <si>
    <t>978-7-5504-4497-3</t>
  </si>
  <si>
    <t>中国直播电商精准扶贫创新研究</t>
  </si>
  <si>
    <t>沈红兵, 熊榆</t>
  </si>
  <si>
    <t>F126/65</t>
  </si>
  <si>
    <t>978-7-5207-1519-5</t>
  </si>
  <si>
    <t>决战决胜脱贫攻坚十二讲</t>
  </si>
  <si>
    <t>F126/66</t>
  </si>
  <si>
    <t>978-7-5680-7528-2</t>
  </si>
  <si>
    <t>脱贫摘帽如何铸就: 新时代减贫典型案例</t>
  </si>
  <si>
    <t>岳奎</t>
  </si>
  <si>
    <t>华中科技大学出版社</t>
  </si>
  <si>
    <t>F126/67</t>
  </si>
  <si>
    <t>978-7-5692-8655-7</t>
  </si>
  <si>
    <t>场域视域下的贫困治理研究</t>
  </si>
  <si>
    <t>吴征阳</t>
  </si>
  <si>
    <t>F126/68</t>
  </si>
  <si>
    <t>978-7-5115-6561-7</t>
  </si>
  <si>
    <t>脱贫攻坚</t>
  </si>
  <si>
    <t>杨静, 张光源</t>
  </si>
  <si>
    <t>F126/69</t>
  </si>
  <si>
    <t>978-7-5690-3568-1</t>
  </si>
  <si>
    <t>脱贫攻坚与乡村振兴的理论与实践</t>
  </si>
  <si>
    <t>王智猛</t>
  </si>
  <si>
    <t>F126/70</t>
  </si>
  <si>
    <t>978-7-5201-8075-7</t>
  </si>
  <si>
    <t>北京高质量发展报告. 2021</t>
  </si>
  <si>
    <t>方力, 贾品荣, 胡曾曾</t>
  </si>
  <si>
    <t>F127.1/44/2021</t>
  </si>
  <si>
    <t>978-7-5201-9383-2</t>
  </si>
  <si>
    <t>北京对外开放发展报告. 2021</t>
  </si>
  <si>
    <t>蒋庆哲, 夏文斌</t>
  </si>
  <si>
    <t>F127.1/45/2021</t>
  </si>
  <si>
    <t>978-7-5096-8219-7</t>
  </si>
  <si>
    <t>京津冀跨域创新网络: 生成、演化与协同</t>
  </si>
  <si>
    <t>李晨光</t>
  </si>
  <si>
    <t>F127.2/35</t>
  </si>
  <si>
    <t>978-7-5692-8804-9</t>
  </si>
  <si>
    <t>东北地区人口流出及其对经济发展的影响研究</t>
  </si>
  <si>
    <t>魏洪英</t>
  </si>
  <si>
    <t>F127.3/25</t>
  </si>
  <si>
    <t>978-7-205-10090-2</t>
  </si>
  <si>
    <t>东北振兴与“一带一路”</t>
  </si>
  <si>
    <t>孙德兰, 梁为中</t>
  </si>
  <si>
    <t>F127.3/26</t>
  </si>
  <si>
    <t>978-7-205-10086-5</t>
  </si>
  <si>
    <t>新时代与东北振兴</t>
  </si>
  <si>
    <t>F127.3/27</t>
  </si>
  <si>
    <t>978-7-205-10087-2</t>
  </si>
  <si>
    <t>东北振兴新动力</t>
  </si>
  <si>
    <t>迟福林, 方栓喜, 张飞</t>
  </si>
  <si>
    <t>F127.3/28</t>
  </si>
  <si>
    <t>978-7-205-10049-0</t>
  </si>
  <si>
    <t>东北振兴中的对外开放新前沿建设</t>
  </si>
  <si>
    <t>赵晋平</t>
  </si>
  <si>
    <t>F127.3/29</t>
  </si>
  <si>
    <t>978-7-205-10019-3</t>
  </si>
  <si>
    <t>东北振兴与混和所有制改革</t>
  </si>
  <si>
    <t>F127.3/30</t>
  </si>
  <si>
    <t>978-7-205-10018-6</t>
  </si>
  <si>
    <t>东北振兴战略总论</t>
  </si>
  <si>
    <t>周建平, 程育, 李天娇</t>
  </si>
  <si>
    <t>F127.3/31</t>
  </si>
  <si>
    <t>978-7-205-10100-8</t>
  </si>
  <si>
    <t>中国东北转型通论</t>
  </si>
  <si>
    <t>常修泽</t>
  </si>
  <si>
    <t>F127.3/32</t>
  </si>
  <si>
    <t>978-7-5690-3444-8</t>
  </si>
  <si>
    <t>基于全面建成小康社会的西北地区经济转型跨越发展战略与路径研究</t>
  </si>
  <si>
    <t>刘进军</t>
  </si>
  <si>
    <t>F127.4/41</t>
  </si>
  <si>
    <t>978-7-208-17511-2</t>
  </si>
  <si>
    <t>长三角一体化发展国家战略的新思考和新实践</t>
  </si>
  <si>
    <t>上海市发展改革研究院</t>
  </si>
  <si>
    <t>F127.5/71</t>
  </si>
  <si>
    <t>978-7-5520-3505-6</t>
  </si>
  <si>
    <t>上海“十四五”发展战略思路研究</t>
  </si>
  <si>
    <t>张道根, 朱国宏</t>
  </si>
  <si>
    <t>F127.51/26</t>
  </si>
  <si>
    <t>978-7-5520-2957-4</t>
  </si>
  <si>
    <t>上海重点产业国际竞争力报告. 2018-2019</t>
  </si>
  <si>
    <t>汤蕴懿</t>
  </si>
  <si>
    <t>F127.51/27/2018-2019</t>
  </si>
  <si>
    <t>978-7-5672-3668-4</t>
  </si>
  <si>
    <t>百年苏州经济简史</t>
  </si>
  <si>
    <t>中共苏州市委党史工作办公室, 王玉贵</t>
  </si>
  <si>
    <t>F127.533/5</t>
  </si>
  <si>
    <t>978-7-5096-6160-4</t>
  </si>
  <si>
    <t>区域经济与城市发展研究报告. 2017-2018: 服务地方的路径与策略研究</t>
  </si>
  <si>
    <t>合肥区域经济与城市发展研究院, 安徽大学区域经济与城市发展协同创新中心, 合肥市政府政策研究室</t>
  </si>
  <si>
    <t>F127.541/2/2017-2018</t>
  </si>
  <si>
    <t>978-7-5096-8033-9</t>
  </si>
  <si>
    <t>区域经济与城市发展研究报告. 2019-2020: 服务地方的路径与策略研究</t>
  </si>
  <si>
    <t>胡艳, 黄传霞</t>
  </si>
  <si>
    <t>F127.541/2/2019-2020</t>
  </si>
  <si>
    <t>978-7-5672-3448-2</t>
  </si>
  <si>
    <t>苏州与中国小康社会建设</t>
  </si>
  <si>
    <t>中共苏州市委党史工作办公室</t>
  </si>
  <si>
    <t>F127.553/19</t>
  </si>
  <si>
    <t>978-7-5201-9124-1</t>
  </si>
  <si>
    <t>2021年中国广州经济形势分析与预测</t>
  </si>
  <si>
    <t>涂成林, 赖志鸿</t>
  </si>
  <si>
    <t>F127.65/32/2021</t>
  </si>
  <si>
    <t>978-7-5201-8704-6</t>
  </si>
  <si>
    <t>粤港澳大湾区建设报告. 2020-2021</t>
  </si>
  <si>
    <t>郭跃文</t>
  </si>
  <si>
    <t>F127.65/45/2020-2021</t>
  </si>
  <si>
    <t>978-7-5360-9255-6</t>
  </si>
  <si>
    <t>广东小康大事记: 1978-2020</t>
  </si>
  <si>
    <t>中共广东省委党史研究室</t>
  </si>
  <si>
    <t>花城出版社</t>
  </si>
  <si>
    <t>F127.65/70</t>
  </si>
  <si>
    <t>978-7-5201-8592-9</t>
  </si>
  <si>
    <t>广州经济发展报告. 2021</t>
  </si>
  <si>
    <t>张跃国</t>
  </si>
  <si>
    <t>F127.651/11/2021</t>
  </si>
  <si>
    <t>978-7-5201-8739-8</t>
  </si>
  <si>
    <t>深圳经济发展报告. 2021</t>
  </si>
  <si>
    <t>吴定海</t>
  </si>
  <si>
    <t>F127.653/13/2021</t>
  </si>
  <si>
    <t>978-7-5690-3771-5</t>
  </si>
  <si>
    <t>成渝地区双城经济圈建设研究</t>
  </si>
  <si>
    <t>唐文金</t>
  </si>
  <si>
    <t>F127.711/2</t>
  </si>
  <si>
    <t>978-7-5504-4877-3</t>
  </si>
  <si>
    <t>新经济 新动能 新实践</t>
  </si>
  <si>
    <t>张宇, 洪运, 邓玲</t>
  </si>
  <si>
    <t>F127.711/3</t>
  </si>
  <si>
    <t>978-7-5096-7658-5</t>
  </si>
  <si>
    <t>大数据与实体经济深度融合研究</t>
  </si>
  <si>
    <t>贵州省社会科学院</t>
  </si>
  <si>
    <t>F127.73/7</t>
  </si>
  <si>
    <t>978-7-5189-7824-3</t>
  </si>
  <si>
    <t>国家高新区创新能力评价报告. 2020</t>
  </si>
  <si>
    <t>科学技术部火炬高技术产业开发中心, 中国科学院科技战略咨询研究院</t>
  </si>
  <si>
    <t>F127.9/22/2020</t>
  </si>
  <si>
    <t>978-7-5189-7112-1</t>
  </si>
  <si>
    <t>中国国家高新区开放创新发展报告. 2020</t>
  </si>
  <si>
    <t>科学技术部火炬高技术产业开发中心</t>
  </si>
  <si>
    <t>F127.9/32/2020</t>
  </si>
  <si>
    <t>978-7-309-15462-7</t>
  </si>
  <si>
    <t>科创报国: 国家大学科技园的黄金时代</t>
  </si>
  <si>
    <t>王伟, 郭代军, 季宇</t>
  </si>
  <si>
    <t>F127.9/33</t>
  </si>
  <si>
    <t>978-7-5189-8053-6</t>
  </si>
  <si>
    <t>国家高新区高质量发展研究: 经验、模式与展望</t>
  </si>
  <si>
    <t>朱常海</t>
  </si>
  <si>
    <t>F127.9/34</t>
  </si>
  <si>
    <t>978-7-5096-7490-1</t>
  </si>
  <si>
    <t>基于创新资本视角的中国区域经济增长研究</t>
  </si>
  <si>
    <t>朱焕焕</t>
  </si>
  <si>
    <t>F127/276</t>
  </si>
  <si>
    <t>978-7-5096-8064-3</t>
  </si>
  <si>
    <t>中国区域经济发展战略的演变: 1949-2019年</t>
  </si>
  <si>
    <t>段艳</t>
  </si>
  <si>
    <t>F127/277</t>
  </si>
  <si>
    <t>978-7-5692-8959-6</t>
  </si>
  <si>
    <t>区域经济发展动力转换: 从战略到政策</t>
  </si>
  <si>
    <t>窦玉鹏</t>
  </si>
  <si>
    <t>F127/278</t>
  </si>
  <si>
    <t>978-7-5096-7937-1</t>
  </si>
  <si>
    <t>中国区域经济协调发展机制研究</t>
  </si>
  <si>
    <t xml:space="preserve">陈昭 ...  </t>
  </si>
  <si>
    <t>F127/279</t>
  </si>
  <si>
    <t>978-7-01-023075-7</t>
  </si>
  <si>
    <t>探究湾区: 世界湾区发展逻辑与中国实践</t>
  </si>
  <si>
    <t>申勇</t>
  </si>
  <si>
    <t>F127/280</t>
  </si>
  <si>
    <t>978-7-5692-6816-4</t>
  </si>
  <si>
    <t>基于环境规制的中国污染产业投资区位转移研究</t>
  </si>
  <si>
    <t>宋爽</t>
  </si>
  <si>
    <t>F127/281</t>
  </si>
  <si>
    <t>978-7-5164-2453-7</t>
  </si>
  <si>
    <t>乡村红色资源价值转化机制与模式</t>
  </si>
  <si>
    <t>李杰义, 唐玉琪, 叶梦婷</t>
  </si>
  <si>
    <t>F127/282</t>
  </si>
  <si>
    <t>978-7-01-022953-9</t>
  </si>
  <si>
    <t>中国近代经济史. 上册: 1937-1949</t>
  </si>
  <si>
    <t>刘克祥</t>
  </si>
  <si>
    <t>F129.5/18/1:1</t>
  </si>
  <si>
    <t>F129.5/18/1:2</t>
  </si>
  <si>
    <t>中国近代经济史. 中册: 1937-1949</t>
  </si>
  <si>
    <t>F129.5/18/2:1</t>
  </si>
  <si>
    <t>F129.5/18/2:2</t>
  </si>
  <si>
    <t>中国近代经济史. 下册: 1937-1949</t>
  </si>
  <si>
    <t>F129.5/18/3:1</t>
  </si>
  <si>
    <t>F129.5/18/3:2</t>
  </si>
  <si>
    <t>978-7-5096-7866-4</t>
  </si>
  <si>
    <t>海南经济地理</t>
  </si>
  <si>
    <t xml:space="preserve">李敏纳 ...  </t>
  </si>
  <si>
    <t>F129.9/22</t>
  </si>
  <si>
    <t>978-7-5096-7432-1</t>
  </si>
  <si>
    <t>中国经济地理概论</t>
  </si>
  <si>
    <t>孙久文, 闫昊生</t>
  </si>
  <si>
    <t>F129.9/23</t>
  </si>
  <si>
    <t>978-7-5096-6159-8</t>
  </si>
  <si>
    <t>浙江经济地理</t>
  </si>
  <si>
    <t xml:space="preserve">陆根尧 ...  </t>
  </si>
  <si>
    <t>F129.9/24</t>
  </si>
  <si>
    <t>978-7-5096-6432-2</t>
  </si>
  <si>
    <t>西部经济地理</t>
  </si>
  <si>
    <t>胡安俊</t>
  </si>
  <si>
    <t>F129.9/25</t>
  </si>
  <si>
    <t>978-7-5096-6082-9</t>
  </si>
  <si>
    <t>东北经济地理</t>
  </si>
  <si>
    <t>金凤君, 张平宇</t>
  </si>
  <si>
    <t>F129.9/26</t>
  </si>
  <si>
    <t>978-7-5113-8514-7</t>
  </si>
  <si>
    <t>大数据时代“智慧国土空间规划”理论与实务研究</t>
  </si>
  <si>
    <t>周就猫, 邓京虎, 党迎春</t>
  </si>
  <si>
    <t>F129.9/27</t>
  </si>
  <si>
    <t>978-7-5504-4661-8</t>
  </si>
  <si>
    <t>中国经济发展史简明教程</t>
  </si>
  <si>
    <t>史继刚, 刘方健, 赵劲松</t>
  </si>
  <si>
    <t>F129/54=3D</t>
  </si>
  <si>
    <t>978-7-5473-1735-8</t>
  </si>
  <si>
    <t>中国市场通史. 第1卷</t>
  </si>
  <si>
    <t>吴承明, 陈争平</t>
  </si>
  <si>
    <t>F129/55/1</t>
  </si>
  <si>
    <t>中国市场通史. 第2卷</t>
  </si>
  <si>
    <t>F129/55/2</t>
  </si>
  <si>
    <t>中国市场通史. 第3卷</t>
  </si>
  <si>
    <t>F129/55/3</t>
  </si>
  <si>
    <t>978-7-5663-2149-7</t>
  </si>
  <si>
    <t>博鳌亚洲论坛亚洲经济前景及一体化进程2020年度报告</t>
  </si>
  <si>
    <t>对外经济贸易大学出版社</t>
  </si>
  <si>
    <t>F13/7/2020</t>
  </si>
  <si>
    <t>978-7-5663-2257-9</t>
  </si>
  <si>
    <t>博鳌亚洲论坛亚洲经济前景及一体化进程2021年度报告</t>
  </si>
  <si>
    <t>F13/7/2021</t>
  </si>
  <si>
    <t>978-7-214-17372-0</t>
  </si>
  <si>
    <t>跨越中等收入陷阱: 韩国经济60年腾飞之路</t>
  </si>
  <si>
    <t>(韩) 司空一, 高永善</t>
  </si>
  <si>
    <t>F131.264/4</t>
  </si>
  <si>
    <t>978-7-111-69582-0</t>
  </si>
  <si>
    <t>失去的二十年</t>
  </si>
  <si>
    <t>(日) 池田信夫</t>
  </si>
  <si>
    <t>F131.3/16</t>
  </si>
  <si>
    <t>978-7-220-11889-0</t>
  </si>
  <si>
    <t>日本经济奇迹的终结</t>
  </si>
  <si>
    <t>(日) 都留重人</t>
  </si>
  <si>
    <t>F131.3/17</t>
  </si>
  <si>
    <t>978-7-214-25185-5</t>
  </si>
  <si>
    <t>新加坡的成功: 经济增长驱动力</t>
  </si>
  <si>
    <t>(法) 亨利·盖斯奇埃尔</t>
  </si>
  <si>
    <t>F133.94/3</t>
  </si>
  <si>
    <t>978-7-5164-2401-8</t>
  </si>
  <si>
    <t>北欧五国创新信息概述</t>
  </si>
  <si>
    <t>张明龙, 张琼妮</t>
  </si>
  <si>
    <t>F15/15</t>
  </si>
  <si>
    <t>978-7-5164-2372-1</t>
  </si>
  <si>
    <t>意大利创新信息概述</t>
  </si>
  <si>
    <t>张琼妮, 张明龙</t>
  </si>
  <si>
    <t>F15/16</t>
  </si>
  <si>
    <t>近代英国的贫富差距问题</t>
  </si>
  <si>
    <t>郭家宏</t>
  </si>
  <si>
    <t>F156.14/2</t>
  </si>
  <si>
    <t>978-7-5164-2181-9</t>
  </si>
  <si>
    <t>加拿大创新信息概述</t>
  </si>
  <si>
    <t>F171.14/2</t>
  </si>
  <si>
    <t>978-7-5642-3303-7</t>
  </si>
  <si>
    <t>调整失败: 美国人如何落后于全球经济的步伐</t>
  </si>
  <si>
    <t>爱德华·奥尔登</t>
  </si>
  <si>
    <t>F171.2/28</t>
  </si>
  <si>
    <t>978-7-5517-2689-4</t>
  </si>
  <si>
    <t>经管类本科论文写作指南</t>
  </si>
  <si>
    <t>徐雯, 马越, 纪晓丽</t>
  </si>
  <si>
    <t>F2/65</t>
  </si>
  <si>
    <t>978-7-307-21409-5</t>
  </si>
  <si>
    <t>看得见的与看不见的. 2. 经济学的争论与真相</t>
  </si>
  <si>
    <t>(法) 巴斯夏</t>
  </si>
  <si>
    <t>F202/6/2</t>
  </si>
  <si>
    <t>978-7-5096-8199-2</t>
  </si>
  <si>
    <t>工商管理案例辞典</t>
  </si>
  <si>
    <t>胡海波</t>
  </si>
  <si>
    <t>F203.9/121</t>
  </si>
  <si>
    <t>978-7-5642-3874-2</t>
  </si>
  <si>
    <t>工商管理硕士案例教学模式研究: 建构主义视角</t>
  </si>
  <si>
    <t>欧丽慧</t>
  </si>
  <si>
    <t>F203.9/122</t>
  </si>
  <si>
    <t>978-7-5642-3750-9</t>
  </si>
  <si>
    <t>新商科本科实践教学体系的构建与探索: 以工商管理专业为例</t>
  </si>
  <si>
    <t>何建佳, 张峥, 于茂荐</t>
  </si>
  <si>
    <t>F203.9/123</t>
  </si>
  <si>
    <t>978-7-5189-7620-1</t>
  </si>
  <si>
    <t>国家创新指数报告. 2020</t>
  </si>
  <si>
    <t>中国科学技术发展战略研究院</t>
  </si>
  <si>
    <t>F204/19/2020</t>
  </si>
  <si>
    <t>978-7-03-063063-6</t>
  </si>
  <si>
    <t>创新驱动的理论与方法: 基于珠三角和长三角的经验</t>
  </si>
  <si>
    <t>张耀辉</t>
  </si>
  <si>
    <t>F204/38</t>
  </si>
  <si>
    <t>978-7-5680-7310-3</t>
  </si>
  <si>
    <t>组织机构名称多维度研究</t>
  </si>
  <si>
    <t>陈慧</t>
  </si>
  <si>
    <t>F208/7</t>
  </si>
  <si>
    <t>978-7-03-070665-2</t>
  </si>
  <si>
    <t>计量经济学: 理论·方法·EViews应用</t>
  </si>
  <si>
    <t>郭存芝, 杜延军, 李春吉</t>
  </si>
  <si>
    <t>F224.0/143=4D</t>
  </si>
  <si>
    <t>978-7-5672-3422-2</t>
  </si>
  <si>
    <t>经济数学</t>
  </si>
  <si>
    <t>叶娇, 刘康波</t>
  </si>
  <si>
    <t>F224.0/233</t>
  </si>
  <si>
    <t>978-7-5682-8928-3</t>
  </si>
  <si>
    <t>计量经济学及EViews应用</t>
  </si>
  <si>
    <t>唐吉洪</t>
  </si>
  <si>
    <t>F224.0/234</t>
  </si>
  <si>
    <t>978-7-5096-7792-6</t>
  </si>
  <si>
    <t>计量经济学实验指导教程: 基于EViews与SPSS的综合运用</t>
  </si>
  <si>
    <t>余霜</t>
  </si>
  <si>
    <t>F224.0/235</t>
  </si>
  <si>
    <t>978-7-5194-5683-2</t>
  </si>
  <si>
    <t>现代前沿经济学</t>
  </si>
  <si>
    <t>孙中才</t>
  </si>
  <si>
    <t>F224.0/236</t>
  </si>
  <si>
    <t>978-7-5647-8244-3</t>
  </si>
  <si>
    <t>现代经济数学理论及应用探究</t>
  </si>
  <si>
    <t>刘兆鹏, 何瑞强</t>
  </si>
  <si>
    <t>电子科技大学出版社</t>
  </si>
  <si>
    <t>F224.0/237</t>
  </si>
  <si>
    <t>978-7-5096-7721-6</t>
  </si>
  <si>
    <t>计量经济学</t>
  </si>
  <si>
    <t>于永娟, 何悦</t>
  </si>
  <si>
    <t>F224.0/238</t>
  </si>
  <si>
    <t>978-7-5682-6930-8</t>
  </si>
  <si>
    <t>Statistical and economic analysis using quantile regression</t>
  </si>
  <si>
    <t>霍丽娟</t>
  </si>
  <si>
    <t>F224.12/8</t>
  </si>
  <si>
    <t>978-7-5615-8298-5</t>
  </si>
  <si>
    <t>会计学原理</t>
  </si>
  <si>
    <t>辛林</t>
  </si>
  <si>
    <t>F230/1000</t>
  </si>
  <si>
    <t>978-7-5639-6850-3</t>
  </si>
  <si>
    <t>新时期高校会计教学创新改革与实践教学研究</t>
  </si>
  <si>
    <t>刘赛, 刘小海</t>
  </si>
  <si>
    <t>F230/1001</t>
  </si>
  <si>
    <t>978-7-5642-3624-3</t>
  </si>
  <si>
    <t>会计学原理模拟实训教程</t>
  </si>
  <si>
    <t>龚喆君</t>
  </si>
  <si>
    <t>F230/1002=2D</t>
  </si>
  <si>
    <t>978-7-5642-3634-2</t>
  </si>
  <si>
    <t>基础会计: 理论·实务·案例·实训</t>
  </si>
  <si>
    <t>李贺</t>
  </si>
  <si>
    <t>F230/1003=2D</t>
  </si>
  <si>
    <t>978-7-5615-8064-6</t>
  </si>
  <si>
    <t>杨洁</t>
  </si>
  <si>
    <t>F230/1004=4D</t>
  </si>
  <si>
    <t>978-7-5682-9420-1</t>
  </si>
  <si>
    <t>基础会计</t>
  </si>
  <si>
    <t>王勇, 刘砚华, 崔伟</t>
  </si>
  <si>
    <t>F230/1005</t>
  </si>
  <si>
    <t>978-7-5642-3824-7</t>
  </si>
  <si>
    <t>傅萌</t>
  </si>
  <si>
    <t>F230/1006</t>
  </si>
  <si>
    <t>基础会计练习册</t>
  </si>
  <si>
    <t>F230/1006-2</t>
  </si>
  <si>
    <t>978-7-5504-5011-0</t>
  </si>
  <si>
    <t>基础会计学</t>
  </si>
  <si>
    <t>张志康, 马洁</t>
  </si>
  <si>
    <t>F230/1007</t>
  </si>
  <si>
    <t>978-7-5639-7750-5</t>
  </si>
  <si>
    <t>应用型人才培养视角下的会计教学改革研究</t>
  </si>
  <si>
    <t>董海慧</t>
  </si>
  <si>
    <t>F230/1008</t>
  </si>
  <si>
    <t>978-7-121-39328-0</t>
  </si>
  <si>
    <t>晋淑惠, 马青, 李楠</t>
  </si>
  <si>
    <t>电子工业出版社</t>
  </si>
  <si>
    <t>F230/1009</t>
  </si>
  <si>
    <t>978-7-5578-8295-2</t>
  </si>
  <si>
    <t>财务管理与会计学的发展与应用研究</t>
  </si>
  <si>
    <t>丛晓琪</t>
  </si>
  <si>
    <t>F230/1010</t>
  </si>
  <si>
    <t>978-7-5639-7056-8</t>
  </si>
  <si>
    <t>我国高校会计人才培养与教学研究</t>
  </si>
  <si>
    <t>梁丽媛</t>
  </si>
  <si>
    <t>F230/1011</t>
  </si>
  <si>
    <t>978-7-5654-4103-5</t>
  </si>
  <si>
    <t>会计学</t>
  </si>
  <si>
    <t>孙丽雅, 王洪丽</t>
  </si>
  <si>
    <t>F230/1012=2D</t>
  </si>
  <si>
    <t>978-7-300-27233-7</t>
  </si>
  <si>
    <t>初级会计学</t>
  </si>
  <si>
    <t>朱小平, 周华, 秦玉熙</t>
  </si>
  <si>
    <t>F230/150=10D</t>
  </si>
  <si>
    <t>978-7-5642-3498-0</t>
  </si>
  <si>
    <t>朱小英</t>
  </si>
  <si>
    <t>F230/654=4D</t>
  </si>
  <si>
    <t>978-7-5429-6926-2</t>
  </si>
  <si>
    <t>邵瑞庆</t>
  </si>
  <si>
    <t>F230/719=6D</t>
  </si>
  <si>
    <t>978-7-5504-4963-3</t>
  </si>
  <si>
    <t>会计综合实训</t>
  </si>
  <si>
    <t>喻强, 何定洲, 皱倩</t>
  </si>
  <si>
    <t>F230/806=4D</t>
  </si>
  <si>
    <t>978-7-5672-3552-6</t>
  </si>
  <si>
    <t>龚菊明</t>
  </si>
  <si>
    <t>F230/994</t>
  </si>
  <si>
    <t>978-7-5180-3145-0</t>
  </si>
  <si>
    <t>会计基础理论研究</t>
  </si>
  <si>
    <t>于吉斌</t>
  </si>
  <si>
    <t>中国纺织出版社</t>
  </si>
  <si>
    <t>F230/995</t>
  </si>
  <si>
    <t>978-7-5504-4919-0</t>
  </si>
  <si>
    <t>基础会计应用能力训练</t>
  </si>
  <si>
    <t>董晓平</t>
  </si>
  <si>
    <t>F230/996</t>
  </si>
  <si>
    <t>978-7-5504-4918-3</t>
  </si>
  <si>
    <t>会计综合应用能力训练</t>
  </si>
  <si>
    <t>刘瑞华</t>
  </si>
  <si>
    <t>F230/997</t>
  </si>
  <si>
    <t>978-7-5429-6351-2</t>
  </si>
  <si>
    <t>胡丹, 袁芬</t>
  </si>
  <si>
    <t>F230/998</t>
  </si>
  <si>
    <t>978-7-5642-3649-6</t>
  </si>
  <si>
    <t>会计、财务管理、审计教学案例集</t>
  </si>
  <si>
    <t>《会计、财务管理、审计教学案例集》委会</t>
  </si>
  <si>
    <t>F230/999</t>
  </si>
  <si>
    <t>978-7-5504-5007-3</t>
  </si>
  <si>
    <t>财务分析</t>
  </si>
  <si>
    <t>汪上达, 申佳奇</t>
  </si>
  <si>
    <t>F231.2/42</t>
  </si>
  <si>
    <t>978-7-5096-7192-4</t>
  </si>
  <si>
    <t>财务分析: 基础与提升</t>
  </si>
  <si>
    <t>李志坚</t>
  </si>
  <si>
    <t>F231.2/43</t>
  </si>
  <si>
    <t>978-7-5682-8789-0</t>
  </si>
  <si>
    <t>财务报表分析</t>
  </si>
  <si>
    <t>杨孝安</t>
  </si>
  <si>
    <t>F231.5/187=2D</t>
  </si>
  <si>
    <t>978-7-5654-4122-6</t>
  </si>
  <si>
    <t>财务报表编制与分析</t>
  </si>
  <si>
    <t>朱继民</t>
  </si>
  <si>
    <t>F231.5/208=3D</t>
  </si>
  <si>
    <t>978-7-03-070566-2</t>
  </si>
  <si>
    <t>王凤</t>
  </si>
  <si>
    <t>F231.5/209</t>
  </si>
  <si>
    <t>978-7-5639-7417-7</t>
  </si>
  <si>
    <t>财务报表分析与企业价值研究</t>
  </si>
  <si>
    <t>刘莉</t>
  </si>
  <si>
    <t>F231.5/210</t>
  </si>
  <si>
    <t>978-7-5576-8566-9</t>
  </si>
  <si>
    <t>财务报表分析从入门到精通</t>
  </si>
  <si>
    <t>刘靳</t>
  </si>
  <si>
    <t>F231.5/211</t>
  </si>
  <si>
    <t>978-7-5504-5035-6</t>
  </si>
  <si>
    <t>财务报告导论</t>
  </si>
  <si>
    <t>薄澜, 张微微</t>
  </si>
  <si>
    <t>F231.5/212</t>
  </si>
  <si>
    <t>978-7-301-31312-1</t>
  </si>
  <si>
    <t>出纳高效工作手册</t>
  </si>
  <si>
    <t>凤凰高新教育</t>
  </si>
  <si>
    <t>F231.7/21</t>
  </si>
  <si>
    <t>978-7-5639-7006-3</t>
  </si>
  <si>
    <t>当代会计信息化原理与应用研究</t>
  </si>
  <si>
    <t>仲旦彦</t>
  </si>
  <si>
    <t>F232/382</t>
  </si>
  <si>
    <t>978-7-5578-8056-9</t>
  </si>
  <si>
    <t>新经济环境下会计信息系统理论与发展研究</t>
  </si>
  <si>
    <t>张晓军</t>
  </si>
  <si>
    <t>F232/383</t>
  </si>
  <si>
    <t>978-7-5429-6722-0</t>
  </si>
  <si>
    <t>财务管理实验: 基于金蝶EAS</t>
  </si>
  <si>
    <t>傅素青, 伍绍平</t>
  </si>
  <si>
    <t>F232/384</t>
  </si>
  <si>
    <t>978-7-5682-6900-1</t>
  </si>
  <si>
    <t>基础会计电算化实务</t>
  </si>
  <si>
    <t>陈英蓉</t>
  </si>
  <si>
    <t>F232/385</t>
  </si>
  <si>
    <t>978-7-5654-4067-0</t>
  </si>
  <si>
    <t>财务软件应用</t>
  </si>
  <si>
    <t>丁淑芹, 王光鹿</t>
  </si>
  <si>
    <t>F232/386=2D</t>
  </si>
  <si>
    <t>978-7-5504-4965-7</t>
  </si>
  <si>
    <t>电算化会计信息系统</t>
  </si>
  <si>
    <t>冯自钦</t>
  </si>
  <si>
    <t>F232/387=2D</t>
  </si>
  <si>
    <t>978-7-5639-7376-7</t>
  </si>
  <si>
    <t>会计改革与会计管理研究</t>
  </si>
  <si>
    <t>杜燕蓉</t>
  </si>
  <si>
    <t>F233.2/59</t>
  </si>
  <si>
    <t>978-7-5639-7549-5</t>
  </si>
  <si>
    <t>新经济环境下我国会计国际化研究</t>
  </si>
  <si>
    <t>申颖</t>
  </si>
  <si>
    <t>F233.2/60</t>
  </si>
  <si>
    <t>978-7-5642-3721-9</t>
  </si>
  <si>
    <t>会计制度设计</t>
  </si>
  <si>
    <t>孙鸿雁, 蔡树龙</t>
  </si>
  <si>
    <t>F233/110=3D</t>
  </si>
  <si>
    <t>978-7-5504-4734-9</t>
  </si>
  <si>
    <t>成本会计</t>
  </si>
  <si>
    <t>张力上, 宋浩</t>
  </si>
  <si>
    <t>F234.2/133=4D</t>
  </si>
  <si>
    <t>978-7-5682-8642-8</t>
  </si>
  <si>
    <t>成本会计实务</t>
  </si>
  <si>
    <t>缪金和, 王立群, 崔维瑜</t>
  </si>
  <si>
    <t>F234.2/190</t>
  </si>
  <si>
    <t>978-7-206-16948-9</t>
  </si>
  <si>
    <t>成本管理会计理论与实践</t>
  </si>
  <si>
    <t>盛天松</t>
  </si>
  <si>
    <t>F234.2/191</t>
  </si>
  <si>
    <t>978-7-5504-4852-0</t>
  </si>
  <si>
    <t>成本会计应用能力训练</t>
  </si>
  <si>
    <t>朱晓凤</t>
  </si>
  <si>
    <t>F234.2/192</t>
  </si>
  <si>
    <t>978-7-5180-2631-9</t>
  </si>
  <si>
    <t>成本会计学原理与核算方法研究</t>
  </si>
  <si>
    <t>李新来</t>
  </si>
  <si>
    <t>F234.2/193</t>
  </si>
  <si>
    <t>978-7-5504-4756-1</t>
  </si>
  <si>
    <t>成本管理会计</t>
  </si>
  <si>
    <t>黎富兵, 王霞</t>
  </si>
  <si>
    <t>F234.2/194</t>
  </si>
  <si>
    <t>978-7-5639-6791-9</t>
  </si>
  <si>
    <t>管理会计: 会计转型的必经之路</t>
  </si>
  <si>
    <t xml:space="preserve">赵伯廷 ...  </t>
  </si>
  <si>
    <t>F234.3/231</t>
  </si>
  <si>
    <t>978-7-5639-7379-8</t>
  </si>
  <si>
    <t>管理会计的创新和应用研究</t>
  </si>
  <si>
    <t>蒙圻</t>
  </si>
  <si>
    <t>F234.3/232</t>
  </si>
  <si>
    <t>978-7-5612-6473-7</t>
  </si>
  <si>
    <t>管理会计</t>
  </si>
  <si>
    <t>李燃, 金龙华, 李建民</t>
  </si>
  <si>
    <t>F234.3/233</t>
  </si>
  <si>
    <t>978-7-5504-4405-8</t>
  </si>
  <si>
    <t>管理会计理论与实务</t>
  </si>
  <si>
    <t>谢合明, 刘毅</t>
  </si>
  <si>
    <t>F234.3/234</t>
  </si>
  <si>
    <t>978-7-5096-8166-4</t>
  </si>
  <si>
    <t>刘贤仕, 许珂</t>
  </si>
  <si>
    <t>F234.3/235=4D</t>
  </si>
  <si>
    <t>978-7-115-57424-4</t>
  </si>
  <si>
    <t>管理会计实务应用案例详解</t>
  </si>
  <si>
    <t>朱皑绿, 邓轶群</t>
  </si>
  <si>
    <t>F234.3/236</t>
  </si>
  <si>
    <t>978-7-5578-7747-7</t>
  </si>
  <si>
    <t>管理会计学</t>
  </si>
  <si>
    <t>周祥军</t>
  </si>
  <si>
    <t>F234.3/237</t>
  </si>
  <si>
    <t>978-7-111-69393-2</t>
  </si>
  <si>
    <t>漫话管理会计是什么</t>
  </si>
  <si>
    <t>邹志英</t>
  </si>
  <si>
    <t>F234.3/238</t>
  </si>
  <si>
    <t>978-7-5504-5010-3</t>
  </si>
  <si>
    <t>李成云, 张荷</t>
  </si>
  <si>
    <t>F234.3/239</t>
  </si>
  <si>
    <t>978-7-302-57039-4</t>
  </si>
  <si>
    <t>管理会计实践教程</t>
  </si>
  <si>
    <t>肖康元</t>
  </si>
  <si>
    <t>F234.3/240</t>
  </si>
  <si>
    <t>978-7-5654-4154-7</t>
  </si>
  <si>
    <t>管理会计实训教程</t>
  </si>
  <si>
    <t>杨学富, 耿广猛</t>
  </si>
  <si>
    <t>F234.3/60=4D</t>
  </si>
  <si>
    <t>978-7-5654-4116-5</t>
  </si>
  <si>
    <t>中级财务会计</t>
  </si>
  <si>
    <t>姜昕, 李爱华, 陈继兵</t>
  </si>
  <si>
    <t>F234.4/314=4D</t>
  </si>
  <si>
    <t>978-7-5654-4127-1</t>
  </si>
  <si>
    <t>财务会计实务</t>
  </si>
  <si>
    <t>王洪丽</t>
  </si>
  <si>
    <t>F234.4/393=2D</t>
  </si>
  <si>
    <t>978-7-5578-7543-5</t>
  </si>
  <si>
    <t>财务会计与审计管理</t>
  </si>
  <si>
    <t>胡云慧, 史彬芳, 王浩</t>
  </si>
  <si>
    <t>F234.4/475</t>
  </si>
  <si>
    <t>978-7-206-17590-9</t>
  </si>
  <si>
    <t>财务会计知识与实务</t>
  </si>
  <si>
    <t>高松梅, 汪智明, 刘俊芹</t>
  </si>
  <si>
    <t>F234.4/476</t>
  </si>
  <si>
    <t>978-7-5504-4752-3</t>
  </si>
  <si>
    <t>财务会计与报告</t>
  </si>
  <si>
    <t>包燕萍, 刘贤洲, 程石</t>
  </si>
  <si>
    <t>F234.4/477</t>
  </si>
  <si>
    <t>978-7-5113-8464-5</t>
  </si>
  <si>
    <t>财务管理与会计基础</t>
  </si>
  <si>
    <t>吴可灿, 黄涛, 唐开兰</t>
  </si>
  <si>
    <t>F234.4/478</t>
  </si>
  <si>
    <t>978-7-5180-7673-4</t>
  </si>
  <si>
    <t>朱友干</t>
  </si>
  <si>
    <t>F234.4/480</t>
  </si>
  <si>
    <t>978-7-5642-3538-3</t>
  </si>
  <si>
    <t>财务会计: 应用·技能·案例·实务</t>
  </si>
  <si>
    <t>李贺, 许峰, 张立焕</t>
  </si>
  <si>
    <t>F234.4/481</t>
  </si>
  <si>
    <t>978-7-301-31880-5</t>
  </si>
  <si>
    <t>高级财务会计</t>
  </si>
  <si>
    <t>崔君平, 焦争昌, 徐振华</t>
  </si>
  <si>
    <t>F234.4/482=2D</t>
  </si>
  <si>
    <t>978-7-308-21325-7</t>
  </si>
  <si>
    <t>贝洪俊, 李政</t>
  </si>
  <si>
    <t>浙江大学出版社</t>
  </si>
  <si>
    <t>F234.4/483</t>
  </si>
  <si>
    <t>978-7-5096-8039-1</t>
  </si>
  <si>
    <t>财会案例论文集</t>
  </si>
  <si>
    <t>李治堂, 彭文伟</t>
  </si>
  <si>
    <t>F234.4/484</t>
  </si>
  <si>
    <t>978-7-5639-7399-6</t>
  </si>
  <si>
    <t>国际财务会计研究</t>
  </si>
  <si>
    <t>郭一恒</t>
  </si>
  <si>
    <t>F234.4/485</t>
  </si>
  <si>
    <t>978-7-5672-3565-6</t>
  </si>
  <si>
    <t>审计学</t>
  </si>
  <si>
    <t>周中胜</t>
  </si>
  <si>
    <t>F239.0/178=2D</t>
  </si>
  <si>
    <t>978-7-5504-4602-1</t>
  </si>
  <si>
    <t>黄良杰, 肖瑞利</t>
  </si>
  <si>
    <t>F239.0/230</t>
  </si>
  <si>
    <t>978-7-5429-6587-5</t>
  </si>
  <si>
    <t>李雪</t>
  </si>
  <si>
    <t>F239.0/231</t>
  </si>
  <si>
    <t>978-7-5504-4415-7</t>
  </si>
  <si>
    <t>张丽</t>
  </si>
  <si>
    <t>F239.0/232</t>
  </si>
  <si>
    <t>978-7-5682-9288-7</t>
  </si>
  <si>
    <t>审计信息化</t>
  </si>
  <si>
    <t>王伟, 王静, 林文</t>
  </si>
  <si>
    <t>F239.1/37</t>
  </si>
  <si>
    <t>978-7-5504-4399-0</t>
  </si>
  <si>
    <t>新中国审计制度变迁</t>
  </si>
  <si>
    <t xml:space="preserve">李越冬 ...  </t>
  </si>
  <si>
    <t>F239.221/5</t>
  </si>
  <si>
    <t>978-7-121-37236-0</t>
  </si>
  <si>
    <t>中国内部审计操作实务</t>
  </si>
  <si>
    <t>贺志东</t>
  </si>
  <si>
    <t>F239.45/91=2D</t>
  </si>
  <si>
    <t>978-7-5642-3876-6</t>
  </si>
  <si>
    <t>转型背景下的内部审计治理效果研究</t>
  </si>
  <si>
    <t>吴国萍, 刘怡芳, 魏延鹏</t>
  </si>
  <si>
    <t>F239.45/92</t>
  </si>
  <si>
    <t>978-7-5180-4133-6</t>
  </si>
  <si>
    <t>低碳背景下环境审计理论研究</t>
  </si>
  <si>
    <t>沈航, 刘安民</t>
  </si>
  <si>
    <t>F239.6/33</t>
  </si>
  <si>
    <t>978-7-5654-4102-8</t>
  </si>
  <si>
    <t>劳动经济学</t>
  </si>
  <si>
    <t>袁伦渠</t>
  </si>
  <si>
    <t>F240/18=6D</t>
  </si>
  <si>
    <t>978-7-5654-4090-8</t>
  </si>
  <si>
    <t>何承金</t>
  </si>
  <si>
    <t>F240/22=6D</t>
  </si>
  <si>
    <t>978-7-5675-9306-0</t>
  </si>
  <si>
    <t>找工作: 关系人与职业生涯的研究</t>
  </si>
  <si>
    <t>(美) 马克·格兰诺维特</t>
  </si>
  <si>
    <t>华东师范大学出版社</t>
  </si>
  <si>
    <t>F241.2/3</t>
  </si>
  <si>
    <t>978-7-5672-3406-2</t>
  </si>
  <si>
    <t>人力资源管理</t>
  </si>
  <si>
    <t>宋典, 华冬萍</t>
  </si>
  <si>
    <t>F243/186=2D</t>
  </si>
  <si>
    <t>978-7-5180-4364-4</t>
  </si>
  <si>
    <t>人力资源管理论与实务发展研究</t>
  </si>
  <si>
    <t>张海莹, 王林, 董晓英</t>
  </si>
  <si>
    <t>F243/187</t>
  </si>
  <si>
    <t>978-7-115-56564-8</t>
  </si>
  <si>
    <t>人力资源规划操作指南: 规划概述+实用图表+流程架构+操作方案</t>
  </si>
  <si>
    <t>乔继玉</t>
  </si>
  <si>
    <t>F243/188</t>
  </si>
  <si>
    <t>978-7-5096-7584-7</t>
  </si>
  <si>
    <t>黄玉杰, 马振华</t>
  </si>
  <si>
    <t>F243/189</t>
  </si>
  <si>
    <t>978-7-5638-3263-7</t>
  </si>
  <si>
    <t>人力资源管理导论</t>
  </si>
  <si>
    <t xml:space="preserve">周施恩 ...  </t>
  </si>
  <si>
    <t>F243/190</t>
  </si>
  <si>
    <t>978-7-5639-7563-1</t>
  </si>
  <si>
    <t>基于创新视角下人力资源管理的多维探索</t>
  </si>
  <si>
    <t>傅航</t>
  </si>
  <si>
    <t>F243/191</t>
  </si>
  <si>
    <t>978-7-305-24229-8</t>
  </si>
  <si>
    <t>组织设计与工作分析</t>
  </si>
  <si>
    <t>蒋春燕, 蒋昀洁, 孙甫丽</t>
  </si>
  <si>
    <t>F243/192</t>
  </si>
  <si>
    <t>978-7-5096-7225-9</t>
  </si>
  <si>
    <t>人力资源管理综合实训</t>
  </si>
  <si>
    <t>雷婷, 胡玲</t>
  </si>
  <si>
    <t>F243/193</t>
  </si>
  <si>
    <t>978-7-115-56457-3</t>
  </si>
  <si>
    <t>人力资源管理风险防控操作指南: 风控规划+应对措施+典型案例+政策法规</t>
  </si>
  <si>
    <t>F243/194</t>
  </si>
  <si>
    <t>978-7-115-55249-5</t>
  </si>
  <si>
    <t>范征</t>
  </si>
  <si>
    <t>F243/195=2D</t>
  </si>
  <si>
    <t>978-7-5578-7803-0</t>
  </si>
  <si>
    <t>现代人力资源管理与信息化建设</t>
  </si>
  <si>
    <t>许云萍</t>
  </si>
  <si>
    <t>F243/196</t>
  </si>
  <si>
    <t>978-7-115-52401-0</t>
  </si>
  <si>
    <t>HR“表”达力: 管理制度与通用模板</t>
  </si>
  <si>
    <t>严欣荣</t>
  </si>
  <si>
    <t>F243/197</t>
  </si>
  <si>
    <t>978-7-5096-8252-4</t>
  </si>
  <si>
    <t>人力资源管理实务</t>
  </si>
  <si>
    <t>郑惠珍, 杨保军, 蒋定福</t>
  </si>
  <si>
    <t>F243/198</t>
  </si>
  <si>
    <t>978-7-115-51784-5</t>
  </si>
  <si>
    <t>人力资源管理实战进阶: 招聘、培训、绩效考核、薪酬管理与风险防控</t>
  </si>
  <si>
    <t>于元香</t>
  </si>
  <si>
    <t>F243/199</t>
  </si>
  <si>
    <t>978-7-115-56296-8</t>
  </si>
  <si>
    <t>人力资源培训与开发操作指南: 培训课程设置与安全综合技能提升</t>
  </si>
  <si>
    <t>乔继玉, 李思达</t>
  </si>
  <si>
    <t>F243-62/2</t>
  </si>
  <si>
    <t>978-7-5581-8299-0</t>
  </si>
  <si>
    <t>人力资源服务产业与企业管理</t>
  </si>
  <si>
    <t>李娟</t>
  </si>
  <si>
    <t>F249.21/45</t>
  </si>
  <si>
    <t>978-7-5201-9357-3</t>
  </si>
  <si>
    <t>中国人力资源市场分析报告. 2021</t>
  </si>
  <si>
    <t>余兴安</t>
  </si>
  <si>
    <t>F249.212/11/2021</t>
  </si>
  <si>
    <t>978-7-5096-8241-8</t>
  </si>
  <si>
    <t>制度、劳动力与区域一体化</t>
  </si>
  <si>
    <t>阎晓莹</t>
  </si>
  <si>
    <t>F249.212/13</t>
  </si>
  <si>
    <t>978-7-01-023474-8</t>
  </si>
  <si>
    <t>我国养老金缺口测算及对策研究</t>
  </si>
  <si>
    <t>王立剑</t>
  </si>
  <si>
    <t>F249.213.4/10</t>
  </si>
  <si>
    <t>978-7-5639-7081-0</t>
  </si>
  <si>
    <t>中国家庭养老金规划管理与有效性研究</t>
  </si>
  <si>
    <t>宋彤</t>
  </si>
  <si>
    <t>F249.213.4/9</t>
  </si>
  <si>
    <t>978-7-5201-9248-4</t>
  </si>
  <si>
    <t>中国人力资源发展报告. 2021</t>
  </si>
  <si>
    <t>F249.23/6/2021</t>
  </si>
  <si>
    <t>978-7-214-05711-2</t>
  </si>
  <si>
    <t>传统中国日常生活中的协商: 中古契约研究</t>
  </si>
  <si>
    <t>(美) 韩森</t>
  </si>
  <si>
    <t>F249.26/20</t>
  </si>
  <si>
    <t>近代英国劳资冲突与化解</t>
  </si>
  <si>
    <t>刘金源,初庆东</t>
  </si>
  <si>
    <t>F249/3</t>
  </si>
  <si>
    <t>978-7-5096-7696-7</t>
  </si>
  <si>
    <t>现代物流统计学</t>
  </si>
  <si>
    <t>韩嵩</t>
  </si>
  <si>
    <t>F251.3/9</t>
  </si>
  <si>
    <t>978-7-5113-8289-4</t>
  </si>
  <si>
    <t>信息化发展与供应链管理研究</t>
  </si>
  <si>
    <t>薛少青</t>
  </si>
  <si>
    <t>F252.1/121</t>
  </si>
  <si>
    <t>978-7-5578-8122-1</t>
  </si>
  <si>
    <t>物流与供应链管理智慧化发展探索</t>
  </si>
  <si>
    <t>陈栋</t>
  </si>
  <si>
    <t>F252.1/122</t>
  </si>
  <si>
    <t>978-7-5763-0303-2</t>
  </si>
  <si>
    <t>现代物流管理</t>
  </si>
  <si>
    <t>姜波</t>
  </si>
  <si>
    <t>F252.1/123</t>
  </si>
  <si>
    <t>978-7-5096-8188-6</t>
  </si>
  <si>
    <t>区域供应链融资决策与协调机制研究</t>
  </si>
  <si>
    <t>杜文意</t>
  </si>
  <si>
    <t>F252.1/124</t>
  </si>
  <si>
    <t>978-7-5517-2525-5</t>
  </si>
  <si>
    <t>供应链与物流管理</t>
  </si>
  <si>
    <t>邱若臻</t>
  </si>
  <si>
    <t>F252.1/125</t>
  </si>
  <si>
    <t>978-7-5682-9525-3</t>
  </si>
  <si>
    <t>物流与供应链管理</t>
  </si>
  <si>
    <t>张磊, 张雪</t>
  </si>
  <si>
    <t>F252.1/126</t>
  </si>
  <si>
    <t>978-7-5096-7772-8</t>
  </si>
  <si>
    <t>供应链定价、订货决策与销售渠道选择问题研究</t>
  </si>
  <si>
    <t>吴胜</t>
  </si>
  <si>
    <t>F252.1/127</t>
  </si>
  <si>
    <t>978-7-5096-7785-8</t>
  </si>
  <si>
    <t>绿色供应链管理绩效评价与优化研究: 以食品行业为例</t>
  </si>
  <si>
    <t>孙楚绿</t>
  </si>
  <si>
    <t>F252.1/128</t>
  </si>
  <si>
    <t>978-7-5096-7935-7</t>
  </si>
  <si>
    <t>物流管理</t>
  </si>
  <si>
    <t>耿元芳, 刘贵容</t>
  </si>
  <si>
    <t>F252.1/129</t>
  </si>
  <si>
    <t>978-7-121-42276-8</t>
  </si>
  <si>
    <t>实战供应链: 业务梳理、系统设计与项目实战</t>
  </si>
  <si>
    <t>罗静</t>
  </si>
  <si>
    <t>F252.1/130</t>
  </si>
  <si>
    <t>978-7-305-24147-5</t>
  </si>
  <si>
    <t>物流市场开发与客户服务</t>
  </si>
  <si>
    <t>程晓栋, 李明慧</t>
  </si>
  <si>
    <t>F252.2/35</t>
  </si>
  <si>
    <t>978-7-5096-7725-4</t>
  </si>
  <si>
    <t>供应链金融模式与案例</t>
  </si>
  <si>
    <t>鲍新中</t>
  </si>
  <si>
    <t>F252.2/36</t>
  </si>
  <si>
    <t>978-7-5682-7319-0</t>
  </si>
  <si>
    <t>物流配送实务</t>
  </si>
  <si>
    <t>李海民, 薛刚</t>
  </si>
  <si>
    <t>F252.24/1=3D</t>
  </si>
  <si>
    <t>978-7-5682-7691-7</t>
  </si>
  <si>
    <t>供应链管理</t>
  </si>
  <si>
    <t>杨国荣</t>
  </si>
  <si>
    <t>F252/172=4D</t>
  </si>
  <si>
    <t>978-7-307-22409-4</t>
  </si>
  <si>
    <t>物流管理学</t>
  </si>
  <si>
    <t>刘明菲, 王槐林</t>
  </si>
  <si>
    <t>F252/249=4D</t>
  </si>
  <si>
    <t>978-7-121-42444-1</t>
  </si>
  <si>
    <t>国际物流实务</t>
  </si>
  <si>
    <t>张良卫</t>
  </si>
  <si>
    <t>F252/258=4D</t>
  </si>
  <si>
    <t>978-7-5664-2281-1</t>
  </si>
  <si>
    <t>现代物流管理基础</t>
  </si>
  <si>
    <t>李亦亮</t>
  </si>
  <si>
    <t>F252/500=3D</t>
  </si>
  <si>
    <t>978-7-5671-4144-5</t>
  </si>
  <si>
    <t>现代物流管理教程</t>
  </si>
  <si>
    <t>聂永有, 袁洪飞</t>
  </si>
  <si>
    <t>F252/696</t>
  </si>
  <si>
    <t>978-7-5682-9413-3</t>
  </si>
  <si>
    <t>物流设施与设备</t>
  </si>
  <si>
    <t>冯国壁, 邓亦涛</t>
  </si>
  <si>
    <t>F252/697</t>
  </si>
  <si>
    <t>978-7-5612-6997-8</t>
  </si>
  <si>
    <t>大数据时代“智能物流”新模式研究</t>
  </si>
  <si>
    <t>姚佳琪</t>
  </si>
  <si>
    <t>F252/698</t>
  </si>
  <si>
    <t>978-7-5682-8690-9</t>
  </si>
  <si>
    <t>仓储与配送管理</t>
  </si>
  <si>
    <t>朱文涛, 杨琳华</t>
  </si>
  <si>
    <t>F253/129</t>
  </si>
  <si>
    <t>978-7-5682-7047-2</t>
  </si>
  <si>
    <t>库管员实务</t>
  </si>
  <si>
    <t>梁庆华</t>
  </si>
  <si>
    <t>F253/130</t>
  </si>
  <si>
    <t>978-7-313-24474-1</t>
  </si>
  <si>
    <t>国际物流学</t>
  </si>
  <si>
    <t>钟海岩, 田丽, 吴锦源</t>
  </si>
  <si>
    <t>F259.1/23</t>
  </si>
  <si>
    <t>978-7-5576-7241-6</t>
  </si>
  <si>
    <t>农村物流</t>
  </si>
  <si>
    <t>吴永艳, 李学国</t>
  </si>
  <si>
    <t>F259.22/63</t>
  </si>
  <si>
    <t>978-7-5194-5880-5</t>
  </si>
  <si>
    <t>物流业与制造业的产业融合及协调发展</t>
  </si>
  <si>
    <t>弓宪文</t>
  </si>
  <si>
    <t>F259.22/64</t>
  </si>
  <si>
    <t>978-7-5096-7747-6</t>
  </si>
  <si>
    <t>“互联网+”融合催生新产业的案例分析</t>
  </si>
  <si>
    <t>郭斌</t>
  </si>
  <si>
    <t>F260/33</t>
  </si>
  <si>
    <t>978-7-5164-2461-2</t>
  </si>
  <si>
    <t>产业集群与区域品牌协同演进研究</t>
  </si>
  <si>
    <t>谌飞龙</t>
  </si>
  <si>
    <t>F263/8</t>
  </si>
  <si>
    <t>978-7-5096-7735-3</t>
  </si>
  <si>
    <t>服务化、信息化和创新模型: 两阶段产业集群理论</t>
  </si>
  <si>
    <t>吴佳, 徐雨婧</t>
  </si>
  <si>
    <t>F263/9</t>
  </si>
  <si>
    <t>978-7-5096-7856-5</t>
  </si>
  <si>
    <t>战略性新兴产业高端化: 理论与实践</t>
  </si>
  <si>
    <t>李莉</t>
  </si>
  <si>
    <t>F264/6</t>
  </si>
  <si>
    <t>978-7-5096-7513-7</t>
  </si>
  <si>
    <t>国内外产业转移的理论与实践: 基于“一带一路”沿线国家的研究</t>
  </si>
  <si>
    <t>祁苑玲</t>
  </si>
  <si>
    <t>F264/7</t>
  </si>
  <si>
    <t>978-7-5096-8171-8</t>
  </si>
  <si>
    <t>中部老工业城市承接产业转移影响因素与效应研究</t>
  </si>
  <si>
    <t>雒海潮, 苗长虹</t>
  </si>
  <si>
    <t>F264/8</t>
  </si>
  <si>
    <t>978-7-5194-5944-4</t>
  </si>
  <si>
    <t>“一带一路”合作共赢框架下中国与沿线国家产业转移研究</t>
  </si>
  <si>
    <t>彭薇</t>
  </si>
  <si>
    <t>F269.1/4</t>
  </si>
  <si>
    <t>978-7-5096-8027-8</t>
  </si>
  <si>
    <t>产业发展的热点与焦点问题: 2020</t>
  </si>
  <si>
    <t>中国社会科学院工业经济研究所《产业经济学》学科组</t>
  </si>
  <si>
    <t>F269.2/11/2020</t>
  </si>
  <si>
    <t>978-7-121-39713-4</t>
  </si>
  <si>
    <t>中国产业转移年度报告. 2019-2020</t>
  </si>
  <si>
    <t>国家工业信息安全发展研究中心</t>
  </si>
  <si>
    <t>F269.2/17/2019-2020</t>
  </si>
  <si>
    <t>978-7-121-42211-9</t>
  </si>
  <si>
    <t>中国产业转移年度报告. 2020-2021</t>
  </si>
  <si>
    <t>F269.2/17/2020-2021</t>
  </si>
  <si>
    <t>978-7-208-17460-3</t>
  </si>
  <si>
    <t>2020中国产业发展报告: 全球产业链重构与中国产业转型升级</t>
  </si>
  <si>
    <t>余典范</t>
  </si>
  <si>
    <t>F269.2/18/2020</t>
  </si>
  <si>
    <t>978-7-5096-7811-4</t>
  </si>
  <si>
    <t>“十四五”中国产业经济发展展望: 中国工业经济学会2020年年会优秀论文集</t>
  </si>
  <si>
    <t>史丹, 白永秀</t>
  </si>
  <si>
    <t>F269.2/19/2020</t>
  </si>
  <si>
    <t>978-7-5096-7640-0</t>
  </si>
  <si>
    <t>中国产业集群升级与新型城镇化协同推进</t>
  </si>
  <si>
    <t>曾祥炎</t>
  </si>
  <si>
    <t>F269.23/13</t>
  </si>
  <si>
    <t>978-7-5096-8150-3</t>
  </si>
  <si>
    <t>国家创新型产业集群发展报告. 2020</t>
  </si>
  <si>
    <t>F269.23/14/2020</t>
  </si>
  <si>
    <t>978-7-5639-7553-2</t>
  </si>
  <si>
    <t>科技创新驱动我国产业转型升级发展研究</t>
  </si>
  <si>
    <t>刘永焕</t>
  </si>
  <si>
    <t>F269.24/43</t>
  </si>
  <si>
    <t>978-7-5096-7970-8</t>
  </si>
  <si>
    <t>中国幸福产业体系论</t>
  </si>
  <si>
    <t>党兴华, 吴艳霞, 王文莉</t>
  </si>
  <si>
    <t>F269.24/44</t>
  </si>
  <si>
    <t>978-7-5692-6457-9</t>
  </si>
  <si>
    <t>人力资本、技术创新对产业结构升级影响研究</t>
  </si>
  <si>
    <t>罗亚菲</t>
  </si>
  <si>
    <t>F269.24/45</t>
  </si>
  <si>
    <t>978-7-5581-8213-6</t>
  </si>
  <si>
    <t>数字经济下中国产业转型升级研究</t>
  </si>
  <si>
    <t>鄢小兵</t>
  </si>
  <si>
    <t>F269.24/46</t>
  </si>
  <si>
    <t>978-7-301-30706-9</t>
  </si>
  <si>
    <t>新工业革命背景下的中国产业升级</t>
  </si>
  <si>
    <t>赵昌文, 许召元</t>
  </si>
  <si>
    <t>F269.24/47</t>
  </si>
  <si>
    <t>978-7-310-05512-8</t>
  </si>
  <si>
    <t>两岸产业政策比较研究</t>
  </si>
  <si>
    <t>李月</t>
  </si>
  <si>
    <t>F269.24/48</t>
  </si>
  <si>
    <t>978-7-5096-6390-5</t>
  </si>
  <si>
    <t>我国西部地区承接区际产业转移的效应研究</t>
  </si>
  <si>
    <t>李志翠</t>
  </si>
  <si>
    <t>F269.27/4</t>
  </si>
  <si>
    <t>978-7-5194-5970-3</t>
  </si>
  <si>
    <t>数字经济: 基于特色产业生态创新</t>
  </si>
  <si>
    <t>胡江华</t>
  </si>
  <si>
    <t>F269.27/5</t>
  </si>
  <si>
    <t>978-7-208-17485-6</t>
  </si>
  <si>
    <t>打造长三角世界级产业集群</t>
  </si>
  <si>
    <t>长三角产业和信息化发展研究联盟</t>
  </si>
  <si>
    <t>F269.275/3</t>
  </si>
  <si>
    <t>978-7-5201-9110-4</t>
  </si>
  <si>
    <t>日本产业概览: 2021-2022</t>
  </si>
  <si>
    <t>褚健</t>
  </si>
  <si>
    <t>F269.31/2/2021-2022</t>
  </si>
  <si>
    <t>978-7-302-53621-5</t>
  </si>
  <si>
    <t>世界500强企业伦理宣言精选</t>
  </si>
  <si>
    <t>丛杭青</t>
  </si>
  <si>
    <t>F270-05/31</t>
  </si>
  <si>
    <t>978-7-305-25046-0</t>
  </si>
  <si>
    <t>不动产登记实务与信息系统</t>
  </si>
  <si>
    <t xml:space="preserve">王履华 ...  </t>
  </si>
  <si>
    <t>F271.2/11</t>
  </si>
  <si>
    <t>978-7-5692-8634-2</t>
  </si>
  <si>
    <t>数据资源视角下互联网平台企业竞合战略研究</t>
  </si>
  <si>
    <t>马蔷</t>
  </si>
  <si>
    <t>F271.3/15</t>
  </si>
  <si>
    <t>978-7-5096-7482-6</t>
  </si>
  <si>
    <t>独立董事、高管薪酬与公司业绩: 基于上市公司的研究</t>
  </si>
  <si>
    <t>袁春生</t>
  </si>
  <si>
    <t>F271/109</t>
  </si>
  <si>
    <t>978-7-5164-2406-3</t>
  </si>
  <si>
    <t>合伙人制度顶层设计</t>
  </si>
  <si>
    <t>张诗信, 王学敏</t>
  </si>
  <si>
    <t>F271/92=2D</t>
  </si>
  <si>
    <t>978-7-5672-3612-7</t>
  </si>
  <si>
    <t>企业战略管理教程</t>
  </si>
  <si>
    <t xml:space="preserve">李晓峰 ...  </t>
  </si>
  <si>
    <t>F272.1/103</t>
  </si>
  <si>
    <t>978-7-5446-5794-5</t>
  </si>
  <si>
    <t>解析金伟灿/勒妮·莫博涅《蓝海战略》</t>
  </si>
  <si>
    <t>Andreas Mebert, Stephanie Lowe</t>
  </si>
  <si>
    <t>F272.1/104</t>
  </si>
  <si>
    <t>978-7-5576-8266-8</t>
  </si>
  <si>
    <t>无限的游戏</t>
  </si>
  <si>
    <t>(英) 西蒙·斯涅克</t>
  </si>
  <si>
    <t>F272.1/105</t>
  </si>
  <si>
    <t>978-7-5578-8605-9</t>
  </si>
  <si>
    <t>现代企业发展与经济管理创新策略</t>
  </si>
  <si>
    <t>孙贵丽</t>
  </si>
  <si>
    <t>F272.1/106</t>
  </si>
  <si>
    <t>978-7-5096-7990-6</t>
  </si>
  <si>
    <t>事业合伙人管理</t>
  </si>
  <si>
    <t>李青山, 耿冬梅</t>
  </si>
  <si>
    <t>F272.2/71</t>
  </si>
  <si>
    <t>978-7-5429-6637-7</t>
  </si>
  <si>
    <t>企业内部控制主要风险点、关键控制点与案例解析: 2021年版</t>
  </si>
  <si>
    <t>企业内部控制审委员会</t>
  </si>
  <si>
    <t>F272.3/222/2021</t>
  </si>
  <si>
    <t>978-7-5534-9624-5</t>
  </si>
  <si>
    <t>企业内部控制建设与评价</t>
  </si>
  <si>
    <t>吴智勇</t>
  </si>
  <si>
    <t>F272.3/244</t>
  </si>
  <si>
    <t>978-7-5639-6884-8</t>
  </si>
  <si>
    <t>商业模式与企业创新设计研究</t>
  </si>
  <si>
    <t>宋玉霞</t>
  </si>
  <si>
    <t>F272.3/245</t>
  </si>
  <si>
    <t>978-7-5639-7545-7</t>
  </si>
  <si>
    <t>现代企业经营管理与团队建设研究</t>
  </si>
  <si>
    <t>李永林</t>
  </si>
  <si>
    <t>F272.3/246</t>
  </si>
  <si>
    <t>978-7-5639-7643-0</t>
  </si>
  <si>
    <t>基于公司战略下的经营风险管理研究</t>
  </si>
  <si>
    <t>纪峰</t>
  </si>
  <si>
    <t>F272.35/29</t>
  </si>
  <si>
    <t>978-7-5096-7282-2</t>
  </si>
  <si>
    <t>互联网思维: 商业模式的颠覆与重塑</t>
  </si>
  <si>
    <t xml:space="preserve">余来文 ...  </t>
  </si>
  <si>
    <t>F272.7/164</t>
  </si>
  <si>
    <t>978-7-111-67255-5</t>
  </si>
  <si>
    <t>数字化革命: 企业数字化经营的逻辑</t>
  </si>
  <si>
    <t>(日) 大前研一</t>
  </si>
  <si>
    <t>F272.7/165</t>
  </si>
  <si>
    <t>978-7-111-68476-3</t>
  </si>
  <si>
    <t>企业级数据与AI项目成功之道</t>
  </si>
  <si>
    <t>(美) 尼尔·菲什曼, 科尔·斯特莱克</t>
  </si>
  <si>
    <t>F272.7/166</t>
  </si>
  <si>
    <t>978-7-111-67907-3</t>
  </si>
  <si>
    <t>数字化转型路线图: 智能商业实操手册</t>
  </si>
  <si>
    <t>(美) 托尼·萨尔德哈</t>
  </si>
  <si>
    <t>F272.7/167</t>
  </si>
  <si>
    <t>978-7-5763-0252-3</t>
  </si>
  <si>
    <t>企业管理信息系统的建设与应用</t>
  </si>
  <si>
    <t>张博</t>
  </si>
  <si>
    <t>F272.7/168</t>
  </si>
  <si>
    <t>978-7-5699-3657-5</t>
  </si>
  <si>
    <t>不懂带团队, 你就自已累</t>
  </si>
  <si>
    <t>李向阳</t>
  </si>
  <si>
    <t>F272.9/556</t>
  </si>
  <si>
    <t>不懂说话, 你怎么带团队</t>
  </si>
  <si>
    <t>F272.9/557</t>
  </si>
  <si>
    <t>管理不狠, 团队不稳</t>
  </si>
  <si>
    <t>F272.9/558</t>
  </si>
  <si>
    <t>978-7-301-31120-2</t>
  </si>
  <si>
    <t>组织人</t>
  </si>
  <si>
    <t>(美) 威廉·怀特</t>
  </si>
  <si>
    <t>F272.9/559</t>
  </si>
  <si>
    <t>978-7-5699-3867-8</t>
  </si>
  <si>
    <t>进化: 30个案例详解组织变革</t>
  </si>
  <si>
    <t>(美) 库尔特·克劳斯</t>
  </si>
  <si>
    <t>F272.9/560</t>
  </si>
  <si>
    <t>978-7-5164-2145-1</t>
  </si>
  <si>
    <t>行政管理必备制度与表格典范</t>
  </si>
  <si>
    <t>杨宗岳</t>
  </si>
  <si>
    <t>F272.9/561</t>
  </si>
  <si>
    <t>978-7-121-40926-4</t>
  </si>
  <si>
    <t>行政管理实用全书</t>
  </si>
  <si>
    <t>杨小钟</t>
  </si>
  <si>
    <t>F272.9/562</t>
  </si>
  <si>
    <t>978-7-5576-8471-6</t>
  </si>
  <si>
    <t>公关思维: 口碑攀升的底层逻辑</t>
  </si>
  <si>
    <t>(加) 卡梅隆·赫罗德, 阿德里安·萨拉穆诺维奇</t>
  </si>
  <si>
    <t>F272.9/563</t>
  </si>
  <si>
    <t>978-7-5570-2545-8</t>
  </si>
  <si>
    <t>如何管理10人以下小团队: 谷歌核心团队实现10倍速成长的高绩效秘诀</t>
  </si>
  <si>
    <t>(波) 彼得·费利克斯·格日瓦奇</t>
  </si>
  <si>
    <t>F272.9/564</t>
  </si>
  <si>
    <t>978-7-5576-8470-9</t>
  </si>
  <si>
    <t>高效能团队</t>
  </si>
  <si>
    <t xml:space="preserve">(美) 琳达·亚当斯 ...  </t>
  </si>
  <si>
    <t>F272.9/565</t>
  </si>
  <si>
    <t>领导力</t>
  </si>
  <si>
    <t>F272.91/584</t>
  </si>
  <si>
    <t>978-7-5699-3929-3</t>
  </si>
  <si>
    <t>领导力变革的九个关键</t>
  </si>
  <si>
    <t>(美) 彼得·山克曼</t>
  </si>
  <si>
    <t>F272.91/585</t>
  </si>
  <si>
    <t>978-7-5473-1578-1</t>
  </si>
  <si>
    <t>领导者: 神话与现实</t>
  </si>
  <si>
    <t>(美) 斯坦利·麦克里斯特尔</t>
  </si>
  <si>
    <t>F272.91/586</t>
  </si>
  <si>
    <t>978-7-5639-7406-1</t>
  </si>
  <si>
    <t>高绩效工作系统和员工幸福感</t>
  </si>
  <si>
    <t>张君</t>
  </si>
  <si>
    <t>F272.92/1570</t>
  </si>
  <si>
    <t>978-7-305-24561-9</t>
  </si>
  <si>
    <t>员工招聘管理</t>
  </si>
  <si>
    <t>王聪颖</t>
  </si>
  <si>
    <t>F272.92/1571=2D</t>
  </si>
  <si>
    <t>978-7-5164-2253-3</t>
  </si>
  <si>
    <t>数字化时代人才管理新思维</t>
  </si>
  <si>
    <t>涂满章</t>
  </si>
  <si>
    <t>F272.92/1572</t>
  </si>
  <si>
    <t>978-7-5446-5992-5</t>
  </si>
  <si>
    <t>解析道格拉斯·麦格雷戈《企业的人性面》</t>
  </si>
  <si>
    <t>Stoyan Stoyanov, Monique Diderich</t>
  </si>
  <si>
    <t>F272.92/1573</t>
  </si>
  <si>
    <t>978-7-115-56680-5</t>
  </si>
  <si>
    <t>薪酬与绩效管理操作指南: 管理制度+考核办法+实用图表+操作方案</t>
  </si>
  <si>
    <t>乔继玉, 郭梅</t>
  </si>
  <si>
    <t>F272.92/1574</t>
  </si>
  <si>
    <t>978-7-5096-8010-0</t>
  </si>
  <si>
    <t>企业隐性人力资本: 知识转化与核心竞争力提升</t>
  </si>
  <si>
    <t>郭殿东</t>
  </si>
  <si>
    <t>F272.92/1575</t>
  </si>
  <si>
    <t>978-7-313-25584-6</t>
  </si>
  <si>
    <t>团队管理心理疗法: 员工心理辅导实战手册</t>
  </si>
  <si>
    <t>F272.92/1576</t>
  </si>
  <si>
    <t>978-7-5581-8835-0</t>
  </si>
  <si>
    <t>企业员工培训与开发</t>
  </si>
  <si>
    <t>蒋文莉</t>
  </si>
  <si>
    <t>F272.921/106</t>
  </si>
  <si>
    <t>978-7-115-56276-0</t>
  </si>
  <si>
    <t>全面薪酬体系设计新实战: 从Payroll到C&amp;B的快速晋升</t>
  </si>
  <si>
    <t>白睿</t>
  </si>
  <si>
    <t>F272.923/66</t>
  </si>
  <si>
    <t>978-7-121-40964-6</t>
  </si>
  <si>
    <t>员工招聘与录用: 招聘、面试、选拔和新员工入职培训实用指南</t>
  </si>
  <si>
    <t>(美) 黛安娜·阿瑟</t>
  </si>
  <si>
    <t>F272.92-62/14</t>
  </si>
  <si>
    <t>978-7-5096-7826-8</t>
  </si>
  <si>
    <t>企业管理工作实务</t>
  </si>
  <si>
    <t>邹龙才</t>
  </si>
  <si>
    <t>F272/806</t>
  </si>
  <si>
    <t>978-7-5581-8442-0</t>
  </si>
  <si>
    <t>企业管理的创新模式</t>
  </si>
  <si>
    <t>敖翔</t>
  </si>
  <si>
    <t>F272/807</t>
  </si>
  <si>
    <t>978-7-5664-2153-1</t>
  </si>
  <si>
    <t>现代企业管理</t>
  </si>
  <si>
    <t>费志敏, 刘志</t>
  </si>
  <si>
    <t>F272/808</t>
  </si>
  <si>
    <t>978-7-5578-8250-1</t>
  </si>
  <si>
    <t>企业经济管理模式规范化与创新研究</t>
  </si>
  <si>
    <t>吕振威, 李力涛, 王惠荣</t>
  </si>
  <si>
    <t>F272/809</t>
  </si>
  <si>
    <t>978-7-5682-9821-6</t>
  </si>
  <si>
    <t>现代企业运营虚拟仿真综合实验教程</t>
  </si>
  <si>
    <t>薛维军, 袁秋菊, 张勤</t>
  </si>
  <si>
    <t>F272/810</t>
  </si>
  <si>
    <t>978-7-111-47437-1</t>
  </si>
  <si>
    <t>王素梅</t>
  </si>
  <si>
    <t>F272/811</t>
  </si>
  <si>
    <t>978-7-5096-8054-4</t>
  </si>
  <si>
    <t>企业价值评估实务与案例</t>
  </si>
  <si>
    <t>王晓丽, 刘春学</t>
  </si>
  <si>
    <t>F272/812</t>
  </si>
  <si>
    <t>978-7-5576-9175-2</t>
  </si>
  <si>
    <t>沙因文化变革领导力</t>
  </si>
  <si>
    <t>(瑞士) 埃德加·沙因, 彼得·沙因</t>
  </si>
  <si>
    <t>F272/813</t>
  </si>
  <si>
    <t>978-7-5576-8161-6</t>
  </si>
  <si>
    <t>打胜仗的策略</t>
  </si>
  <si>
    <t>(加) 布赖斯·霍夫曼</t>
  </si>
  <si>
    <t>F272/814</t>
  </si>
  <si>
    <t>978-7-5096-7392-8</t>
  </si>
  <si>
    <t>管理案例研究</t>
  </si>
  <si>
    <t>雷宏振</t>
  </si>
  <si>
    <t>F272/815</t>
  </si>
  <si>
    <t>978-7-111-61663-4</t>
  </si>
  <si>
    <t>图解企业成长经典</t>
  </si>
  <si>
    <t>路江涌</t>
  </si>
  <si>
    <t>F272/816</t>
  </si>
  <si>
    <t>978-7-111-67202-9</t>
  </si>
  <si>
    <t>13+1体系: 打造持续健康的组织</t>
  </si>
  <si>
    <t>黄旭</t>
  </si>
  <si>
    <t>F272/817</t>
  </si>
  <si>
    <t>978-7-5682-8754-8</t>
  </si>
  <si>
    <t>企业管理</t>
  </si>
  <si>
    <t>钱坤, 俞荟, 朱蕾</t>
  </si>
  <si>
    <t>F272/818</t>
  </si>
  <si>
    <t>978-7-5699-3248-5</t>
  </si>
  <si>
    <t>潮流变现</t>
  </si>
  <si>
    <t>(意) 里卡尔多·波佐利</t>
  </si>
  <si>
    <t>F272/819</t>
  </si>
  <si>
    <t>978-7-5576-8682-6</t>
  </si>
  <si>
    <t>胜任</t>
  </si>
  <si>
    <t>(英) 迈克尔·沃特金斯</t>
  </si>
  <si>
    <t>F272/820</t>
  </si>
  <si>
    <t>978-7-201-15302-5</t>
  </si>
  <si>
    <t>从10亿到100亿的企业顶层设计</t>
  </si>
  <si>
    <t>刘建兆</t>
  </si>
  <si>
    <t>F272/821</t>
  </si>
  <si>
    <t>978-7-305-23936-6</t>
  </si>
  <si>
    <t>全球投资、新技术与创新人力资源管理实践</t>
  </si>
  <si>
    <t xml:space="preserve">赵曙明 ...  </t>
  </si>
  <si>
    <t>F272/822</t>
  </si>
  <si>
    <t>978-7-5096-8001-8</t>
  </si>
  <si>
    <t>企业社会责任投入动态调整与优化对策研究</t>
  </si>
  <si>
    <t>邹萍</t>
  </si>
  <si>
    <t>F272-05/37</t>
  </si>
  <si>
    <t>管理心理学</t>
  </si>
  <si>
    <t>F272-05/38</t>
  </si>
  <si>
    <t>978-7-5164-2252-6</t>
  </si>
  <si>
    <t>企业社会责任信息、企业声誉与利益相关者行为意向研究</t>
  </si>
  <si>
    <t>廉春慧</t>
  </si>
  <si>
    <t>F272-05/39</t>
  </si>
  <si>
    <t>978-7-5096-8118-3</t>
  </si>
  <si>
    <t>企业跨界创新的格局、风口与抉择</t>
  </si>
  <si>
    <t>朱艳阳</t>
  </si>
  <si>
    <t>F273.1/207</t>
  </si>
  <si>
    <t>978-7-201-15184-7</t>
  </si>
  <si>
    <t>研发体系改进之道</t>
  </si>
  <si>
    <t>靖爽, 陈年根, 马鸣明</t>
  </si>
  <si>
    <t>F273.1/208</t>
  </si>
  <si>
    <t>978-7-5473-1796-9</t>
  </si>
  <si>
    <t>用户创新: 提升公司的创新绩效</t>
  </si>
  <si>
    <t>(美) 埃里克·冯·希普尔</t>
  </si>
  <si>
    <t>F273.1/209</t>
  </si>
  <si>
    <t>978-7-5682-9904-6</t>
  </si>
  <si>
    <t>品牌管理</t>
  </si>
  <si>
    <t>李逾男, 杨学艳</t>
  </si>
  <si>
    <t>F273.2/528=2D</t>
  </si>
  <si>
    <t>978-7-214-26636-1</t>
  </si>
  <si>
    <t>全球价值链分工、增加值贸易与产品竞争力研究</t>
  </si>
  <si>
    <t>幸炜</t>
  </si>
  <si>
    <t>F273.2/577</t>
  </si>
  <si>
    <t>978-7-5578-8183-2</t>
  </si>
  <si>
    <t>现代产品检验检测质量控制与管理</t>
  </si>
  <si>
    <t>杨易, 夏来源, 胡树强</t>
  </si>
  <si>
    <t>F273.2/578</t>
  </si>
  <si>
    <t>978-7-121-41426-8</t>
  </si>
  <si>
    <t>数据时代的品牌智造</t>
  </si>
  <si>
    <t>左学荣</t>
  </si>
  <si>
    <t>F273.2/579</t>
  </si>
  <si>
    <t>978-7-5194-5626-9</t>
  </si>
  <si>
    <t>“一带一路”背景下中国品牌建构国家形象研究</t>
  </si>
  <si>
    <t>宫月晴</t>
  </si>
  <si>
    <t>F273.2/580</t>
  </si>
  <si>
    <t>978-7-307-21227-5</t>
  </si>
  <si>
    <t>“碎片化”时代下品牌传播</t>
  </si>
  <si>
    <t>童宜洁</t>
  </si>
  <si>
    <t>F273.2/581</t>
  </si>
  <si>
    <t>978-7-5576-9603-0</t>
  </si>
  <si>
    <t>做对产品</t>
  </si>
  <si>
    <t>(意大利) 阿尔贝托·索维亚</t>
  </si>
  <si>
    <t>F273.2/582</t>
  </si>
  <si>
    <t>978-7-5710-0737-9</t>
  </si>
  <si>
    <t>重塑品牌六法则</t>
  </si>
  <si>
    <t>(英) 拉里·莱特, 琼·基顿</t>
  </si>
  <si>
    <t>湖南科学技术出版社</t>
  </si>
  <si>
    <t>F273.2/583</t>
  </si>
  <si>
    <t>978-7-5682-8580-3</t>
  </si>
  <si>
    <t>生产物流运作管理</t>
  </si>
  <si>
    <t>陈鸿雁, 张子辰</t>
  </si>
  <si>
    <t>F273.4/120</t>
  </si>
  <si>
    <t>978-7-305-23254-1</t>
  </si>
  <si>
    <t>VBSE营销综合实训</t>
  </si>
  <si>
    <t>丁阳</t>
  </si>
  <si>
    <t>F274/1000</t>
  </si>
  <si>
    <t>978-7-115-56419-1</t>
  </si>
  <si>
    <t>营销5.0: 后互联网时代的企业战略营销</t>
  </si>
  <si>
    <t>杨芳莉</t>
  </si>
  <si>
    <t>F274/1001</t>
  </si>
  <si>
    <t>978-7-5710-0548-1</t>
  </si>
  <si>
    <t>“尖叫”服务: 68个大招轻松打造令人惊喜的客户体验</t>
  </si>
  <si>
    <t>(英) 艾德里安·斯温斯科</t>
  </si>
  <si>
    <t>F274/999</t>
  </si>
  <si>
    <t>978-7-5576-7773-2</t>
  </si>
  <si>
    <t>现代财务会计与企业管理</t>
  </si>
  <si>
    <t>郭艳蕊, 李果</t>
  </si>
  <si>
    <t>F275.2/269</t>
  </si>
  <si>
    <t>978-7-5504-4808-7</t>
  </si>
  <si>
    <t>新编企业会计综合实训</t>
  </si>
  <si>
    <t>李君</t>
  </si>
  <si>
    <t>F275.2/270</t>
  </si>
  <si>
    <t>978-7-5429-6454-0</t>
  </si>
  <si>
    <t>企业并购会计重点、难点及案例分析</t>
  </si>
  <si>
    <t>罗胜强, 兰海涛</t>
  </si>
  <si>
    <t>F275.2/271</t>
  </si>
  <si>
    <t>978-7-5429-6806-7</t>
  </si>
  <si>
    <t>管理会计工具详解与应用案例</t>
  </si>
  <si>
    <t>魏厚寨, 罗胜强</t>
  </si>
  <si>
    <t>F275.2/272</t>
  </si>
  <si>
    <t>978-7-5576-9334-3</t>
  </si>
  <si>
    <t>手把手教你做成本管控</t>
  </si>
  <si>
    <t>周野</t>
  </si>
  <si>
    <t>F275.3/120</t>
  </si>
  <si>
    <t>978-7-5639-7226-5</t>
  </si>
  <si>
    <t>管理会计视角下的成本管理研究</t>
  </si>
  <si>
    <t>杨爽</t>
  </si>
  <si>
    <t>F275.3/121</t>
  </si>
  <si>
    <t>978-7-5504-4797-4</t>
  </si>
  <si>
    <t>财务预算与控制</t>
  </si>
  <si>
    <t>江涛</t>
  </si>
  <si>
    <t>F275/678=2D</t>
  </si>
  <si>
    <t>978-7-5654-4161-5</t>
  </si>
  <si>
    <t>中级财务管理</t>
  </si>
  <si>
    <t>宋献中, 吴思明, 刘莎莎</t>
  </si>
  <si>
    <t>F275/690=4D</t>
  </si>
  <si>
    <t>978-7-5672-3618-9</t>
  </si>
  <si>
    <t>财务管理学</t>
  </si>
  <si>
    <t xml:space="preserve">俞雪华 ...  </t>
  </si>
  <si>
    <t>F275/850</t>
  </si>
  <si>
    <t>978-7-5180-3201-3</t>
  </si>
  <si>
    <t>财务管理与成本控制</t>
  </si>
  <si>
    <t>杨海平</t>
  </si>
  <si>
    <t>F275/851</t>
  </si>
  <si>
    <t>978-7-5682-8905-4</t>
  </si>
  <si>
    <t>财务管理</t>
  </si>
  <si>
    <t>马勇, 肖超栏</t>
  </si>
  <si>
    <t>F275/852</t>
  </si>
  <si>
    <t>978-7-5504-4403-4</t>
  </si>
  <si>
    <t>李君, 苏浩</t>
  </si>
  <si>
    <t>F275/853</t>
  </si>
  <si>
    <t>978-7-5682-9241-2</t>
  </si>
  <si>
    <t>段顺玲, 李灿芳</t>
  </si>
  <si>
    <t>F275/854</t>
  </si>
  <si>
    <t>978-7-121-34993-5</t>
  </si>
  <si>
    <t>企业财务管理</t>
  </si>
  <si>
    <t>祝锡萍</t>
  </si>
  <si>
    <t>F275/855</t>
  </si>
  <si>
    <t>978-7-5682-9661-8</t>
  </si>
  <si>
    <t>高级财务管理</t>
  </si>
  <si>
    <t>刘阳</t>
  </si>
  <si>
    <t>F275/856</t>
  </si>
  <si>
    <t>978-7-5429-6690-2</t>
  </si>
  <si>
    <t>Excel在财务管理中的应用</t>
  </si>
  <si>
    <t>李曦, 庄潜艺</t>
  </si>
  <si>
    <t>F275/857</t>
  </si>
  <si>
    <t>978-7-5578-8123-8</t>
  </si>
  <si>
    <t>现代企业财务管理与管理会计的融合发展</t>
  </si>
  <si>
    <t>杨启浩, 张菊, 李彩静</t>
  </si>
  <si>
    <t>F275/858</t>
  </si>
  <si>
    <t>978-7-5682-9345-7</t>
  </si>
  <si>
    <t>丁丽莉</t>
  </si>
  <si>
    <t>F275/859</t>
  </si>
  <si>
    <t>978-7-5639-7221-0</t>
  </si>
  <si>
    <t>大智移云背景下的财务创新</t>
  </si>
  <si>
    <t>刘根霞</t>
  </si>
  <si>
    <t>F275/860</t>
  </si>
  <si>
    <t>978-7-5692-6458-6</t>
  </si>
  <si>
    <t>财务管理与成本控制研究</t>
  </si>
  <si>
    <t>刘建华, 安海峰, 王雪艳</t>
  </si>
  <si>
    <t>F275/861</t>
  </si>
  <si>
    <t>978-7-5639-6927-2</t>
  </si>
  <si>
    <t>财务管理与经济发展研究</t>
  </si>
  <si>
    <t>王颖, 王风才, 李瑞平</t>
  </si>
  <si>
    <t>F275/862</t>
  </si>
  <si>
    <t>978-7-5682-8720-3</t>
  </si>
  <si>
    <t>财务管理实务</t>
  </si>
  <si>
    <t>费琳琪, 郭红秋</t>
  </si>
  <si>
    <t>F275/863</t>
  </si>
  <si>
    <t>978-7-5576-7620-9</t>
  </si>
  <si>
    <t>现代财务管理与审计</t>
  </si>
  <si>
    <t>张书玲, 肖顺松, 冯燕梁</t>
  </si>
  <si>
    <t>F275/864</t>
  </si>
  <si>
    <t>978-7-206-17211-3</t>
  </si>
  <si>
    <t>财务管理与会计内部控制研究</t>
  </si>
  <si>
    <t>陶燕贞, 李芸屹</t>
  </si>
  <si>
    <t>F275/865</t>
  </si>
  <si>
    <t>978-7-5578-8249-5</t>
  </si>
  <si>
    <t>企业财务共享模式构建的策略与应用研究</t>
  </si>
  <si>
    <t>马丽敏, 杜春丽</t>
  </si>
  <si>
    <t>F275/866</t>
  </si>
  <si>
    <t>978-7-5639-6995-1</t>
  </si>
  <si>
    <t>企业财务管理的信息化建设研究</t>
  </si>
  <si>
    <t>郭赞伟, 丁祎</t>
  </si>
  <si>
    <t>F275/867</t>
  </si>
  <si>
    <t>978-7-205-10182-4</t>
  </si>
  <si>
    <t>一本书看透财务管控</t>
  </si>
  <si>
    <t>张金宝</t>
  </si>
  <si>
    <t>F275/868</t>
  </si>
  <si>
    <t>978-7-5164-2147-5</t>
  </si>
  <si>
    <t>财务管理必备制度与表格典范</t>
  </si>
  <si>
    <t>F275/869</t>
  </si>
  <si>
    <t>978-7-5158-3256-2</t>
  </si>
  <si>
    <t>多维视角下小微企业精细化管理模式构建研究</t>
  </si>
  <si>
    <t>王一涵</t>
  </si>
  <si>
    <t>中华工商联合出版社</t>
  </si>
  <si>
    <t>F276.3/327</t>
  </si>
  <si>
    <t>978-7-5578-8147-4</t>
  </si>
  <si>
    <t>基于网络直播的中小企业营销策略创新研究</t>
  </si>
  <si>
    <t>蒋辉, 尹倩</t>
  </si>
  <si>
    <t>F276.3/328</t>
  </si>
  <si>
    <t>978-7-5096-7361-4</t>
  </si>
  <si>
    <t>中小企业存在的合理性: 理论与实证</t>
  </si>
  <si>
    <t>刘定平</t>
  </si>
  <si>
    <t>F276.3/329</t>
  </si>
  <si>
    <t>978-7-5534-0109-6</t>
  </si>
  <si>
    <t>中小企业财务管理问题研究</t>
  </si>
  <si>
    <t>张顺华</t>
  </si>
  <si>
    <t>F276.3/330</t>
  </si>
  <si>
    <t>978-7-5692-6128-8</t>
  </si>
  <si>
    <t>集团公司管控体系设计理论与实务</t>
  </si>
  <si>
    <t>梁巧转</t>
  </si>
  <si>
    <t>F276.4/48</t>
  </si>
  <si>
    <t>978-7-5096-7733-9</t>
  </si>
  <si>
    <t>高技术产业集群增长机制: 发达国家与发展中国家的集群企业比较</t>
  </si>
  <si>
    <t>赵晶媛</t>
  </si>
  <si>
    <t>F276.44/81</t>
  </si>
  <si>
    <t>978-7-5139-3156-4</t>
  </si>
  <si>
    <t>增长黑客</t>
  </si>
  <si>
    <t>陈实</t>
  </si>
  <si>
    <t>F276.44/82</t>
  </si>
  <si>
    <t>978-7-5642-3810-0</t>
  </si>
  <si>
    <t>公司财务管理</t>
  </si>
  <si>
    <t>徐斌</t>
  </si>
  <si>
    <t>F276.6/453-2</t>
  </si>
  <si>
    <t>978-7-5642-3787-5</t>
  </si>
  <si>
    <t>公司财务</t>
  </si>
  <si>
    <t>F276.6/567=4D</t>
  </si>
  <si>
    <t>978-7-5576-7611-7</t>
  </si>
  <si>
    <t>企业上市财务方略</t>
  </si>
  <si>
    <t>姚海新</t>
  </si>
  <si>
    <t>F276.6/568</t>
  </si>
  <si>
    <t>978-7-5671-4142-1</t>
  </si>
  <si>
    <t>公司价值分析的逻辑框架与案例</t>
  </si>
  <si>
    <t>刘喜和</t>
  </si>
  <si>
    <t>F276.6/569</t>
  </si>
  <si>
    <t>978-7-5615-8263-3</t>
  </si>
  <si>
    <t>关系、公司治理与会计审计行为</t>
  </si>
  <si>
    <t>翁健英</t>
  </si>
  <si>
    <t>F276.6/570</t>
  </si>
  <si>
    <t>978-7-5615-8228-2</t>
  </si>
  <si>
    <t>公司理财学</t>
  </si>
  <si>
    <t>常法亮, 李连华</t>
  </si>
  <si>
    <t>F276.6/571</t>
  </si>
  <si>
    <t>978-7-5682-8985-6</t>
  </si>
  <si>
    <t>跨国公司经营与管理</t>
  </si>
  <si>
    <t>孔欣</t>
  </si>
  <si>
    <t>F276.723/2</t>
  </si>
  <si>
    <t>978-7-5692-8578-9</t>
  </si>
  <si>
    <t>社会企业发展理论与实践报告</t>
  </si>
  <si>
    <t>贺培育, 魏朝阳</t>
  </si>
  <si>
    <t>F279.2/156</t>
  </si>
  <si>
    <t>978-7-5201-8561-5</t>
  </si>
  <si>
    <t>中国并购报告. 2021</t>
  </si>
  <si>
    <t>王巍</t>
  </si>
  <si>
    <t>F279.21/54/2021</t>
  </si>
  <si>
    <t>978-7-5164-2120-8</t>
  </si>
  <si>
    <t>中国管理咨询优秀案例. 2019</t>
  </si>
  <si>
    <t>中国企业联合会咨询与培训中心</t>
  </si>
  <si>
    <t>F279.23/1014/2019</t>
  </si>
  <si>
    <t>978-7-5164-2358-5</t>
  </si>
  <si>
    <t>中国管理咨询优秀案例. 2020</t>
  </si>
  <si>
    <t>F279.23/1014/2020</t>
  </si>
  <si>
    <t>978-7-5576-8008-4</t>
  </si>
  <si>
    <t>新品牌的未来</t>
  </si>
  <si>
    <t>翁怡诺</t>
  </si>
  <si>
    <t>F279.23/1065</t>
  </si>
  <si>
    <t>978-7-5581-8456-7</t>
  </si>
  <si>
    <t>中国传统文化与企业管理研究</t>
  </si>
  <si>
    <t>王锋</t>
  </si>
  <si>
    <t>F279.23/1066</t>
  </si>
  <si>
    <t>978-7-5692-9067-7</t>
  </si>
  <si>
    <t>企业杠杆率与技术创新研究</t>
  </si>
  <si>
    <t>任玎, 杜金岷, 吴非</t>
  </si>
  <si>
    <t>F279.23/1067</t>
  </si>
  <si>
    <t>978-7-5578-8144-3</t>
  </si>
  <si>
    <t>宏观环境政策对企业投资决策行为的影响研究</t>
  </si>
  <si>
    <t>王静娟, 李强</t>
  </si>
  <si>
    <t>F279.23/1068</t>
  </si>
  <si>
    <t>978-7-5164-2404-9</t>
  </si>
  <si>
    <t>创新 使命 担当: 中国产学研合作百佳示范企业</t>
  </si>
  <si>
    <t>F279.23/1069</t>
  </si>
  <si>
    <t>978-7-5692-6234-6</t>
  </si>
  <si>
    <t>技术与市场驱动下产学研协同创新效率研究</t>
  </si>
  <si>
    <t>刘琦, 张伟</t>
  </si>
  <si>
    <t>F279.23/1070</t>
  </si>
  <si>
    <t>978-7-5682-9659-5</t>
  </si>
  <si>
    <t>中国本土化管理案例研究: 百优专辑</t>
  </si>
  <si>
    <t>北京理工大学管理与经济学院“管理案例委会”</t>
  </si>
  <si>
    <t>F279.23/1071</t>
  </si>
  <si>
    <t>978-7-5164-2286-1</t>
  </si>
  <si>
    <t>企业文化: 建设与运营</t>
  </si>
  <si>
    <t>段磊, 刘金笛</t>
  </si>
  <si>
    <t>F279.23/1072</t>
  </si>
  <si>
    <t>978-7-5578-8059-0</t>
  </si>
  <si>
    <t>信息时代企业供应链采购管理的策略研究</t>
  </si>
  <si>
    <t>韩志颖, 郭潇宇, 张大磊</t>
  </si>
  <si>
    <t>F279.23/1073</t>
  </si>
  <si>
    <t>978-7-5639-7189-3</t>
  </si>
  <si>
    <t>人力资源优化管理研究</t>
  </si>
  <si>
    <t>任广新</t>
  </si>
  <si>
    <t>F279.23/1074</t>
  </si>
  <si>
    <t>978-7-5692-6664-1</t>
  </si>
  <si>
    <t>企业技术创新和商业模式创新融合发展路径研究</t>
  </si>
  <si>
    <t>林海涛</t>
  </si>
  <si>
    <t>F279.23/1075</t>
  </si>
  <si>
    <t>978-7-111-69250-8</t>
  </si>
  <si>
    <t>中国企业协同创新发展实践研究</t>
  </si>
  <si>
    <t>国务院国有资产监督管理委员会研究中心</t>
  </si>
  <si>
    <t>F279.23/1076</t>
  </si>
  <si>
    <t>978-7-5096-8175-6</t>
  </si>
  <si>
    <t>我国民族品牌的传承与创新</t>
  </si>
  <si>
    <t>林雁</t>
  </si>
  <si>
    <t>F279.23/1077</t>
  </si>
  <si>
    <t>978-7-5096-8212-8</t>
  </si>
  <si>
    <t>中国企业品牌竞争力测评研究</t>
  </si>
  <si>
    <t>李海鹏</t>
  </si>
  <si>
    <t>F279.23/1078</t>
  </si>
  <si>
    <t>978-7-5473-1819-5</t>
  </si>
  <si>
    <t>战略启航: 企业的数字化发展</t>
  </si>
  <si>
    <t>蔡舒恒</t>
  </si>
  <si>
    <t>F279.23/1079</t>
  </si>
  <si>
    <t>978-7-5578-7554-1</t>
  </si>
  <si>
    <t>人力资源管理与企业建设</t>
  </si>
  <si>
    <t>闫志宏, 朱壮文, 李贵鹏</t>
  </si>
  <si>
    <t>F279.23/1080</t>
  </si>
  <si>
    <t>978-7-5113-8485-0</t>
  </si>
  <si>
    <t>转型时期中国企业人力资源战略研究</t>
  </si>
  <si>
    <t>吕姝慧</t>
  </si>
  <si>
    <t>F279.23/1081</t>
  </si>
  <si>
    <t>978-7-115-57909-6</t>
  </si>
  <si>
    <t>企业会计准则全流程详解: 条文解析 操作流程 经典案例</t>
  </si>
  <si>
    <t>企业会计准则审委员会</t>
  </si>
  <si>
    <t>F279.23/1082/2022</t>
  </si>
  <si>
    <t>978-7-5639-7558-7</t>
  </si>
  <si>
    <t>新时代经济管理创新研究</t>
  </si>
  <si>
    <t>莫笑迎</t>
  </si>
  <si>
    <t>F279.23/1083</t>
  </si>
  <si>
    <t>978-7-5429-6284-3</t>
  </si>
  <si>
    <t>企业会计准则重点、难点讲解与企业内部控制: 案例分析及操作实务</t>
  </si>
  <si>
    <t>F279.23/1084</t>
  </si>
  <si>
    <t>978-7-5429-7006-0</t>
  </si>
  <si>
    <t>企业会计准则案例讲解: 2022年版</t>
  </si>
  <si>
    <t>F279.23/279/2022</t>
  </si>
  <si>
    <t>978-7-115-57933-1</t>
  </si>
  <si>
    <t>企业会计准则详解与实务: 条文解读+实务应用+案例讲解</t>
  </si>
  <si>
    <t>F279.23/761-2/2022</t>
  </si>
  <si>
    <t>978-7-5429-6984-2</t>
  </si>
  <si>
    <t>企业会计准则: 2022年版</t>
  </si>
  <si>
    <t>中华人民共和国财政部制定</t>
  </si>
  <si>
    <t>F279.23/785/2022</t>
  </si>
  <si>
    <t>978-7-115-57910-2</t>
  </si>
  <si>
    <t>企业会计准则实务应用精解: 会计科目使用+经济业务处理+会计报表编制</t>
  </si>
  <si>
    <t>F279.23/886/2022</t>
  </si>
  <si>
    <t>978-7-5201-9243-9</t>
  </si>
  <si>
    <t>中国企业社会责任研究报告. 2021. 履行社会责任, 促进共同富裕</t>
  </si>
  <si>
    <t>黄群慧, 钟宏武, 张蒽</t>
  </si>
  <si>
    <t>F279.23/903/2021</t>
  </si>
  <si>
    <t>978-7-5429-7005-3</t>
  </si>
  <si>
    <t>企业会计准则应用指南: 2022年版</t>
  </si>
  <si>
    <t>F279.23/944/2022</t>
  </si>
  <si>
    <t>978-7-5429-6834-0</t>
  </si>
  <si>
    <t>企业会计准则条文讲解与实务运用. 上册</t>
  </si>
  <si>
    <t>F279.23/948-2/1</t>
  </si>
  <si>
    <t>企业会计准则条文讲解与实务运用. 下册</t>
  </si>
  <si>
    <t>F279.23/948-2/2</t>
  </si>
  <si>
    <t>978-7-5201-9116-6</t>
  </si>
  <si>
    <t>中国双创发展报告. 2020-2021</t>
  </si>
  <si>
    <t>王京生</t>
  </si>
  <si>
    <t>F279.232/3/2020-2021</t>
  </si>
  <si>
    <t>978-7-301-32744-9</t>
  </si>
  <si>
    <t>创新源动力: 北大创新评论产业研究案例库</t>
  </si>
  <si>
    <t>北大创新评论学术委员会</t>
  </si>
  <si>
    <t>F279.233.1/3/2021</t>
  </si>
  <si>
    <t>978-7-214-25601-0</t>
  </si>
  <si>
    <t>企业研发投入与绩效评价研究</t>
  </si>
  <si>
    <t>王晗</t>
  </si>
  <si>
    <t>F279.233/11</t>
  </si>
  <si>
    <t>978-7-5429-6781-7</t>
  </si>
  <si>
    <t>企业纳税筹划实用技巧与典型案例分析: 2021年版</t>
  </si>
  <si>
    <t>翟继光, 袁芸, 梁小斌</t>
  </si>
  <si>
    <t>F279.235/3-2</t>
  </si>
  <si>
    <t>978-7-5429-6632-2</t>
  </si>
  <si>
    <t>企业纳税实务</t>
  </si>
  <si>
    <t>许宗保</t>
  </si>
  <si>
    <t>F279.235/8=3D</t>
  </si>
  <si>
    <t>978-7-5429-6636-0</t>
  </si>
  <si>
    <t>企业内部控制基本规范及配套指引案例讲解: 2021年版</t>
  </si>
  <si>
    <t>F279.23-65/3/2021</t>
  </si>
  <si>
    <t>978-7-216-10218-6</t>
  </si>
  <si>
    <t>非公有制企业科技创新能力提升研究</t>
  </si>
  <si>
    <t>周戎, 李灯强</t>
  </si>
  <si>
    <t>F279.24/23</t>
  </si>
  <si>
    <t>978-7-5096-7905-0</t>
  </si>
  <si>
    <t>怀旧与折旧: 老字号品牌资产传承机理</t>
  </si>
  <si>
    <t>郭彦</t>
  </si>
  <si>
    <t>F279.24/24</t>
  </si>
  <si>
    <t>978-7-200-14846-6</t>
  </si>
  <si>
    <t>中华老字号</t>
  </si>
  <si>
    <t>林德汤</t>
  </si>
  <si>
    <t>F279.24/25</t>
  </si>
  <si>
    <t>978-7-5096-7896-1</t>
  </si>
  <si>
    <t>中华百年企业长寿基因: 总结与启示</t>
  </si>
  <si>
    <t>王关义</t>
  </si>
  <si>
    <t>F279.24/26</t>
  </si>
  <si>
    <t>978-7-5126-8409-6</t>
  </si>
  <si>
    <t>时光深处的老字号</t>
  </si>
  <si>
    <t>F279.24/27</t>
  </si>
  <si>
    <t>978-7-5096-7994-4</t>
  </si>
  <si>
    <t>中小企业网络化成长中的关系冲突与进化问题研究</t>
  </si>
  <si>
    <t>蔡双立</t>
  </si>
  <si>
    <t>F279.24/28</t>
  </si>
  <si>
    <t>978-7-5333-4150-3</t>
  </si>
  <si>
    <t>中国老字号故事</t>
  </si>
  <si>
    <t>杨建明, 王忆萍</t>
  </si>
  <si>
    <t>齐鲁书社</t>
  </si>
  <si>
    <t>F279.24/29</t>
  </si>
  <si>
    <t>978-7-5096-5276-3</t>
  </si>
  <si>
    <t>我国国有企业改革中的管理层激励研究</t>
  </si>
  <si>
    <t>梅洁, 李忠海</t>
  </si>
  <si>
    <t>F279.241/187</t>
  </si>
  <si>
    <t>978-7-5096-7256-3</t>
  </si>
  <si>
    <t>中小企业融资问题实证研究</t>
  </si>
  <si>
    <t>赵玉珍</t>
  </si>
  <si>
    <t>F279.243/172</t>
  </si>
  <si>
    <t>978-7-5429-6628-5</t>
  </si>
  <si>
    <t>小企业会计准则解读: 小企业会计准则与企业会计准则的比较 小企业会计准则条文解读+账务处理</t>
  </si>
  <si>
    <t>F279.243/173</t>
  </si>
  <si>
    <t>978-7-5096-7891-6</t>
  </si>
  <si>
    <t>小微企业可持续成长研究</t>
  </si>
  <si>
    <t>王丽</t>
  </si>
  <si>
    <t>F279.243/174</t>
  </si>
  <si>
    <t>978-7-5090-1342-7</t>
  </si>
  <si>
    <t>破局: 中小企业的变革与重生</t>
  </si>
  <si>
    <t>张传宗, 王挺</t>
  </si>
  <si>
    <t>当代世界出版社</t>
  </si>
  <si>
    <t>F279.243/175</t>
  </si>
  <si>
    <t>978-7-121-39113-2</t>
  </si>
  <si>
    <t>新兴产业发展报告. 2019-2020</t>
  </si>
  <si>
    <t>尹丽波</t>
  </si>
  <si>
    <t>F279.244.4/57/2019-2020</t>
  </si>
  <si>
    <t>978-7-5096-7848-0</t>
  </si>
  <si>
    <t>高端产业集聚形态的重构及演化: 生成机理与人才效应研究</t>
  </si>
  <si>
    <t>张益丰, 孙文浩</t>
  </si>
  <si>
    <t>F279.244.4/59</t>
  </si>
  <si>
    <t>978-7-5692-8228-3</t>
  </si>
  <si>
    <t>多区域尺度下新兴产业发展影响因素的实证研究</t>
  </si>
  <si>
    <t>徐建军</t>
  </si>
  <si>
    <t>F279.244.4/60</t>
  </si>
  <si>
    <t>978-7-205-09922-0</t>
  </si>
  <si>
    <t>企业家精神与当代中国民营企业家成长研究</t>
  </si>
  <si>
    <t>韩影, 王彪, 柳叶</t>
  </si>
  <si>
    <t>F279.245/179</t>
  </si>
  <si>
    <t>978-7-5699-4231-6</t>
  </si>
  <si>
    <t>中国家族慈善指南</t>
  </si>
  <si>
    <t>深圳国际公益学院家族传承研究课题组</t>
  </si>
  <si>
    <t>F279.245/180</t>
  </si>
  <si>
    <t>978-7-03-051190-4</t>
  </si>
  <si>
    <t>家族企业管理控制与绩效研究</t>
  </si>
  <si>
    <t>辛金国</t>
  </si>
  <si>
    <t>F279.245/181</t>
  </si>
  <si>
    <t>978-7-03-061766-8</t>
  </si>
  <si>
    <t>上市公司并购重组案例解析与法规汇编</t>
  </si>
  <si>
    <t>北京证监局课题组, 北京上市公司协会</t>
  </si>
  <si>
    <t>F279.246/321</t>
  </si>
  <si>
    <t>978-7-5504-4627-4</t>
  </si>
  <si>
    <t>媒体报道、董秘特征与信息披露质量</t>
  </si>
  <si>
    <t>李明</t>
  </si>
  <si>
    <t>F279.246/322</t>
  </si>
  <si>
    <t>978-7-5477-3688-3</t>
  </si>
  <si>
    <t>老字号前传</t>
  </si>
  <si>
    <t>赵敏</t>
  </si>
  <si>
    <t>F279.271/18</t>
  </si>
  <si>
    <t>978-7-313-24775-9</t>
  </si>
  <si>
    <t>中国中小企业改制上市操作手册. 2021</t>
  </si>
  <si>
    <t>上海市投资促进服务中心, 上海市中小企业上市促进中心</t>
  </si>
  <si>
    <t>F279.275.1/6/2021</t>
  </si>
  <si>
    <t>978-7-5207-2101-1</t>
  </si>
  <si>
    <t>稻盛和夫与中国文化</t>
  </si>
  <si>
    <t>曹岫云</t>
  </si>
  <si>
    <t>F279.313.3/42</t>
  </si>
  <si>
    <t>978-7-201-15462-6</t>
  </si>
  <si>
    <t>公司改造: “日本企业再造之王”三枝 匡的经营笔记</t>
  </si>
  <si>
    <t>(日) 三枝匡</t>
  </si>
  <si>
    <t>F279.313.3/43</t>
  </si>
  <si>
    <t>978-7-5682-6726-7</t>
  </si>
  <si>
    <t>工程项目管理</t>
  </si>
  <si>
    <t>韩少男</t>
  </si>
  <si>
    <t>F284/72</t>
  </si>
  <si>
    <t>978-7-206-18254-9</t>
  </si>
  <si>
    <t>项目管理与招标采购研究</t>
  </si>
  <si>
    <t>张笑君</t>
  </si>
  <si>
    <t>F284/73</t>
  </si>
  <si>
    <t>978-7-5207-1816-5</t>
  </si>
  <si>
    <t>城市模式经济学: 破解经济发展中八大难题</t>
  </si>
  <si>
    <t>董国良</t>
  </si>
  <si>
    <t>F290/36</t>
  </si>
  <si>
    <t>978-7-5639-6657-8</t>
  </si>
  <si>
    <t>现代房地产经济学研究与问题透视</t>
  </si>
  <si>
    <t>郑新妹</t>
  </si>
  <si>
    <t>F293.30/20</t>
  </si>
  <si>
    <t>978-7-115-56455-9</t>
  </si>
  <si>
    <t>房地产项目管理全案</t>
  </si>
  <si>
    <t>孙宗虎</t>
  </si>
  <si>
    <t>F293.33/171</t>
  </si>
  <si>
    <t>978-7-111-68966-9</t>
  </si>
  <si>
    <t>房地产开发流程实录与解析: 房地产开发知识和报批报建要点</t>
  </si>
  <si>
    <t>余源鹏</t>
  </si>
  <si>
    <t>F293.34/9</t>
  </si>
  <si>
    <t>978-7-5682-8488-2</t>
  </si>
  <si>
    <t>物业设备设施管理与维护</t>
  </si>
  <si>
    <t>刘林</t>
  </si>
  <si>
    <t>F293.347/22</t>
  </si>
  <si>
    <t>978-7-5682-8197-3</t>
  </si>
  <si>
    <t>物业管理实务</t>
  </si>
  <si>
    <t>龙正哲</t>
  </si>
  <si>
    <t>F293.347/23</t>
  </si>
  <si>
    <t>978-7-5518-2422-4</t>
  </si>
  <si>
    <t>物业管理实务指南</t>
  </si>
  <si>
    <t>吴浩</t>
  </si>
  <si>
    <t>三秦出版社</t>
  </si>
  <si>
    <t>F293.347/24</t>
  </si>
  <si>
    <t>978-7-5682-9312-9</t>
  </si>
  <si>
    <t>房地产投资分析</t>
  </si>
  <si>
    <t>王珍莲, 窦义粟</t>
  </si>
  <si>
    <t>F293.35/113</t>
  </si>
  <si>
    <t>978-7-5194-5018-2</t>
  </si>
  <si>
    <t>商业地产与地产商业: 十年实战经验谈</t>
  </si>
  <si>
    <t>王桂军, 王国军</t>
  </si>
  <si>
    <t>F293.35/114</t>
  </si>
  <si>
    <t>978-7-5680-1726-8</t>
  </si>
  <si>
    <t>城市治理案例分析</t>
  </si>
  <si>
    <t>颜海娜, 于刚强</t>
  </si>
  <si>
    <t>F293/36</t>
  </si>
  <si>
    <t>978-7-5432-3302-7</t>
  </si>
  <si>
    <t>全球城市案例研究. 2021. 全球化城市资产管理实践</t>
  </si>
  <si>
    <t>周振华, 洪民荣</t>
  </si>
  <si>
    <t>F299.1/42/2021</t>
  </si>
  <si>
    <t>978-7-5432-3215-0</t>
  </si>
  <si>
    <t>全球城市发展指数. 2020</t>
  </si>
  <si>
    <t>周振华, 刘江会</t>
  </si>
  <si>
    <t>F299.1/43/2020</t>
  </si>
  <si>
    <t>978-7-5692-7136-2</t>
  </si>
  <si>
    <t>我国智慧城市建设存在的问题与发展对策研究</t>
  </si>
  <si>
    <t>徐小飞</t>
  </si>
  <si>
    <t>F299.2/136</t>
  </si>
  <si>
    <t>978-7-03-064289-9</t>
  </si>
  <si>
    <t>都市圈中小城市功能提升</t>
  </si>
  <si>
    <t>安树伟, 张晋晋</t>
  </si>
  <si>
    <t>F299.2/137</t>
  </si>
  <si>
    <t>978-7-5484-5718-3</t>
  </si>
  <si>
    <t>中国大城市发展创新经济研究: 以江苏扬州为例</t>
  </si>
  <si>
    <t>陈广桂, 潘锦全, 蒋丽</t>
  </si>
  <si>
    <t>F299.2/138</t>
  </si>
  <si>
    <t>978-7-5201-8990-3</t>
  </si>
  <si>
    <t>国家中心城市建设报告. 2021. 双循环格局下特大型城市建设</t>
  </si>
  <si>
    <t>孙先科, 蒋丽珠, 杨东方</t>
  </si>
  <si>
    <t>F299.21/108/2021</t>
  </si>
  <si>
    <t>978-7-5096-7983-8</t>
  </si>
  <si>
    <t>新发展格局与都市圈战略</t>
  </si>
  <si>
    <t>冯奎, 顾强</t>
  </si>
  <si>
    <t>F299.21/161</t>
  </si>
  <si>
    <t>978-7-5472-7939-7</t>
  </si>
  <si>
    <t>城乡协调发展与乡村振兴探索</t>
  </si>
  <si>
    <t>张妍</t>
  </si>
  <si>
    <t>吉林文史出版社</t>
  </si>
  <si>
    <t>F299.21/162</t>
  </si>
  <si>
    <t>978-7-5096-7879-4</t>
  </si>
  <si>
    <t>精武特色小镇发展报告</t>
  </si>
  <si>
    <t>鞠立新</t>
  </si>
  <si>
    <t>F299.21/163</t>
  </si>
  <si>
    <t>978-7-301-32583-4</t>
  </si>
  <si>
    <t>中国都市圈综合发展能力评价</t>
  </si>
  <si>
    <t>陆军</t>
  </si>
  <si>
    <t>F299.21/164</t>
  </si>
  <si>
    <t>978-7-5201-9197-5</t>
  </si>
  <si>
    <t>公园城市发展报告. 2021. 迈向碳中和的城市解决方案</t>
  </si>
  <si>
    <t>潘家华, 姚凯</t>
  </si>
  <si>
    <t>F299.21/165/2021</t>
  </si>
  <si>
    <t>978-7-5096-7422-2</t>
  </si>
  <si>
    <t>中国城镇化质量的空间差异研究</t>
  </si>
  <si>
    <t>王裕瑾</t>
  </si>
  <si>
    <t>F299.21/166</t>
  </si>
  <si>
    <t>978-7-5115-5791-9</t>
  </si>
  <si>
    <t>“城中村”的社会变迁: 透过体育看中国城市化发展</t>
  </si>
  <si>
    <t>崔雪梅, 李婉铭</t>
  </si>
  <si>
    <t>F299.21/167</t>
  </si>
  <si>
    <t>978-7-313-25174-9</t>
  </si>
  <si>
    <t>城市治理视角下的资源型城市绿色转型研究</t>
  </si>
  <si>
    <t>宋晓倩, 耿涌</t>
  </si>
  <si>
    <t>F299.21/168</t>
  </si>
  <si>
    <t>978-7-5451-4455-0</t>
  </si>
  <si>
    <t>科学发展观与新型城镇化发展模式研究</t>
  </si>
  <si>
    <t>段莉, 成哲</t>
  </si>
  <si>
    <t>北方联合出版传媒(集团)股份有限公司</t>
  </si>
  <si>
    <t>F299.21/169</t>
  </si>
  <si>
    <t>978-7-5194-6094-5</t>
  </si>
  <si>
    <t>城市空间: 社会创新与城市竞争力研究</t>
  </si>
  <si>
    <t>李桂平</t>
  </si>
  <si>
    <t>F299.21/170</t>
  </si>
  <si>
    <t>978-7-5644-3170-9</t>
  </si>
  <si>
    <t>乡村振兴战略背景下体育特色小镇建设的探索</t>
  </si>
  <si>
    <t>杨伟青, 韩成祥</t>
  </si>
  <si>
    <t>北京体育大学出版社</t>
  </si>
  <si>
    <t>F299.21/171</t>
  </si>
  <si>
    <t>978-7-5207-1660-4</t>
  </si>
  <si>
    <t>我们的生态化: 二十年转型辑录</t>
  </si>
  <si>
    <t>温铁军, 张兰英, 刘亚慧</t>
  </si>
  <si>
    <t>F299.21/172</t>
  </si>
  <si>
    <t>978-7-5424-2803-5</t>
  </si>
  <si>
    <t>特色小镇创建规划与实操案例全指导</t>
  </si>
  <si>
    <t>陈盛</t>
  </si>
  <si>
    <t>甘肃科学技术出版社</t>
  </si>
  <si>
    <t>F299.21/173</t>
  </si>
  <si>
    <t>978-7-5201-9170-8</t>
  </si>
  <si>
    <t>中国城市管理报告. 2021. 中国36个重点城市管理水平评价</t>
  </si>
  <si>
    <t>F299.23/33/2021</t>
  </si>
  <si>
    <t>978-7-5680-7494-0</t>
  </si>
  <si>
    <t>中国城市区域治理理论与实证</t>
  </si>
  <si>
    <t>单卓然, 张衔春</t>
  </si>
  <si>
    <t>F299.23/49</t>
  </si>
  <si>
    <t>978-7-5108-8856-4</t>
  </si>
  <si>
    <t>我国房地产宏观调控政策效果研究</t>
  </si>
  <si>
    <t>牛静敏</t>
  </si>
  <si>
    <t>F299.233.1/16</t>
  </si>
  <si>
    <t>978-7-5115-5808-4</t>
  </si>
  <si>
    <t>我国房地产市场发展影响因素研究</t>
  </si>
  <si>
    <t>陈伟伟</t>
  </si>
  <si>
    <t>F299.233.5/101</t>
  </si>
  <si>
    <t>978-7-03-069065-4</t>
  </si>
  <si>
    <t>2021中国房地产市场回顾与展望</t>
  </si>
  <si>
    <t>中国科学院大学中国产业研究中心, 中国科学院预测科学研究中心</t>
  </si>
  <si>
    <t>F299.233.5/102/2021</t>
  </si>
  <si>
    <t>978-7-5164-2373-8</t>
  </si>
  <si>
    <t>2021中国房地产年鉴</t>
  </si>
  <si>
    <t>中国房地产业协会</t>
  </si>
  <si>
    <t>F299.233-54/4/2021</t>
  </si>
  <si>
    <t>978-7-5201-9167-8</t>
  </si>
  <si>
    <t>北京城市发展报告. 2020-2021. 北京构建新发展格局研究</t>
  </si>
  <si>
    <t>陆小成</t>
  </si>
  <si>
    <t>F299.271/37/2020-2021</t>
  </si>
  <si>
    <t>978-7-5096-7249-5</t>
  </si>
  <si>
    <t>京津冀城市群产业分工协作与产业转移研究</t>
  </si>
  <si>
    <t>文余源</t>
  </si>
  <si>
    <t>F299.272/7</t>
  </si>
  <si>
    <t>978-7-5517-2716-7</t>
  </si>
  <si>
    <t>东北地区都市圈、城市群协同发展研究</t>
  </si>
  <si>
    <t>曹洪滔</t>
  </si>
  <si>
    <t>F299.273/8</t>
  </si>
  <si>
    <t>978-7-208-17427-6</t>
  </si>
  <si>
    <t>上海市房地产业发展报告. 2021</t>
  </si>
  <si>
    <t>上海市住房和城乡建设管理委员会, 上海市房屋管理局, 上海市房地产科学研究院</t>
  </si>
  <si>
    <t>F299.275.1/8/2021</t>
  </si>
  <si>
    <t>978-7-5195-0346-8</t>
  </si>
  <si>
    <t>全球治理与全球城市建设</t>
  </si>
  <si>
    <t>郭树勇</t>
  </si>
  <si>
    <t>F299.275.1/9</t>
  </si>
  <si>
    <t>978-7-5642-3867-4</t>
  </si>
  <si>
    <t>2020长三角城市发展报告: 人才篇: 长三角中小城市活力研究</t>
  </si>
  <si>
    <t>褚敏</t>
  </si>
  <si>
    <t>F299.275/47/2020</t>
  </si>
  <si>
    <t>978-7-5680-6818-5</t>
  </si>
  <si>
    <t>新时期我国城乡协调发展理论与实践研究</t>
  </si>
  <si>
    <t>赵宪尧</t>
  </si>
  <si>
    <t>F299.276.31/2</t>
  </si>
  <si>
    <t>新时期我国城乡协调发展理论与实践研究: 学术讲座与报告选辑</t>
  </si>
  <si>
    <t>F299.276.31/2-2</t>
  </si>
  <si>
    <t>978-7-03-066185-2</t>
  </si>
  <si>
    <t>2020粤港澳大湾区发展报告: 大湾区发展的挑战与机遇</t>
  </si>
  <si>
    <t>粤港澳大湾区战略研究院</t>
  </si>
  <si>
    <t>F299.276.5/11/2020</t>
  </si>
  <si>
    <t>978-7-5201-8303-1</t>
  </si>
  <si>
    <t>广州创新型城市发展报告. 2021</t>
  </si>
  <si>
    <t>许鹏</t>
  </si>
  <si>
    <t>F299.276.51/2/2021</t>
  </si>
  <si>
    <t>978-7-5201-8642-1</t>
  </si>
  <si>
    <t>广州城市国际化发展报告. 2021. 服务构建新发展格局</t>
  </si>
  <si>
    <t>尹涛</t>
  </si>
  <si>
    <t>F299.276/8/2021</t>
  </si>
  <si>
    <t>978-7-5690-4565-9</t>
  </si>
  <si>
    <t>四川城市读本</t>
  </si>
  <si>
    <t>郭晓鸣, 张鸣鸣, 王芳</t>
  </si>
  <si>
    <t>F299.277.1/2</t>
  </si>
  <si>
    <t>978-7-5642-3723-3</t>
  </si>
  <si>
    <t>上海房地产业发展史: 1843－1937</t>
  </si>
  <si>
    <t>贾秀玲</t>
  </si>
  <si>
    <t>F299.29/5</t>
  </si>
  <si>
    <t>978-7-5432-3247-1</t>
  </si>
  <si>
    <t>创新之所: 城市、科技和新经济</t>
  </si>
  <si>
    <t>(美) 莎伦·佐金</t>
  </si>
  <si>
    <t>F299.712/11</t>
  </si>
  <si>
    <t>978-7-214-26476-3</t>
  </si>
  <si>
    <t>刘书楷文集</t>
  </si>
  <si>
    <t>刘书楷</t>
  </si>
  <si>
    <t>F3/13</t>
  </si>
  <si>
    <t>978-7-5639-7611-9</t>
  </si>
  <si>
    <t>土地估价理论与方法</t>
  </si>
  <si>
    <t>吴利</t>
  </si>
  <si>
    <t>F301.3/17</t>
  </si>
  <si>
    <t>978-7-5576-7245-4</t>
  </si>
  <si>
    <t>互联网+现代农业</t>
  </si>
  <si>
    <t>马晓娟, 李学国</t>
  </si>
  <si>
    <t>F303.3/3</t>
  </si>
  <si>
    <t>978-7-5763-0060-4</t>
  </si>
  <si>
    <t>乡村振兴之全球样板</t>
  </si>
  <si>
    <t>华高莱斯国际地产顾问 (北京) 有限公司</t>
  </si>
  <si>
    <t>F313/6</t>
  </si>
  <si>
    <t>978-7-5201-9269-9</t>
  </si>
  <si>
    <t>中国三农网络舆情报告. 2021</t>
  </si>
  <si>
    <t>F32/108/2021</t>
  </si>
  <si>
    <t>978-7-5096-7496-3</t>
  </si>
  <si>
    <t>中国农业市场化改革之路</t>
  </si>
  <si>
    <t>武拉平</t>
  </si>
  <si>
    <t>F320.2/36</t>
  </si>
  <si>
    <t>978-7-5517-2627-6</t>
  </si>
  <si>
    <t>中国乡村振兴示范村: 大梨树村</t>
  </si>
  <si>
    <t>丛书陈文胜</t>
  </si>
  <si>
    <t>F320.3/54/1</t>
  </si>
  <si>
    <t>978-7-5517-2630-6</t>
  </si>
  <si>
    <t>中国乡村振兴示范村: 袁家村</t>
  </si>
  <si>
    <t>F320.3/54/10</t>
  </si>
  <si>
    <t>978-7-5517-2629-0</t>
  </si>
  <si>
    <t>中国乡村振兴示范村: 战旗村</t>
  </si>
  <si>
    <t>F320.3/54/11</t>
  </si>
  <si>
    <t>978-7-5517-2633-7</t>
  </si>
  <si>
    <t>中国乡村振兴示范村: 郎德上寨</t>
  </si>
  <si>
    <t>F320.3/54/3</t>
  </si>
  <si>
    <t>978-7-5517-2631-3</t>
  </si>
  <si>
    <t>中国乡村振兴示范村: 浔龙河村</t>
  </si>
  <si>
    <t>陈文胜丛书</t>
  </si>
  <si>
    <t>F320.3/54/5</t>
  </si>
  <si>
    <t>978-7-5517-2632-0</t>
  </si>
  <si>
    <t>中国乡村振兴示范村: 十八洞村</t>
  </si>
  <si>
    <t>F320.3/54/6</t>
  </si>
  <si>
    <t>978-7-5517-2634-4</t>
  </si>
  <si>
    <t>中国乡村振兴示范村: 景溪村</t>
  </si>
  <si>
    <t>F320.3/54/7</t>
  </si>
  <si>
    <t>978-7-5517-2635-1</t>
  </si>
  <si>
    <t>中国乡村振兴示范村: 花园村</t>
  </si>
  <si>
    <t>F320.3/54/8</t>
  </si>
  <si>
    <t>978-7-5517-2594-1</t>
  </si>
  <si>
    <t>中国乡村振兴示范村: 振兴村</t>
  </si>
  <si>
    <t>F320.3/54/9</t>
  </si>
  <si>
    <t>978-7-5108-9389-6</t>
  </si>
  <si>
    <t>乡村振兴与高质量发展研究</t>
  </si>
  <si>
    <t>毛粉兰, 齐欣</t>
  </si>
  <si>
    <t>F320.3/55</t>
  </si>
  <si>
    <t>978-7-5207-2374-9</t>
  </si>
  <si>
    <t>乡村振兴专家深度解读</t>
  </si>
  <si>
    <t>张孝德</t>
  </si>
  <si>
    <t>F320.3/56</t>
  </si>
  <si>
    <t>978-7-121-25360-7</t>
  </si>
  <si>
    <t>科技赋能乡村振兴: 时代趋势与产业实践</t>
  </si>
  <si>
    <t>唐寒彬</t>
  </si>
  <si>
    <t>F320.3/57</t>
  </si>
  <si>
    <t>978-7-5639-7077-3</t>
  </si>
  <si>
    <t>乡村振兴与美丽乡村建设研究</t>
  </si>
  <si>
    <t>叶加申</t>
  </si>
  <si>
    <t>F320.3/58</t>
  </si>
  <si>
    <t>978-7-5196-0956-6</t>
  </si>
  <si>
    <t>乡村振兴实践</t>
  </si>
  <si>
    <t>梁策</t>
  </si>
  <si>
    <t>F320.3/59</t>
  </si>
  <si>
    <t>978-7-5672-3705-6</t>
  </si>
  <si>
    <t>40年40村看乡村振兴: 改革开放鲜活实践案例进思政课堂</t>
  </si>
  <si>
    <t>田芝健, 吕宇蓝</t>
  </si>
  <si>
    <t>F320.3/60</t>
  </si>
  <si>
    <t>978-7-5672-3703-2</t>
  </si>
  <si>
    <t>新时代乡村振兴的理论与实践</t>
  </si>
  <si>
    <t>田芝健, 杨建春, 吉启卫</t>
  </si>
  <si>
    <t>F320.3/61</t>
  </si>
  <si>
    <t>978-7-5639-6890-9</t>
  </si>
  <si>
    <t>文化旅游视角下美丽乡村建设理论与方法研究</t>
  </si>
  <si>
    <t>郑炜</t>
  </si>
  <si>
    <t>F320.3/62</t>
  </si>
  <si>
    <t>978-7-5096-7375-1</t>
  </si>
  <si>
    <t>合作与发展: 成员异质性与农民合作社成长路径研究</t>
  </si>
  <si>
    <t>孔祥智</t>
  </si>
  <si>
    <t>F321.42/14</t>
  </si>
  <si>
    <t>978-7-5096-7647-9</t>
  </si>
  <si>
    <t>农民合作社与新型农村社区治理</t>
  </si>
  <si>
    <t>董进才</t>
  </si>
  <si>
    <t>F321.42/15</t>
  </si>
  <si>
    <t>978-7-5096-7405-5</t>
  </si>
  <si>
    <t>合作社的再合作: 联合社生成路径、运行机制与政策体系</t>
  </si>
  <si>
    <t>F321.42/16</t>
  </si>
  <si>
    <t>978-7-5225-0112-3</t>
  </si>
  <si>
    <t>智媒体环境下的劳动力就业与人口转移研究</t>
  </si>
  <si>
    <t>舒联众</t>
  </si>
  <si>
    <t>F323.6/56</t>
  </si>
  <si>
    <t>978-7-5359-7258-3</t>
  </si>
  <si>
    <t>新时代创意农业实践与模式探索</t>
  </si>
  <si>
    <t>梁普兴, 李湘妮</t>
  </si>
  <si>
    <t>广东科技出版社</t>
  </si>
  <si>
    <t>F323/69</t>
  </si>
  <si>
    <t>978-7-115-56102-2</t>
  </si>
  <si>
    <t>数字乡村: 数字经济时代的农业农村发展新范式</t>
  </si>
  <si>
    <t>郭顺义, 杨子真</t>
  </si>
  <si>
    <t>F323/70</t>
  </si>
  <si>
    <t>978-7-5710-1151-2</t>
  </si>
  <si>
    <t>乡村产业景观规划</t>
  </si>
  <si>
    <t>龙岳林, 何丽波</t>
  </si>
  <si>
    <t>F323/71</t>
  </si>
  <si>
    <t>978-7-5680-2081-7</t>
  </si>
  <si>
    <t>家庭农场的本土化实践与发展</t>
  </si>
  <si>
    <t>周娟</t>
  </si>
  <si>
    <t>F324.1/10</t>
  </si>
  <si>
    <t>978-7-5650-5332-0</t>
  </si>
  <si>
    <t>小岗村经济</t>
  </si>
  <si>
    <t>张庆亮, 王刚贞</t>
  </si>
  <si>
    <t>合肥工业大学出版社</t>
  </si>
  <si>
    <t>F327.5/3</t>
  </si>
  <si>
    <t>978-7-5723-0892-5</t>
  </si>
  <si>
    <t>乡村振兴: 实践探索与典型案例</t>
  </si>
  <si>
    <t>姜晶, 倪艳婷</t>
  </si>
  <si>
    <t>山东科学技术出版社</t>
  </si>
  <si>
    <t>F327.5/4</t>
  </si>
  <si>
    <t>978-7-5723-0886-4</t>
  </si>
  <si>
    <t>乡村振兴: 农业农村转型升级</t>
  </si>
  <si>
    <t>吴军, 崔雁冰, 孔峻岩</t>
  </si>
  <si>
    <t>F327.5/5</t>
  </si>
  <si>
    <t>978-7-5667-2031-3</t>
  </si>
  <si>
    <t>美丽乡村湘西行: 湘西自治州100个美丽乡村</t>
  </si>
  <si>
    <t>湘西自治州建设美丽湘西工作领导小组办公室</t>
  </si>
  <si>
    <t>湖南大学出版社</t>
  </si>
  <si>
    <t>F327.64/2</t>
  </si>
  <si>
    <t>978-7-5473-1723-5</t>
  </si>
  <si>
    <t>中国田制史</t>
  </si>
  <si>
    <t>万国鼎</t>
  </si>
  <si>
    <t>F329.02/4-2</t>
  </si>
  <si>
    <t>978-7-5639-7064-3</t>
  </si>
  <si>
    <t>中国近代农村经济史研究</t>
  </si>
  <si>
    <t>李东明</t>
  </si>
  <si>
    <t>F329.05/3</t>
  </si>
  <si>
    <t>978-7-5473-1700-6</t>
  </si>
  <si>
    <t>中国粮政史</t>
  </si>
  <si>
    <t>闻亦博</t>
  </si>
  <si>
    <t>F329/10</t>
  </si>
  <si>
    <t>978-7-121-38658-9</t>
  </si>
  <si>
    <t>工业互联网: 技术、实践与行业解决方案</t>
  </si>
  <si>
    <t>程晓, 文丹枫</t>
  </si>
  <si>
    <t>F403/10</t>
  </si>
  <si>
    <t>978-7-121-37333-6</t>
  </si>
  <si>
    <t>工业互联网平台: 新一轮产业竞争制高点</t>
  </si>
  <si>
    <t>工业互联网产业联盟, 中国信息通信研究院</t>
  </si>
  <si>
    <t>F403/11</t>
  </si>
  <si>
    <t>978-7-111-69480-9</t>
  </si>
  <si>
    <t>超工业时代</t>
  </si>
  <si>
    <t>(法) 皮埃尔·韦尔兹</t>
  </si>
  <si>
    <t>F403/9</t>
  </si>
  <si>
    <t>978-7-121-41297-4</t>
  </si>
  <si>
    <t>工业互联网: 技术与实践</t>
  </si>
  <si>
    <t>魏毅寅, 柴旭东</t>
  </si>
  <si>
    <t>F403-39/4=2D</t>
  </si>
  <si>
    <t>978-7-115-57702-3</t>
  </si>
  <si>
    <t>工业大数据技术</t>
  </si>
  <si>
    <t>刘海平</t>
  </si>
  <si>
    <t>F407.4/40</t>
  </si>
  <si>
    <t>978-7-121-37332-9</t>
  </si>
  <si>
    <t>工业大数据分析指南</t>
  </si>
  <si>
    <t>工业互联网产业联盟, 大数据系统软件国家工程实验室</t>
  </si>
  <si>
    <t>F407.4/41</t>
  </si>
  <si>
    <t>978-7-5096-7833-6</t>
  </si>
  <si>
    <t>时尚业中的人工智能: 人工智能如何彻底改变时尚业</t>
  </si>
  <si>
    <t>(美) 利安娜·卢斯</t>
  </si>
  <si>
    <t>F407.86/10</t>
  </si>
  <si>
    <t>978-7-5682-9571-0</t>
  </si>
  <si>
    <t>建筑企业财务管理</t>
  </si>
  <si>
    <t>齐景华, 童雨</t>
  </si>
  <si>
    <t>F407.967.2/15=3D</t>
  </si>
  <si>
    <t>978-7-5682-7972-7</t>
  </si>
  <si>
    <t>建筑企业会计</t>
  </si>
  <si>
    <t>黄雅平, 张秀杰</t>
  </si>
  <si>
    <t>F407.967.2/16=2D</t>
  </si>
  <si>
    <t>978-7-5201-8812-8</t>
  </si>
  <si>
    <t>世界能源发展报告. 2021</t>
  </si>
  <si>
    <t>黄晓勇</t>
  </si>
  <si>
    <t>F416.2/18/2021</t>
  </si>
  <si>
    <t>978-7-5195-0379-6</t>
  </si>
  <si>
    <t>国际能源大转型: 机遇与挑战</t>
  </si>
  <si>
    <t>中国现代国际关系研究院能源安全研究中心</t>
  </si>
  <si>
    <t>F416.2/26</t>
  </si>
  <si>
    <t>978-7-5183-3691-3</t>
  </si>
  <si>
    <t>石油简史: 从科技进步到改变世界</t>
  </si>
  <si>
    <t>(加) 瓦茨拉夫·斯米尔</t>
  </si>
  <si>
    <t>石油工业出版社</t>
  </si>
  <si>
    <t>F416.22/36</t>
  </si>
  <si>
    <t>978-7-5428-7151-0</t>
  </si>
  <si>
    <t>无厂模式: 半导体行业的转型</t>
  </si>
  <si>
    <t>(美) 丹尼尔·南尼, 保罗·麦克莱伦</t>
  </si>
  <si>
    <t>上海科技教育出版社</t>
  </si>
  <si>
    <t>F416.63/3</t>
  </si>
  <si>
    <t>978-7-5194-5877-5</t>
  </si>
  <si>
    <t>3D打印视阈下全球价值链的演化与治理</t>
  </si>
  <si>
    <t>陈臻</t>
  </si>
  <si>
    <t>F416.84/4</t>
  </si>
  <si>
    <t>工业革命与英国工人阶级</t>
  </si>
  <si>
    <t>钱乘旦</t>
  </si>
  <si>
    <t>F419/11</t>
  </si>
  <si>
    <t>978-7-5455-6410-5</t>
  </si>
  <si>
    <t>第五次工业革命: 太空技术引发的科技革命和产业变革</t>
  </si>
  <si>
    <t>(西) 茵玛·马丁内斯</t>
  </si>
  <si>
    <t>天地出版社</t>
  </si>
  <si>
    <t>F419/12</t>
  </si>
  <si>
    <t>978-7-5096-7626-4</t>
  </si>
  <si>
    <t>中国工业发展报告. 2020. 面向“十四五”的中国工业</t>
  </si>
  <si>
    <t>中国社会科学院工业经济研究所</t>
  </si>
  <si>
    <t>F424/29/2020</t>
  </si>
  <si>
    <t>978-7-5096-8269-2</t>
  </si>
  <si>
    <t>中国工业发展报告. 2021: 建党百年与中国工业</t>
  </si>
  <si>
    <t>F424/35/2021</t>
  </si>
  <si>
    <t>978-7-115-55668-4</t>
  </si>
  <si>
    <t>赋能千行百业: 中国5G+工业互联网典型应用</t>
  </si>
  <si>
    <t>王保平</t>
  </si>
  <si>
    <t>F424/39/2020</t>
  </si>
  <si>
    <t>978-7-5096-8072-8</t>
  </si>
  <si>
    <t>中国工业化70年空间格局演变</t>
  </si>
  <si>
    <t>胡伟</t>
  </si>
  <si>
    <t>F424/40</t>
  </si>
  <si>
    <t>978-7-5444-9960-6</t>
  </si>
  <si>
    <t>能源中国</t>
  </si>
  <si>
    <t>李明福</t>
  </si>
  <si>
    <t>F426.2/93</t>
  </si>
  <si>
    <t>978-7-5198-5678-6</t>
  </si>
  <si>
    <t>物联网平台技术在能源互联网中的应用</t>
  </si>
  <si>
    <t>中国电力出版社</t>
  </si>
  <si>
    <t>F426.2/94</t>
  </si>
  <si>
    <t>978-7-03-069075-3</t>
  </si>
  <si>
    <t>能源革命推动长三角创新发展</t>
  </si>
  <si>
    <t>翁史烈, 黄震</t>
  </si>
  <si>
    <t>F426.2/95</t>
  </si>
  <si>
    <t>978-7-03-069076-0</t>
  </si>
  <si>
    <t>能源革命推动珠三角开放发展</t>
  </si>
  <si>
    <t>陈勇, 呼和涛力</t>
  </si>
  <si>
    <t>F426.2/96</t>
  </si>
  <si>
    <t>978-7-5201-8770-1</t>
  </si>
  <si>
    <t>中国核能发展报告. 2021</t>
  </si>
  <si>
    <t>张廷克, 李闽榕, 尹卫平</t>
  </si>
  <si>
    <t>F426.23/6/2021</t>
  </si>
  <si>
    <t>978-7-5639-7420-7</t>
  </si>
  <si>
    <t>智慧工厂: 中国制造业探索实践</t>
  </si>
  <si>
    <t>邱华强, 吴贯英, 黄俊俊</t>
  </si>
  <si>
    <t>F426.4/141</t>
  </si>
  <si>
    <t>978-7-5692-9330-2</t>
  </si>
  <si>
    <t>中国制造业全球价值链升级路径研究: 基于国际知识溢出视角</t>
  </si>
  <si>
    <t>陈艺毛</t>
  </si>
  <si>
    <t>F426.4/142</t>
  </si>
  <si>
    <t>978-7-5720-0462-9</t>
  </si>
  <si>
    <t>中国智造</t>
  </si>
  <si>
    <t>李国娟</t>
  </si>
  <si>
    <t>F426.4/143</t>
  </si>
  <si>
    <t>978-7-03-051358-8</t>
  </si>
  <si>
    <t>商业模式创新的系统动力分析与路径设计: 中国制造企业的典型案例与经验证据</t>
  </si>
  <si>
    <t>刁玉柱</t>
  </si>
  <si>
    <t>F426.4/144</t>
  </si>
  <si>
    <t>978-7-03-054003-4</t>
  </si>
  <si>
    <t>劳动力供给变化对制造业升级的影响研究</t>
  </si>
  <si>
    <t>阳立高</t>
  </si>
  <si>
    <t>F426.4/145</t>
  </si>
  <si>
    <t>978-7-5682-9643-4</t>
  </si>
  <si>
    <t>校园+产园: 智造工匠产教融合培养研究与实践</t>
  </si>
  <si>
    <t xml:space="preserve">张华 ...  </t>
  </si>
  <si>
    <t>F426.4/146</t>
  </si>
  <si>
    <t>978-7-5668-2901-6</t>
  </si>
  <si>
    <t>制造企业两化融合自组织演化的理论与方法</t>
  </si>
  <si>
    <t>吴丁娟</t>
  </si>
  <si>
    <t>暨南大学出版社</t>
  </si>
  <si>
    <t>F426.4/147</t>
  </si>
  <si>
    <t>978-7-03-065926-2</t>
  </si>
  <si>
    <t>“一带一路”建设与中国制造: 战略转型与价值链提升</t>
  </si>
  <si>
    <t>李青, 韩永辉</t>
  </si>
  <si>
    <t>F426.4/148</t>
  </si>
  <si>
    <t>978-7-111-68465-7</t>
  </si>
  <si>
    <t>制造业单项冠军企业展示集. 第一册</t>
  </si>
  <si>
    <t>中国工业经济联合会</t>
  </si>
  <si>
    <t>F426.4/149/1</t>
  </si>
  <si>
    <t>978-7-111-68468-8</t>
  </si>
  <si>
    <t>制造业单项冠军企业展示集. 第二册</t>
  </si>
  <si>
    <t>F426.4/149/2</t>
  </si>
  <si>
    <t>978-7-5201-9146-3</t>
  </si>
  <si>
    <t>中国服务型制造发展报告. 2021</t>
  </si>
  <si>
    <t>朱宏任, 黎烈军, 陈立辉</t>
  </si>
  <si>
    <t>F426.4/150/2021</t>
  </si>
  <si>
    <t>978-7-03-065423-6</t>
  </si>
  <si>
    <t>中国制造业发展研究报告. 2020</t>
  </si>
  <si>
    <t>李廉水, 刘军, 程中华</t>
  </si>
  <si>
    <t>F426.4/71/2020</t>
  </si>
  <si>
    <t>978-7-121-41716-0</t>
  </si>
  <si>
    <t>智能制造探索与实践. 一: 智能制造标杆企业案例汇编</t>
  </si>
  <si>
    <t>智能制造系统解决方案供应商联盟, 中国电子技术标准化研究院</t>
  </si>
  <si>
    <t>F426.4/91/1</t>
  </si>
  <si>
    <t>978-7-121-30838-3</t>
  </si>
  <si>
    <t>智能制造探索与实践. 二. 装备制造行业卷: 试点示范项目汇编</t>
  </si>
  <si>
    <t>辛国斌</t>
  </si>
  <si>
    <t>F426.4/91/2:1</t>
  </si>
  <si>
    <t>978-7-5201-8806-7</t>
  </si>
  <si>
    <t>中国汽车零部件产业发展报告. 2020-2021</t>
  </si>
  <si>
    <t>中国汽车工业协会, 中国汽车工程研究院股份有限公司, 广西思维奇电力集团有限公司</t>
  </si>
  <si>
    <t>F426.471/50/2020-2021</t>
  </si>
  <si>
    <t>978-7-5201-9012-1</t>
  </si>
  <si>
    <t>汽车大数据应用研究报告. 2021. 新能源汽车安全篇</t>
  </si>
  <si>
    <t xml:space="preserve">国际欧亚科学院中国科学中心 ...  </t>
  </si>
  <si>
    <t>F426.471/69/2021</t>
  </si>
  <si>
    <t>978-7-5201-9191-3</t>
  </si>
  <si>
    <t>中国自动驾驶产业发展报告. 2021</t>
  </si>
  <si>
    <t>F426.471/70/2021</t>
  </si>
  <si>
    <t>978-7-5201-7375-9</t>
  </si>
  <si>
    <t>中国邮轮产业发展报告. 2020</t>
  </si>
  <si>
    <t>汪泓</t>
  </si>
  <si>
    <t>F426.474/6/2020</t>
  </si>
  <si>
    <t>978-7-5201-9319-1</t>
  </si>
  <si>
    <t>中国邮轮产业发展报告. 2021</t>
  </si>
  <si>
    <t>F426.474/6/2021</t>
  </si>
  <si>
    <t>978-7-5671-4339-5</t>
  </si>
  <si>
    <t>三线人的社会生活与文化认同</t>
  </si>
  <si>
    <t>代发君</t>
  </si>
  <si>
    <t>F426.48/3</t>
  </si>
  <si>
    <t>978-7-118-12102-5</t>
  </si>
  <si>
    <t>中国航空博物馆全览: 龙腾东方</t>
  </si>
  <si>
    <t>齐贤德</t>
  </si>
  <si>
    <t>国防工业出版社</t>
  </si>
  <si>
    <t>F426.5/16/1</t>
  </si>
  <si>
    <t>978-7-118-12100-1</t>
  </si>
  <si>
    <t>中国航空博物馆全览: 蓝天丰碑</t>
  </si>
  <si>
    <t>马琪</t>
  </si>
  <si>
    <t>F426.5/16/2</t>
  </si>
  <si>
    <t>978-7-118-12101-8</t>
  </si>
  <si>
    <t>中国航空博物馆全览: 空军蓝</t>
  </si>
  <si>
    <t>韩骏</t>
  </si>
  <si>
    <t>F426.5/16/3</t>
  </si>
  <si>
    <t>978-7-5110-3864-7</t>
  </si>
  <si>
    <t>中国彩管史: 中国彩色显像管行业志</t>
  </si>
  <si>
    <t>范文强, 杨向杰</t>
  </si>
  <si>
    <t>海豚出版社</t>
  </si>
  <si>
    <t>F426.63/46</t>
  </si>
  <si>
    <t>978-7-5478-4502-8</t>
  </si>
  <si>
    <t>中医药海外发展国别研究: 亚洲卷</t>
  </si>
  <si>
    <t>宋欣阳, 李俊</t>
  </si>
  <si>
    <t>F426.77/6/1</t>
  </si>
  <si>
    <t>978-7-5478-4737-4</t>
  </si>
  <si>
    <t>中医药海外发展国别研究: 欧洲卷</t>
  </si>
  <si>
    <t>宋欣阳</t>
  </si>
  <si>
    <t>F426.77/6/2</t>
  </si>
  <si>
    <t>978-7-5096-7552-6</t>
  </si>
  <si>
    <t>中国时尚产业发展蓝皮书. 2020</t>
  </si>
  <si>
    <t>马胜杰</t>
  </si>
  <si>
    <t>F426.8/22/2020</t>
  </si>
  <si>
    <t>978-7-5672-3027-9</t>
  </si>
  <si>
    <t>《红楼梦》里的苏州丝绸记忆</t>
  </si>
  <si>
    <t xml:space="preserve">栾清照 ...  </t>
  </si>
  <si>
    <t>F426.81/24</t>
  </si>
  <si>
    <t>978-7-5672-3095-8</t>
  </si>
  <si>
    <t>苏州丝绸的前世今生</t>
  </si>
  <si>
    <t xml:space="preserve">杨韫 ...  </t>
  </si>
  <si>
    <t>F426.81/25</t>
  </si>
  <si>
    <t>978-7-5201-9308-5</t>
  </si>
  <si>
    <t>河南工业发展报告. 2022. 布局新赛道 再造新优势</t>
  </si>
  <si>
    <t>王承哲, 张富禄</t>
  </si>
  <si>
    <t>F427.61/1/2022</t>
  </si>
  <si>
    <t>978-7-214-24845-9</t>
  </si>
  <si>
    <t>东芝解体: 电器企业的消亡之日</t>
  </si>
  <si>
    <t>(日) 大西康之</t>
  </si>
  <si>
    <t>F431.366/40</t>
  </si>
  <si>
    <t>978-7-5096-7949-4</t>
  </si>
  <si>
    <t>汽车与信息通信技术产业集群: 创新、跨国和动态网络</t>
  </si>
  <si>
    <t xml:space="preserve">锁梦晨 ...  </t>
  </si>
  <si>
    <t>F450/3</t>
  </si>
  <si>
    <t>978-7-5598-3039-5</t>
  </si>
  <si>
    <t>德国4.0: 如何成功向数字化转型</t>
  </si>
  <si>
    <t>(德) 托比亚斯·科尔曼, 霍尔格·施密特</t>
  </si>
  <si>
    <t>广西师范大学出版社</t>
  </si>
  <si>
    <t>F451.664/4</t>
  </si>
  <si>
    <t>978-7-5455-5700-8</t>
  </si>
  <si>
    <t>Zara传: 全球快时尚帝国崛起的秘密</t>
  </si>
  <si>
    <t>(西) 哈维尔·R.布兰科, 赫苏斯·萨尔加多</t>
  </si>
  <si>
    <t>F455.168/3</t>
  </si>
  <si>
    <t>978-7-301-30681-9</t>
  </si>
  <si>
    <t>极速车王: 福特与法拉利的传奇对决</t>
  </si>
  <si>
    <t>(美) A.J. 贝米</t>
  </si>
  <si>
    <t>F471.264/18</t>
  </si>
  <si>
    <t>978-7-5642-3794-3</t>
  </si>
  <si>
    <t>网络经济学</t>
  </si>
  <si>
    <t>芮廷先</t>
  </si>
  <si>
    <t>F49/2=2D</t>
  </si>
  <si>
    <t>978-7-121-42560-8</t>
  </si>
  <si>
    <t>滚烫元宇宙: 6小时从小白到资深玩家</t>
  </si>
  <si>
    <t>危文</t>
  </si>
  <si>
    <t>F49/218</t>
  </si>
  <si>
    <t>978-7-301-32780-7</t>
  </si>
  <si>
    <t>元宇宙: 图说元宇宙: 人类文明的未来100年</t>
  </si>
  <si>
    <t>子弥实验室, 2140</t>
  </si>
  <si>
    <t>F49/219</t>
  </si>
  <si>
    <t>元宇宙: 设计元宇宙: 如何成为元宇宙架构师</t>
  </si>
  <si>
    <t>F49/220</t>
  </si>
  <si>
    <t>978-7-111-70137-8</t>
  </si>
  <si>
    <t>元宇宙超入门</t>
  </si>
  <si>
    <t>方军</t>
  </si>
  <si>
    <t>F49/221</t>
  </si>
  <si>
    <t>978-7-5446-5374-9</t>
  </si>
  <si>
    <t>IT日语</t>
  </si>
  <si>
    <t xml:space="preserve"> (日) 大桥国治</t>
  </si>
  <si>
    <t>F49/222</t>
  </si>
  <si>
    <t>978-7-111-66727-8</t>
  </si>
  <si>
    <t>IT运维服务管理</t>
  </si>
  <si>
    <t xml:space="preserve">王薇薇 ...  </t>
  </si>
  <si>
    <t>F49/223</t>
  </si>
  <si>
    <t>978-7-5726-0494-2</t>
  </si>
  <si>
    <t>元宇宙指南: 虚拟世界新机遇</t>
  </si>
  <si>
    <t>(韩) 崔亨旭</t>
  </si>
  <si>
    <t>湖南文艺出版社</t>
  </si>
  <si>
    <t>F49/224</t>
  </si>
  <si>
    <t>978-7-5699-4105-0</t>
  </si>
  <si>
    <t>引领未来: VR产业创新模式与启示</t>
  </si>
  <si>
    <t>日本日经产业新闻</t>
  </si>
  <si>
    <t>F49/225</t>
  </si>
  <si>
    <t>978-7-115-54762-0</t>
  </si>
  <si>
    <t>2019-2020中国信息通信业发展分析报告</t>
  </si>
  <si>
    <t>中国通信企业协会</t>
  </si>
  <si>
    <t>F492.3/34/2019-2020</t>
  </si>
  <si>
    <t>978-7-5763-0191-5</t>
  </si>
  <si>
    <t>广东省虚拟现实产业趋势发展和政策分析: 2020</t>
  </si>
  <si>
    <t>陈金德</t>
  </si>
  <si>
    <t>F492.3/35/2020</t>
  </si>
  <si>
    <t>978-7-5726-0427-0</t>
  </si>
  <si>
    <t>字节跳动目标管理法</t>
  </si>
  <si>
    <t>李阳林</t>
  </si>
  <si>
    <t>F492.6/5</t>
  </si>
  <si>
    <t>978-7-5201-9040-4</t>
  </si>
  <si>
    <t>广州数字经济发展报告. 2021</t>
  </si>
  <si>
    <t>张跃国, 许鹏</t>
  </si>
  <si>
    <t>F492/46/2021</t>
  </si>
  <si>
    <t>978-7-115-54790-3</t>
  </si>
  <si>
    <t>人工智能创新启示录: 赋能产业</t>
  </si>
  <si>
    <t xml:space="preserve">中国电子信息产业发展研究院 (赛迪研究院) </t>
  </si>
  <si>
    <t>F492/54</t>
  </si>
  <si>
    <t>978-7-01-023463-2</t>
  </si>
  <si>
    <t>数字经济发展与安全</t>
  </si>
  <si>
    <t>秦荣生, 赖家材</t>
  </si>
  <si>
    <t>F492/55</t>
  </si>
  <si>
    <t>978-7-121-42430-4</t>
  </si>
  <si>
    <t>数字化转型与数字治理</t>
  </si>
  <si>
    <t>张晓</t>
  </si>
  <si>
    <t>F492/56</t>
  </si>
  <si>
    <t>978-7-5507-2824-0</t>
  </si>
  <si>
    <t>中国电子第一街: 华强北</t>
  </si>
  <si>
    <t>段亚兵</t>
  </si>
  <si>
    <t>海天出版社</t>
  </si>
  <si>
    <t>F492/57</t>
  </si>
  <si>
    <t>978-7-5197-4759-6</t>
  </si>
  <si>
    <t>数据保护、利用与安全: 大数据产业的制度需求和供给</t>
  </si>
  <si>
    <t>高富平, 张英, 汤奇峰</t>
  </si>
  <si>
    <t>F492/58</t>
  </si>
  <si>
    <t>978-7-5680-7520-6</t>
  </si>
  <si>
    <t>交通运输物流大数据分析与应用</t>
  </si>
  <si>
    <t>牟向伟, 蒋晶晶</t>
  </si>
  <si>
    <t>F502/5</t>
  </si>
  <si>
    <t>978-7-01-023513-4</t>
  </si>
  <si>
    <t>交通运输大事记: 1949-2019</t>
  </si>
  <si>
    <t xml:space="preserve">交通运输部 ... </t>
  </si>
  <si>
    <t>F512.9/21</t>
  </si>
  <si>
    <t>978-7-5439-7809-6</t>
  </si>
  <si>
    <t>高铁经济</t>
  </si>
  <si>
    <t>姚诗煌</t>
  </si>
  <si>
    <t>上海科学技术文献出版社</t>
  </si>
  <si>
    <t>F532.3/11</t>
  </si>
  <si>
    <t>978-7-5192-7620-1</t>
  </si>
  <si>
    <t>5000年海上航路折叠: 古航道 异域 奇遇与未知</t>
  </si>
  <si>
    <t>(法) 阿兰·达扬</t>
  </si>
  <si>
    <t>世界图书出版有限公司北京分公司</t>
  </si>
  <si>
    <t>F551.9/11</t>
  </si>
  <si>
    <t>978-7-313-25302-6</t>
  </si>
  <si>
    <t>中国航运史话</t>
  </si>
  <si>
    <t>王学锋, 陈扬</t>
  </si>
  <si>
    <t>F552.9/28</t>
  </si>
  <si>
    <t>978-7-5612-7355-5</t>
  </si>
  <si>
    <t>民航服务礼仪</t>
  </si>
  <si>
    <t>李堂兵</t>
  </si>
  <si>
    <t>F560.9/18</t>
  </si>
  <si>
    <t>978-7-5612-7209-1</t>
  </si>
  <si>
    <t>客舱服务技能</t>
  </si>
  <si>
    <t>F560.9/19</t>
  </si>
  <si>
    <t>978-7-5637-1517-6</t>
  </si>
  <si>
    <t>民航乘务英语会话</t>
  </si>
  <si>
    <t>林扬</t>
  </si>
  <si>
    <t>旅游教育出版社</t>
  </si>
  <si>
    <t>F560.9/20=5D</t>
  </si>
  <si>
    <t>978-7-302-54744-0</t>
  </si>
  <si>
    <t>空乘人员求职应聘面试指南</t>
  </si>
  <si>
    <t>李勤, 安萍</t>
  </si>
  <si>
    <t>F560.9/21</t>
  </si>
  <si>
    <t>978-7-5478-5482-2</t>
  </si>
  <si>
    <t>中国式机场集团融资模式与公司治理</t>
  </si>
  <si>
    <t>刘武君</t>
  </si>
  <si>
    <t>F562.6/11=2D</t>
  </si>
  <si>
    <t>978-7-5713-2483-4</t>
  </si>
  <si>
    <t>旅游英语一看就会</t>
  </si>
  <si>
    <t>许澄瑄</t>
  </si>
  <si>
    <t>江苏凤凰科学技术出版社</t>
  </si>
  <si>
    <t>F59/77</t>
  </si>
  <si>
    <t>978-7-5201-8886-9</t>
  </si>
  <si>
    <t>印度文化与旅游</t>
  </si>
  <si>
    <t>袁永平, 毛世昌</t>
  </si>
  <si>
    <t>F59/78</t>
  </si>
  <si>
    <t>978-7-5537-7414-5</t>
  </si>
  <si>
    <t>每天3分钟速学旅游英语</t>
  </si>
  <si>
    <t>杨君君</t>
  </si>
  <si>
    <t>F59/79</t>
  </si>
  <si>
    <t>978-7-206-17802-3</t>
  </si>
  <si>
    <t>生态文明思想下的旅游环境教育</t>
  </si>
  <si>
    <t>邓华</t>
  </si>
  <si>
    <t>F590.3/77</t>
  </si>
  <si>
    <t>978-7-5684-1451-7</t>
  </si>
  <si>
    <t>旅游景区服务与管理</t>
  </si>
  <si>
    <t>范宗建, 陈文专, 刘宝平</t>
  </si>
  <si>
    <t>F590.6/92</t>
  </si>
  <si>
    <t>978-7-5581-6925-0</t>
  </si>
  <si>
    <t>旅游服务礼仪</t>
  </si>
  <si>
    <t>王焱</t>
  </si>
  <si>
    <t>F590.631/7</t>
  </si>
  <si>
    <t>978-7-5632-3971-9</t>
  </si>
  <si>
    <t>邮轮服务礼仪</t>
  </si>
  <si>
    <t>陈增红</t>
  </si>
  <si>
    <t>大连海事大学出版社</t>
  </si>
  <si>
    <t>F590.631/8=2D</t>
  </si>
  <si>
    <t>978-7-5432-3305-8</t>
  </si>
  <si>
    <t>杨梅</t>
  </si>
  <si>
    <t>F590.631/9=3D</t>
  </si>
  <si>
    <t>978-7-5682-9871-1</t>
  </si>
  <si>
    <t>导游实务</t>
  </si>
  <si>
    <t>黄文</t>
  </si>
  <si>
    <t>F590.633/21</t>
  </si>
  <si>
    <t>978-7-5682-7793-8</t>
  </si>
  <si>
    <t>景区服务与管理</t>
  </si>
  <si>
    <t>曾兰君</t>
  </si>
  <si>
    <t>F590.654/23=2D</t>
  </si>
  <si>
    <t>978-7-5682-9908-4</t>
  </si>
  <si>
    <t>旅游企业财务管理</t>
  </si>
  <si>
    <t>刘清, 赵丽君, 陈险峰</t>
  </si>
  <si>
    <t>F590.66/35</t>
  </si>
  <si>
    <t>978-7-5581-6949-6</t>
  </si>
  <si>
    <t>生态旅游理论与实践研究</t>
  </si>
  <si>
    <t>陈蜀花</t>
  </si>
  <si>
    <t>F590.75/16</t>
  </si>
  <si>
    <t>978-7-03-070741-3</t>
  </si>
  <si>
    <t>游艇商业模式</t>
  </si>
  <si>
    <t>唐震, 许娟娟</t>
  </si>
  <si>
    <t>F590.75/17</t>
  </si>
  <si>
    <t>978-7-5158-3257-9</t>
  </si>
  <si>
    <t>大数据时代智慧旅游管理与服务</t>
  </si>
  <si>
    <t>陈薇</t>
  </si>
  <si>
    <t>中华工商联合出版社有限责任公司</t>
  </si>
  <si>
    <t>F590/293</t>
  </si>
  <si>
    <t>978-7-5577-0752-1</t>
  </si>
  <si>
    <t>高等教育旅游专业人才培养研究</t>
  </si>
  <si>
    <t>陈晓丽, 刘秀丽</t>
  </si>
  <si>
    <t>F590/294</t>
  </si>
  <si>
    <t>978-7-313-23388-2</t>
  </si>
  <si>
    <t>旅游概论</t>
  </si>
  <si>
    <t>张帆, 何雨</t>
  </si>
  <si>
    <t>F590/295</t>
  </si>
  <si>
    <t>978-7-5654-4137-0</t>
  </si>
  <si>
    <t>文化旅游</t>
  </si>
  <si>
    <t>(匈) 梅勒妮·K.史密斯</t>
  </si>
  <si>
    <t>F590/296=3D</t>
  </si>
  <si>
    <t>978-7-206-18428-4</t>
  </si>
  <si>
    <t>智慧旅游背景下旅游管理新方向</t>
  </si>
  <si>
    <t>郝彦革, 杨新春</t>
  </si>
  <si>
    <t>F590/297</t>
  </si>
  <si>
    <t>978-7-5577-0794-1</t>
  </si>
  <si>
    <t>旅游文化理论阐释及实践发展研究</t>
  </si>
  <si>
    <t>胡娜, 张瑜</t>
  </si>
  <si>
    <t>F590/298</t>
  </si>
  <si>
    <t>978-7-5570-2388-1</t>
  </si>
  <si>
    <t>旅游管理与中外旅游人才培养模式比较研究</t>
  </si>
  <si>
    <t>朱蔚琦</t>
  </si>
  <si>
    <t>F590/299</t>
  </si>
  <si>
    <t>978-7-5684-1638-2</t>
  </si>
  <si>
    <t>旅游管理学</t>
  </si>
  <si>
    <t>向柳如, 牛萍, 康杨</t>
  </si>
  <si>
    <t>F590/300</t>
  </si>
  <si>
    <t>978-7-5581-6950-2</t>
  </si>
  <si>
    <t>旅游管理与市场营销研究</t>
  </si>
  <si>
    <t>黄萍</t>
  </si>
  <si>
    <t>F590/301</t>
  </si>
  <si>
    <t>978-7-5637-4173-1</t>
  </si>
  <si>
    <t>中国国内旅游发展年度报告. 2020</t>
  </si>
  <si>
    <t>中国旅游研究院</t>
  </si>
  <si>
    <t>F592.3/148/2020</t>
  </si>
  <si>
    <t>978-7-5637-4261-5</t>
  </si>
  <si>
    <t>中国在线旅游研究报告. 2020</t>
  </si>
  <si>
    <t>李宏</t>
  </si>
  <si>
    <t>F592.3/149/2020</t>
  </si>
  <si>
    <t>978-7-5639-7751-2</t>
  </si>
  <si>
    <t>美丽乡村建设视角下的乡村旅游规划与发展研究</t>
  </si>
  <si>
    <t>F592.3/171</t>
  </si>
  <si>
    <t>978-7-5639-7247-0</t>
  </si>
  <si>
    <t>生态旅游规划与可持续发展研究</t>
  </si>
  <si>
    <t>李辉</t>
  </si>
  <si>
    <t>F592.3/172</t>
  </si>
  <si>
    <t>978-7-5639-6871-8</t>
  </si>
  <si>
    <t>当代乡村旅游管理与规划设计研究</t>
  </si>
  <si>
    <t>韦飞</t>
  </si>
  <si>
    <t>F592.3/173</t>
  </si>
  <si>
    <t>978-7-5681-5881-7</t>
  </si>
  <si>
    <t>基于乡村旅游规划中的开发与利用研究</t>
  </si>
  <si>
    <t>李立安</t>
  </si>
  <si>
    <t>F592.3/174</t>
  </si>
  <si>
    <t>978-7-5108-9632-3</t>
  </si>
  <si>
    <t>红色旅游资源开发、文化传承及其育人研究</t>
  </si>
  <si>
    <t>杜改仙</t>
  </si>
  <si>
    <t>F592.3/175</t>
  </si>
  <si>
    <t>978-7-5087-6480-1</t>
  </si>
  <si>
    <t>体旅产业融合发展促进乡村振兴的路径研究</t>
  </si>
  <si>
    <t>齐立斌</t>
  </si>
  <si>
    <t>F592.3/176</t>
  </si>
  <si>
    <t>978-7-5639-7347-7</t>
  </si>
  <si>
    <t>全域旅游视角下“体育+旅游”产业融合创新发展研究</t>
  </si>
  <si>
    <t>王焕盛, 李世军, 徐晓伟</t>
  </si>
  <si>
    <t>F592.3/177</t>
  </si>
  <si>
    <t>978-7-5639-7569-3</t>
  </si>
  <si>
    <t>全域旅游发展路径研究</t>
  </si>
  <si>
    <t>陈婕</t>
  </si>
  <si>
    <t>F592.3/178</t>
  </si>
  <si>
    <t>978-7-5639-6671-4</t>
  </si>
  <si>
    <t>全域旅游视角下的乡村旅游产业发展研究</t>
  </si>
  <si>
    <t>高小茹</t>
  </si>
  <si>
    <t>F592.3/179</t>
  </si>
  <si>
    <t>978-7-5570-2386-7</t>
  </si>
  <si>
    <t>旅游景区综合发展研究</t>
  </si>
  <si>
    <t>王鸣柳</t>
  </si>
  <si>
    <t>F592.3/180</t>
  </si>
  <si>
    <t>978-7-5225-0345-5</t>
  </si>
  <si>
    <t>全域旅游视域下中国体育旅游发展研究</t>
  </si>
  <si>
    <t>潘丽霞</t>
  </si>
  <si>
    <t>F592.3/181</t>
  </si>
  <si>
    <t>978-7-5201-9341-2</t>
  </si>
  <si>
    <t>中国生态旅游发展报告. 2021-2022</t>
  </si>
  <si>
    <t>李群, 沙涛</t>
  </si>
  <si>
    <t>F592.3/182/2021-2022</t>
  </si>
  <si>
    <t>978-7-5201-9414-3</t>
  </si>
  <si>
    <t>中国红色旅游发展报告. 2021</t>
  </si>
  <si>
    <t>王金伟</t>
  </si>
  <si>
    <t>F592.3/183/2021</t>
  </si>
  <si>
    <t>978-7-5637-4227-1</t>
  </si>
  <si>
    <t>中国出境旅游发展年度报告. 2020</t>
  </si>
  <si>
    <t>F592.3/61/2020</t>
  </si>
  <si>
    <t>978-7-5639-6834-3</t>
  </si>
  <si>
    <t>区域性旅游纪念品设计研发</t>
  </si>
  <si>
    <t>张健</t>
  </si>
  <si>
    <t>F592.6/56</t>
  </si>
  <si>
    <t>978-7-5692-6072-4</t>
  </si>
  <si>
    <t>体育旅游市场开发及其可持续发展研究</t>
  </si>
  <si>
    <t>周洪松</t>
  </si>
  <si>
    <t>F592.68/10</t>
  </si>
  <si>
    <t>978-7-5638-3273-6</t>
  </si>
  <si>
    <t>滑雪旅游概论</t>
  </si>
  <si>
    <t>李云鹏, 方琰</t>
  </si>
  <si>
    <t>F592.68/11</t>
  </si>
  <si>
    <t>978-7-5517-2306-0</t>
  </si>
  <si>
    <t>东北区域旅游产业一体化发展研究</t>
  </si>
  <si>
    <t>程海东, 陈思</t>
  </si>
  <si>
    <t>F592.7/28</t>
  </si>
  <si>
    <t>978-7-03-067319-0</t>
  </si>
  <si>
    <t>黄河流域旅游文化及其历史变迁</t>
  </si>
  <si>
    <t>贾玉英</t>
  </si>
  <si>
    <t>F592.7/29</t>
  </si>
  <si>
    <t>978-7-5622-9345-3</t>
  </si>
  <si>
    <t>长江经济带旅游经济的时空分异及空间治理研究</t>
  </si>
  <si>
    <t>乔花芳</t>
  </si>
  <si>
    <t>F592.75/5</t>
  </si>
  <si>
    <t>978-7-5096-8058-2</t>
  </si>
  <si>
    <t>新时代旅游发展模式创新研究</t>
  </si>
  <si>
    <t>李秀</t>
  </si>
  <si>
    <t>F592.752/2</t>
  </si>
  <si>
    <t>978-7-5096-8100-8</t>
  </si>
  <si>
    <t>邮轮文化</t>
  </si>
  <si>
    <t>李霞</t>
  </si>
  <si>
    <t>F592/105</t>
  </si>
  <si>
    <t>978-7-313-25500-6</t>
  </si>
  <si>
    <t>快递实务</t>
  </si>
  <si>
    <t>赵婷婷</t>
  </si>
  <si>
    <t>F618.1/8=2D</t>
  </si>
  <si>
    <t>978-7-5196-0977-1</t>
  </si>
  <si>
    <t>世界快递产业发展史</t>
  </si>
  <si>
    <t>黄景贤, 柏松</t>
  </si>
  <si>
    <t>F631/6</t>
  </si>
  <si>
    <t>978-7-121-41140-3</t>
  </si>
  <si>
    <t>华为人才管理全景图: 深度解析华为战之必胜的人才管理实践</t>
  </si>
  <si>
    <t>祁婷, 孙科柳</t>
  </si>
  <si>
    <t>F632.765.3/68</t>
  </si>
  <si>
    <t>978-7-5699-4375-7</t>
  </si>
  <si>
    <t>华为为什么能</t>
  </si>
  <si>
    <t>张绛</t>
  </si>
  <si>
    <t>F632.765.3/69</t>
  </si>
  <si>
    <t>英国邮政改革与社会变迁</t>
  </si>
  <si>
    <t>金燕</t>
  </si>
  <si>
    <t>F635.61/2</t>
  </si>
  <si>
    <t>978-7-5713-1847-5</t>
  </si>
  <si>
    <t>20天速学英语商务会话</t>
  </si>
  <si>
    <t>(韩) 金哉宪</t>
  </si>
  <si>
    <t>F7/174</t>
  </si>
  <si>
    <t>978-7-121-39241-2</t>
  </si>
  <si>
    <t>打造Excel商务图表达人</t>
  </si>
  <si>
    <t>龙逸凡, 王冰雪</t>
  </si>
  <si>
    <t>F7/175</t>
  </si>
  <si>
    <t>978-7-5692-8849-0</t>
  </si>
  <si>
    <t>高校商务英语写作教学与实践创新研究</t>
  </si>
  <si>
    <t>孙洋子, 张海贝, 杜凌俊</t>
  </si>
  <si>
    <t>F7/176</t>
  </si>
  <si>
    <t>978-7-5713-2008-9</t>
  </si>
  <si>
    <t>商务英语邮件写作大全</t>
  </si>
  <si>
    <t>蔡文宜</t>
  </si>
  <si>
    <t>F7/177</t>
  </si>
  <si>
    <t>978-7-5641-8975-4</t>
  </si>
  <si>
    <t>实用商务英语写作</t>
  </si>
  <si>
    <t>何晴霞, 丰瑾</t>
  </si>
  <si>
    <t>F7/178</t>
  </si>
  <si>
    <t>978-7-5639-7337-8</t>
  </si>
  <si>
    <t>新商科实践教学建设研究</t>
  </si>
  <si>
    <t>林强</t>
  </si>
  <si>
    <t>F7/179</t>
  </si>
  <si>
    <t>978-7-5639-7074-2</t>
  </si>
  <si>
    <t>商务英语语言与翻译教学研究</t>
  </si>
  <si>
    <t>丁水芳</t>
  </si>
  <si>
    <t>F7/180</t>
  </si>
  <si>
    <t>978-7-5669-1850-5</t>
  </si>
  <si>
    <t>商务职场英语口语</t>
  </si>
  <si>
    <t>朱巧莲, 程理</t>
  </si>
  <si>
    <t>东华大学出版社</t>
  </si>
  <si>
    <t>F7/181</t>
  </si>
  <si>
    <t>978-7-5731-0238-6</t>
  </si>
  <si>
    <t>商务英语教学于信息化融合研究</t>
  </si>
  <si>
    <t>孙舒和</t>
  </si>
  <si>
    <t>F7/182</t>
  </si>
  <si>
    <t>978-7-5180-4632-4</t>
  </si>
  <si>
    <t>商务英语翻译理论及其应用研究</t>
  </si>
  <si>
    <t>刘荣</t>
  </si>
  <si>
    <t>F7/183</t>
  </si>
  <si>
    <t>978-7-5612-7403-3</t>
  </si>
  <si>
    <t>商务英语教学与模式创新研究</t>
  </si>
  <si>
    <t>曾葳</t>
  </si>
  <si>
    <t>F7/184</t>
  </si>
  <si>
    <t>978-7-5639-7164-0</t>
  </si>
  <si>
    <t>商务英语教学理论与实践</t>
  </si>
  <si>
    <t>刘阿娜</t>
  </si>
  <si>
    <t>F7/185</t>
  </si>
  <si>
    <t>978-7-5692-6077-9</t>
  </si>
  <si>
    <t>日语国际商务信函</t>
  </si>
  <si>
    <t>胡稹, 赖菲菲</t>
  </si>
  <si>
    <t>F7/186</t>
  </si>
  <si>
    <t>978-7-5504-4930-5</t>
  </si>
  <si>
    <t>多维度商务英语思辨会话</t>
  </si>
  <si>
    <t>洪一江, 邹勇</t>
  </si>
  <si>
    <t>F7/187</t>
  </si>
  <si>
    <t>978-7-5713-2249-6</t>
  </si>
  <si>
    <t>漫画图解简单学会商务英语会话</t>
  </si>
  <si>
    <t>(韩) 艾丽·吴, 塔西亚·金</t>
  </si>
  <si>
    <t>F7/188</t>
  </si>
  <si>
    <t>978-7-5139-2994-3</t>
  </si>
  <si>
    <t>速查速用商务英语口语</t>
  </si>
  <si>
    <t>陈蜜</t>
  </si>
  <si>
    <t>F7/189</t>
  </si>
  <si>
    <t>978-7-5581-9612-6</t>
  </si>
  <si>
    <t>跨文化交际视阈下的商务英语翻译探究</t>
  </si>
  <si>
    <t>李莞婷, 夏胜武</t>
  </si>
  <si>
    <t>F7/190</t>
  </si>
  <si>
    <t>978-7-5639-6800-8</t>
  </si>
  <si>
    <t>共享经济背景下商业发展新模式研究</t>
  </si>
  <si>
    <t>李丽</t>
  </si>
  <si>
    <t>F71/90</t>
  </si>
  <si>
    <t>978-7-5439-8284-0</t>
  </si>
  <si>
    <t>共享经济的道德风险治理</t>
  </si>
  <si>
    <t>殷红</t>
  </si>
  <si>
    <t>F71/91</t>
  </si>
  <si>
    <t>978-7-220-11609-4</t>
  </si>
  <si>
    <t>管家式经济: 物联网时代如何精准预测消费需求</t>
  </si>
  <si>
    <t>(美) 查克·马丁</t>
  </si>
  <si>
    <t>F71/92</t>
  </si>
  <si>
    <t>978-7-5504-5021-9</t>
  </si>
  <si>
    <t>商务数据分析与应用</t>
  </si>
  <si>
    <t>杨凤, 何亮</t>
  </si>
  <si>
    <t>F712.3/33</t>
  </si>
  <si>
    <t>978-7-5164-2319-6</t>
  </si>
  <si>
    <t>打赢品牌仗: 用战略思维讲透品牌营销</t>
  </si>
  <si>
    <t>朱金科</t>
  </si>
  <si>
    <t>F713.3/851</t>
  </si>
  <si>
    <t>978-7-5096-8034-6</t>
  </si>
  <si>
    <t>品牌·营销·公关策划文案及评析: 策划型原案例的模式与应用</t>
  </si>
  <si>
    <t>张景云, 孙永波</t>
  </si>
  <si>
    <t>F713.3/852</t>
  </si>
  <si>
    <t>978-7-5164-2403-2</t>
  </si>
  <si>
    <t>品牌营销策划十大要点</t>
  </si>
  <si>
    <t>刘述文</t>
  </si>
  <si>
    <t>F713.3/853</t>
  </si>
  <si>
    <t>978-7-5207-2249-0</t>
  </si>
  <si>
    <t>电商的终局</t>
  </si>
  <si>
    <t>黄若</t>
  </si>
  <si>
    <t>F713.32/191</t>
  </si>
  <si>
    <t>978-7-5682-8889-7</t>
  </si>
  <si>
    <t>电子商务客户服务</t>
  </si>
  <si>
    <t>陈伟梅, 刘小榴, 范永艳</t>
  </si>
  <si>
    <t>F713.36/1033</t>
  </si>
  <si>
    <t>978-7-5682-9758-5</t>
  </si>
  <si>
    <t>电子商务基础与应用</t>
  </si>
  <si>
    <t>宋扬, 潘峰, 刘多林</t>
  </si>
  <si>
    <t>F713.36/1034</t>
  </si>
  <si>
    <t>978-7-5654-4055-7</t>
  </si>
  <si>
    <t>国际经济与贸易专业综合实训: 跨境电商平台实操</t>
  </si>
  <si>
    <t>李萍, 邹益民, 王焕祥</t>
  </si>
  <si>
    <t>F713.36/1035</t>
  </si>
  <si>
    <t>978-7-5359-7659-8</t>
  </si>
  <si>
    <t>县域电商与农贸经济</t>
  </si>
  <si>
    <t>广东省职业技术教研室组织</t>
  </si>
  <si>
    <t>F713.36/1036</t>
  </si>
  <si>
    <t>978-7-5359-7656-7</t>
  </si>
  <si>
    <t>农村电商品牌包装与推广</t>
  </si>
  <si>
    <t>F713.36/1037</t>
  </si>
  <si>
    <t>978-7-5682-8883-5</t>
  </si>
  <si>
    <t>电子商务物流</t>
  </si>
  <si>
    <t>范永泰</t>
  </si>
  <si>
    <t>F713.36/1038</t>
  </si>
  <si>
    <t>978-7-5763-0284-4</t>
  </si>
  <si>
    <t>电子商务实务</t>
  </si>
  <si>
    <t>陈红, 高进锋</t>
  </si>
  <si>
    <t>F713.36/1039</t>
  </si>
  <si>
    <t>978-7-5682-9238-2</t>
  </si>
  <si>
    <t>电子商务概论</t>
  </si>
  <si>
    <t>訾豪杰</t>
  </si>
  <si>
    <t>F713.36/1040</t>
  </si>
  <si>
    <t>978-7-5359-7661-1</t>
  </si>
  <si>
    <t>农村电商办公软件应用</t>
  </si>
  <si>
    <t>F713.36/1041</t>
  </si>
  <si>
    <t>978-7-5359-7651-2</t>
  </si>
  <si>
    <t>农村电商基础</t>
  </si>
  <si>
    <t>F713.36/1042</t>
  </si>
  <si>
    <t>978-7-309-15409-2</t>
  </si>
  <si>
    <t>全球数字贸易促进指数报告. 2020</t>
  </si>
  <si>
    <t xml:space="preserve">沈玉良 ...  </t>
  </si>
  <si>
    <t>F713.36/1043/2020</t>
  </si>
  <si>
    <t>978-7-5639-7560-0</t>
  </si>
  <si>
    <t>跨境电商创新创业人才培养模式的研究与实践</t>
  </si>
  <si>
    <t>冯江华</t>
  </si>
  <si>
    <t>F713.36/1044</t>
  </si>
  <si>
    <t>978-7-5563-0736-4</t>
  </si>
  <si>
    <t>跨境电商基础</t>
  </si>
  <si>
    <t>张彤, 朱乐</t>
  </si>
  <si>
    <t>天津社会科学出版社</t>
  </si>
  <si>
    <t>F713.36/1045</t>
  </si>
  <si>
    <t>978-7-5096-7741-4</t>
  </si>
  <si>
    <t>农村电子商务扶贫: 作用机制及效果</t>
  </si>
  <si>
    <t>林海英, 赵元凤</t>
  </si>
  <si>
    <t>F713.36/1046</t>
  </si>
  <si>
    <t>978-7-5641-9964-7</t>
  </si>
  <si>
    <t>电子商务项目运作</t>
  </si>
  <si>
    <t>胡家香, 刘爱军</t>
  </si>
  <si>
    <t>F713.36/1047=3D</t>
  </si>
  <si>
    <t>978-7-115-56330-9</t>
  </si>
  <si>
    <t>电商财务管理系统: 模块架构+数据流转+进销存核算+中台建设</t>
  </si>
  <si>
    <t>张祥凤</t>
  </si>
  <si>
    <t>F713.36/1048</t>
  </si>
  <si>
    <t>978-7-5682-8890-3</t>
  </si>
  <si>
    <t>电子商务基础</t>
  </si>
  <si>
    <t>沈凤池, 来立冬</t>
  </si>
  <si>
    <t>F713.36/1049</t>
  </si>
  <si>
    <t>978-7-5563-0737-1</t>
  </si>
  <si>
    <t>跨境电商客户服务</t>
  </si>
  <si>
    <t>徐婷, 仝玺</t>
  </si>
  <si>
    <t>F713.36/1050</t>
  </si>
  <si>
    <t>978-7-313-23768-2</t>
  </si>
  <si>
    <t>跨境电商实务英语</t>
  </si>
  <si>
    <t>刘璇, 尹晓霞</t>
  </si>
  <si>
    <t>F713.36/1051</t>
  </si>
  <si>
    <t>978-7-115-56572-3</t>
  </si>
  <si>
    <t>移动端卖货式设计. 上册: 适配手机屏的电商设计法则与实战应用</t>
  </si>
  <si>
    <t>卢维贤</t>
  </si>
  <si>
    <t>F713.36/1052/1</t>
  </si>
  <si>
    <t>移动端卖货式设计. 下册: 适配手机屏的电商设计法则与实战应用</t>
  </si>
  <si>
    <t>F713.36/1052/2</t>
  </si>
  <si>
    <t>978-7-5639-7059-9</t>
  </si>
  <si>
    <t>现代农村电子商务建设策略研究</t>
  </si>
  <si>
    <t>罗应机</t>
  </si>
  <si>
    <t>F713.36/1053</t>
  </si>
  <si>
    <t>978-7-121-41526-5</t>
  </si>
  <si>
    <t>张定方, 张耀坤, 宋孟丘</t>
  </si>
  <si>
    <t>F713.360/10</t>
  </si>
  <si>
    <t>978-7-5359-7652-9</t>
  </si>
  <si>
    <t>农村电商网店美工</t>
  </si>
  <si>
    <t>F713.361.2/11</t>
  </si>
  <si>
    <t>978-7-111-69608-7</t>
  </si>
  <si>
    <t>场景化设计: 场景驱动的产品设计与运营</t>
  </si>
  <si>
    <t>朱军华</t>
  </si>
  <si>
    <t>F713.361.2/12</t>
  </si>
  <si>
    <t>978-7-5096-8138-1</t>
  </si>
  <si>
    <t>区块链技术与管理创新</t>
  </si>
  <si>
    <t>张斌</t>
  </si>
  <si>
    <t>F713.361.3/47</t>
  </si>
  <si>
    <t>978-7-111-69316-1</t>
  </si>
  <si>
    <t>区块链导论</t>
  </si>
  <si>
    <t>林熹</t>
  </si>
  <si>
    <t>F713.361.3/48</t>
  </si>
  <si>
    <t>978-7-121-41265-3</t>
  </si>
  <si>
    <t>区块链架构之美: 从比特币、以太坊、超级账本看区块链架构设计</t>
  </si>
  <si>
    <t>何昊</t>
  </si>
  <si>
    <t>F713.361.3/49</t>
  </si>
  <si>
    <t>978-7-5164-2209-0</t>
  </si>
  <si>
    <t>区块链进化史: 26个故事讲透区块链前世今生</t>
  </si>
  <si>
    <t>田君</t>
  </si>
  <si>
    <t>F713.361.3/50</t>
  </si>
  <si>
    <t>978-7-5714-0813-8</t>
  </si>
  <si>
    <t>链改: 区块链中国方案</t>
  </si>
  <si>
    <t xml:space="preserve">廖博谛 ...  </t>
  </si>
  <si>
    <t>F713.361.3/51</t>
  </si>
  <si>
    <t>978-7-121-40878-6</t>
  </si>
  <si>
    <t>区块链+: 落地场景与应用实战</t>
  </si>
  <si>
    <t xml:space="preserve">张杰 ...  </t>
  </si>
  <si>
    <t>F713.361.3/52</t>
  </si>
  <si>
    <t>978-7-5108-9906-5</t>
  </si>
  <si>
    <t>区块链技术与实体经济深度融合研究</t>
  </si>
  <si>
    <t>汪金伟</t>
  </si>
  <si>
    <t>F713.361.3/53</t>
  </si>
  <si>
    <t>978-7-5207-1498-3</t>
  </si>
  <si>
    <t>数字货币极简读本: 理想与现实之间</t>
  </si>
  <si>
    <t>柏亮</t>
  </si>
  <si>
    <t>F713.361.3/54</t>
  </si>
  <si>
    <t>978-7-5168-3082-6</t>
  </si>
  <si>
    <t>秒懂区块链</t>
  </si>
  <si>
    <t>彭程, (新加坡) 安东尼·路易斯</t>
  </si>
  <si>
    <t>F713.361.3/55</t>
  </si>
  <si>
    <t>978-7-5196-0768-5</t>
  </si>
  <si>
    <t>数字货币: 数字时代的金融生活</t>
  </si>
  <si>
    <t>莫开伟, 邱泉, 李凤文</t>
  </si>
  <si>
    <t>F713.361.3/56</t>
  </si>
  <si>
    <t>978-7-5576-8265-1</t>
  </si>
  <si>
    <t>区块链蓝图</t>
  </si>
  <si>
    <t>(荷兰) 马克·冯·里吉们纳姆, (澳大利亚) 菲利帕·瑞安</t>
  </si>
  <si>
    <t>F713.361.3/57</t>
  </si>
  <si>
    <t>978-7-5020-7119-6</t>
  </si>
  <si>
    <t>比特币传奇</t>
  </si>
  <si>
    <t>荆涛</t>
  </si>
  <si>
    <t>煤炭工业出版社</t>
  </si>
  <si>
    <t>F713.361/172</t>
  </si>
  <si>
    <t>978-7-5692-9208-4</t>
  </si>
  <si>
    <t>跨境电商业务开发与数据分析研究</t>
  </si>
  <si>
    <t>邓娟娟</t>
  </si>
  <si>
    <t>F713.365.1/12</t>
  </si>
  <si>
    <t>978-7-5087-6655-3</t>
  </si>
  <si>
    <t>电子商务环境下的物流管理与应用研究</t>
  </si>
  <si>
    <t>张恩娟</t>
  </si>
  <si>
    <t>F713.365.1/13</t>
  </si>
  <si>
    <t>978-7-5576-6802-0</t>
  </si>
  <si>
    <t>电商趋势下物流配送优化研究</t>
  </si>
  <si>
    <t>周亚蓉</t>
  </si>
  <si>
    <t>F713.365.1/14</t>
  </si>
  <si>
    <t>978-7-5682-8470-7</t>
  </si>
  <si>
    <t>电子商务物流配送实务</t>
  </si>
  <si>
    <t>张蕙莹, 张蕾</t>
  </si>
  <si>
    <t>F713.365.1/15</t>
  </si>
  <si>
    <t>978-7-5139-3067-3</t>
  </si>
  <si>
    <t>直播带货: 淘宝天猫直播从新手到高手</t>
  </si>
  <si>
    <t>戚研</t>
  </si>
  <si>
    <t>F713.365.2/227</t>
  </si>
  <si>
    <t>978-7-5666-1840-5</t>
  </si>
  <si>
    <t>直播产业的魔方</t>
  </si>
  <si>
    <t>葛勇</t>
  </si>
  <si>
    <t>河北大学出版社</t>
  </si>
  <si>
    <t>F713.365.2/228</t>
  </si>
  <si>
    <t>978-7-5359-7654-3</t>
  </si>
  <si>
    <t>农产品视觉营销</t>
  </si>
  <si>
    <t>F713.365.2/229</t>
  </si>
  <si>
    <t>978-7-5682-8888-0</t>
  </si>
  <si>
    <t>网络营销</t>
  </si>
  <si>
    <t>李玉清, 魏明</t>
  </si>
  <si>
    <t>F713.365.2/230</t>
  </si>
  <si>
    <t>978-7-5504-4581-9</t>
  </si>
  <si>
    <t>直播电商实务</t>
  </si>
  <si>
    <t xml:space="preserve">周莉 ...  </t>
  </si>
  <si>
    <t>F713.365.2/231</t>
  </si>
  <si>
    <t>978-7-5359-7657-4</t>
  </si>
  <si>
    <t>农村电商新媒体运营</t>
  </si>
  <si>
    <t>F713.365.2/232</t>
  </si>
  <si>
    <t>978-7-5359-7653-6</t>
  </si>
  <si>
    <t>农村电商网店客服</t>
  </si>
  <si>
    <t>F713.365.2/233</t>
  </si>
  <si>
    <t>978-7-5359-7655-0</t>
  </si>
  <si>
    <t>农村电商网店运营</t>
  </si>
  <si>
    <t>F713.365.2/234</t>
  </si>
  <si>
    <t>978-7-121-40099-5</t>
  </si>
  <si>
    <t>订阅经济: 一场商业模式的全新变革</t>
  </si>
  <si>
    <t>安福双</t>
  </si>
  <si>
    <t>F713.365.2/235</t>
  </si>
  <si>
    <t>978-7-301-31867-6</t>
  </si>
  <si>
    <t>直播运营与操作实务</t>
  </si>
  <si>
    <t>丁仁秀</t>
  </si>
  <si>
    <t>F713.365.2/236</t>
  </si>
  <si>
    <t>978-7-111-67264-7</t>
  </si>
  <si>
    <t>社群团购: 如何实际解决运营、选品和供应链问题</t>
  </si>
  <si>
    <t>勇哥, 王易, 廖军连</t>
  </si>
  <si>
    <t>F713.365.2/237</t>
  </si>
  <si>
    <t>978-7-5563-0738-8</t>
  </si>
  <si>
    <t>跨境电商网店开设与运营</t>
  </si>
  <si>
    <t>徐丹, 纪新霞</t>
  </si>
  <si>
    <t>F713.365.2/238</t>
  </si>
  <si>
    <t>978-7-115-56528-0</t>
  </si>
  <si>
    <t>直播电商平台运营</t>
  </si>
  <si>
    <t>韦亚洲, 施颖钰, 胡咏雪</t>
  </si>
  <si>
    <t>F713.365.2/239</t>
  </si>
  <si>
    <t>978-7-115-55823-7</t>
  </si>
  <si>
    <t>活动策划: 流量获取+经典模型应用+销售转化+品牌塑造</t>
  </si>
  <si>
    <t>张梦娴</t>
  </si>
  <si>
    <t>F713.365.2/240</t>
  </si>
  <si>
    <t>978-7-5164-2235-9</t>
  </si>
  <si>
    <t>共享经济: “双创”背景下的共享模式创新</t>
  </si>
  <si>
    <t>李鸿诚</t>
  </si>
  <si>
    <t>F713.365.2/241</t>
  </si>
  <si>
    <t>短视频营销</t>
  </si>
  <si>
    <t>无崖子</t>
  </si>
  <si>
    <t>F713.365.2/242</t>
  </si>
  <si>
    <t>直播营销</t>
  </si>
  <si>
    <t>李鑫声</t>
  </si>
  <si>
    <t>F713.365.2/243</t>
  </si>
  <si>
    <t>978-7-5576-8473-0</t>
  </si>
  <si>
    <t>创意短视频策划、推广、引流、爆粉与变现全能攻略</t>
  </si>
  <si>
    <t>(美) 肖恩·卡内尔, 本吉·特拉维斯</t>
  </si>
  <si>
    <t>F713.365.2/244</t>
  </si>
  <si>
    <t>978-7-5194-6074-7</t>
  </si>
  <si>
    <t>数字化零售的中国经验: 流通理论与案例视角</t>
  </si>
  <si>
    <t>谢莉娟</t>
  </si>
  <si>
    <t>F713.365.2/245</t>
  </si>
  <si>
    <t>978-7-5096-7500-7</t>
  </si>
  <si>
    <t>内容营销</t>
  </si>
  <si>
    <t>陶晓波</t>
  </si>
  <si>
    <t>F713.365.2/246</t>
  </si>
  <si>
    <t>978-7-115-55990-6</t>
  </si>
  <si>
    <t>电商客户关系管理</t>
  </si>
  <si>
    <t>苏朝晖</t>
  </si>
  <si>
    <t>F713.365.2/247</t>
  </si>
  <si>
    <t>978-7-5096-7240-2</t>
  </si>
  <si>
    <t>大数据营销</t>
  </si>
  <si>
    <t xml:space="preserve">胡涵清 ...  </t>
  </si>
  <si>
    <t>F713.365.2/248</t>
  </si>
  <si>
    <t>978-7-302-57203-9</t>
  </si>
  <si>
    <t>微信视频号、公众号、小程序、朋友圈运营一本通</t>
  </si>
  <si>
    <t>陈达远</t>
  </si>
  <si>
    <t>F713.365.2/249</t>
  </si>
  <si>
    <t>978-7-111-67915-8</t>
  </si>
  <si>
    <t>社群新零售实战: 用直播引爆成交</t>
  </si>
  <si>
    <t>袁海涛, 魏章川</t>
  </si>
  <si>
    <t>F713.365.2/250</t>
  </si>
  <si>
    <t>978-7-111-66771-1</t>
  </si>
  <si>
    <t>序列式运营: 引爆成交的社群运营新模式</t>
  </si>
  <si>
    <t>老壹, 陈栋</t>
  </si>
  <si>
    <t>F713.365.2/251</t>
  </si>
  <si>
    <t>978-7-5692-6892-8</t>
  </si>
  <si>
    <t>社群营销策略与实战</t>
  </si>
  <si>
    <t>曹媛媛</t>
  </si>
  <si>
    <t>F713.365.2/252</t>
  </si>
  <si>
    <t>978-7-302-59354-6</t>
  </si>
  <si>
    <t>新媒体营销学</t>
  </si>
  <si>
    <t>IMS (天下秀) 新媒体商业集团</t>
  </si>
  <si>
    <t>F713.365.2/253</t>
  </si>
  <si>
    <t>978-7-115-50326-8</t>
  </si>
  <si>
    <t>微商团队系统化运营实操秘籍: 快速搭建微商团队自动运转体系</t>
  </si>
  <si>
    <t>金迹人</t>
  </si>
  <si>
    <t>F713.365.2/254</t>
  </si>
  <si>
    <t>978-7-115-57260-8</t>
  </si>
  <si>
    <t>小红书全攻略: 平台操作＋内容创作＋直播转化＋运营推广</t>
  </si>
  <si>
    <t>王斐</t>
  </si>
  <si>
    <t>F713.365.2/255</t>
  </si>
  <si>
    <t>978-7-5661-3242-0</t>
  </si>
  <si>
    <t>新媒体营销</t>
  </si>
  <si>
    <t>杨若莹, 张卫林, 陈琪</t>
  </si>
  <si>
    <t>F713.365.2/256</t>
  </si>
  <si>
    <t>978-7-5115-6629-4</t>
  </si>
  <si>
    <t>直播这么做</t>
  </si>
  <si>
    <t>刘仕杰</t>
  </si>
  <si>
    <t>F713.365.2/257</t>
  </si>
  <si>
    <t>978-7-5511-5152-8</t>
  </si>
  <si>
    <t>互联网+新零售</t>
  </si>
  <si>
    <t>杨赵进, 徐育渊</t>
  </si>
  <si>
    <t>F713.365.2/258</t>
  </si>
  <si>
    <t>978-7-5139-3227-1</t>
  </si>
  <si>
    <t>直播电商</t>
  </si>
  <si>
    <t>王辉</t>
  </si>
  <si>
    <t>F713.365.2/259</t>
  </si>
  <si>
    <t>社群营销</t>
  </si>
  <si>
    <t>F713.365.2/260</t>
  </si>
  <si>
    <t>F713.365.2/261</t>
  </si>
  <si>
    <t>抖商运营实战</t>
  </si>
  <si>
    <t>F713.365.2/262</t>
  </si>
  <si>
    <t>下沉市场营销</t>
  </si>
  <si>
    <t>F713.365.2/263</t>
  </si>
  <si>
    <t>978-7-115-56595-2</t>
  </si>
  <si>
    <t>短视频营销与运营</t>
  </si>
  <si>
    <t>李朝辉, 程兆兆, 郝倩</t>
  </si>
  <si>
    <t>F713.365.2/264</t>
  </si>
  <si>
    <t>978-7-5108-9443-5</t>
  </si>
  <si>
    <t>O2O商业模式接受行为及决策博弈研究</t>
  </si>
  <si>
    <t>王东</t>
  </si>
  <si>
    <t>F713.365.2/265</t>
  </si>
  <si>
    <t>978-7-5164-2316-5</t>
  </si>
  <si>
    <t>数字品牌: 新商业、新媒体与新口碑</t>
  </si>
  <si>
    <t>F713.365.2/266</t>
  </si>
  <si>
    <t>978-7-115-56551-8</t>
  </si>
  <si>
    <t>跨境电商实务</t>
  </si>
  <si>
    <t>李颖芬, 龚奇</t>
  </si>
  <si>
    <t>F713.365/431</t>
  </si>
  <si>
    <t>978-7-5359-7660-4</t>
  </si>
  <si>
    <t>农村电商职业经理人</t>
  </si>
  <si>
    <t>F713.365/432</t>
  </si>
  <si>
    <t>978-7-111-67206-7</t>
  </si>
  <si>
    <t>用户合伙制: 社交零售运营与激励手册</t>
  </si>
  <si>
    <t>姜博仁</t>
  </si>
  <si>
    <t>F713.365/433</t>
  </si>
  <si>
    <t>978-7-115-52868-1</t>
  </si>
  <si>
    <t>AI营销与消费者行为预测</t>
  </si>
  <si>
    <t>(美) 史蒂文·斯特鲁尔</t>
  </si>
  <si>
    <t>F713.5/76</t>
  </si>
  <si>
    <t>978-7-5682-8749-4</t>
  </si>
  <si>
    <t>市场营销理论与实务</t>
  </si>
  <si>
    <t>余爱云, 刘列转</t>
  </si>
  <si>
    <t>F713.50/1033</t>
  </si>
  <si>
    <t>978-7-5682-8755-5</t>
  </si>
  <si>
    <t>市场营销</t>
  </si>
  <si>
    <t>高中玖, 毕思勇</t>
  </si>
  <si>
    <t>F713.50/1034=2D</t>
  </si>
  <si>
    <t>978-7-5763-0146-5</t>
  </si>
  <si>
    <t>现代市场营销学</t>
  </si>
  <si>
    <t>郭元</t>
  </si>
  <si>
    <t>F713.50/1035</t>
  </si>
  <si>
    <t>978-7-5578-8606-6</t>
  </si>
  <si>
    <t>现代市场营销理论与案例分析</t>
  </si>
  <si>
    <t>李丹, 周小波, 余敏</t>
  </si>
  <si>
    <t>F713.50/1036</t>
  </si>
  <si>
    <t>978-7-5639-7428-3</t>
  </si>
  <si>
    <t>大数据时代的营销管理创新研究</t>
  </si>
  <si>
    <t>高芳</t>
  </si>
  <si>
    <t>F713.50/1037</t>
  </si>
  <si>
    <t>978-7-5671-3963-3</t>
  </si>
  <si>
    <t>定位理论过时了吗?: 基于历史、理论、实践和观念的探讨</t>
  </si>
  <si>
    <t>乐易</t>
  </si>
  <si>
    <t>F713.50/1038</t>
  </si>
  <si>
    <t>978-7-5504-4993-0</t>
  </si>
  <si>
    <t>市场营销案例与分析</t>
  </si>
  <si>
    <t>陈勇</t>
  </si>
  <si>
    <t>F713.50/1039</t>
  </si>
  <si>
    <t>978-7-5692-8594-9</t>
  </si>
  <si>
    <t>口碑营销的宏微观效应研究</t>
  </si>
  <si>
    <t>赖胜强, 唐雪梅</t>
  </si>
  <si>
    <t>F713.50/1040</t>
  </si>
  <si>
    <t>爆品营销</t>
  </si>
  <si>
    <t>钮诗桐</t>
  </si>
  <si>
    <t>F713.50/1041</t>
  </si>
  <si>
    <t>F713.50/1041-2</t>
  </si>
  <si>
    <t>978-7-5639-6996-8</t>
  </si>
  <si>
    <t>新时期市场营销战略与管理创新研究</t>
  </si>
  <si>
    <t>杜军燕</t>
  </si>
  <si>
    <t>F713.50/1042</t>
  </si>
  <si>
    <t>978-7-5693-1071-9</t>
  </si>
  <si>
    <t>张巍</t>
  </si>
  <si>
    <t>F713.50/1043</t>
  </si>
  <si>
    <t>从零开始读懂营销学</t>
  </si>
  <si>
    <t>F713.50/1045</t>
  </si>
  <si>
    <t>978-7-111-69066-5</t>
  </si>
  <si>
    <t>消费者行为学</t>
  </si>
  <si>
    <t>周欣悦</t>
  </si>
  <si>
    <t>F713.55/240=2D</t>
  </si>
  <si>
    <t>978-7-115-57201-1</t>
  </si>
  <si>
    <t>消费者行为分析</t>
  </si>
  <si>
    <t>惠亚爱</t>
  </si>
  <si>
    <t>F713.55/311</t>
  </si>
  <si>
    <t>978-7-5682-9431-7</t>
  </si>
  <si>
    <t>消费者行为分析实务</t>
  </si>
  <si>
    <t>F713.55/312</t>
  </si>
  <si>
    <t>978-7-209-12644-1</t>
  </si>
  <si>
    <t>不购买的习惯</t>
  </si>
  <si>
    <t>(日) 金子由纪子</t>
  </si>
  <si>
    <t>山东人民出版社</t>
  </si>
  <si>
    <t>F713.55/313</t>
  </si>
  <si>
    <t>978-7-5671-4378-4</t>
  </si>
  <si>
    <t>品牌联名战略对消费者影响的实证研究</t>
  </si>
  <si>
    <t>张可</t>
  </si>
  <si>
    <t>F713.55/314</t>
  </si>
  <si>
    <t>978-7-115-57814-3</t>
  </si>
  <si>
    <t>费明胜, 杨伊侬</t>
  </si>
  <si>
    <t>F713.55/315=3D</t>
  </si>
  <si>
    <t>978-7-5164-2283-0</t>
  </si>
  <si>
    <t>营销管理: 新媒体、新零售与新营销</t>
  </si>
  <si>
    <t>F713.56/27</t>
  </si>
  <si>
    <t>978-7-305-24563-3</t>
  </si>
  <si>
    <t>广告文案与创意</t>
  </si>
  <si>
    <t>秦崇伟</t>
  </si>
  <si>
    <t>F713.8/294</t>
  </si>
  <si>
    <t>978-7-111-67400-9</t>
  </si>
  <si>
    <t>微文案: 直播、短视频、朋友圈、海报文案写作指南</t>
  </si>
  <si>
    <t>流年小筑</t>
  </si>
  <si>
    <t>F713.8/295</t>
  </si>
  <si>
    <t>978-7-5192-6690-5</t>
  </si>
  <si>
    <t>上海近代广告史研究</t>
  </si>
  <si>
    <t>杨海军</t>
  </si>
  <si>
    <t>F713.8/296</t>
  </si>
  <si>
    <t>978-7-5682-9182-8</t>
  </si>
  <si>
    <t>广告原理与实务</t>
  </si>
  <si>
    <t>曹云明, 秦晓庆</t>
  </si>
  <si>
    <t>F713.80/229</t>
  </si>
  <si>
    <t>创意文案</t>
  </si>
  <si>
    <t>朱雁</t>
  </si>
  <si>
    <t>F713.812/34</t>
  </si>
  <si>
    <t>F713.812/34-2</t>
  </si>
  <si>
    <t>978-7-5682-8468-4</t>
  </si>
  <si>
    <t>顶尖文案: 现代广告之父的文案写作技巧</t>
  </si>
  <si>
    <t>(美) 克劳德·霍普金斯</t>
  </si>
  <si>
    <t>F713.812/35</t>
  </si>
  <si>
    <t>978-7-5596-4468-8</t>
  </si>
  <si>
    <t>爆款文案与营销策略</t>
  </si>
  <si>
    <t>峮璘</t>
  </si>
  <si>
    <t>F713.812/36</t>
  </si>
  <si>
    <t>实用文案+活动策划</t>
  </si>
  <si>
    <t>王潇</t>
  </si>
  <si>
    <t>F713.812/38</t>
  </si>
  <si>
    <t>978-7-5615-8065-3</t>
  </si>
  <si>
    <t>中国大陆报刊公益广告发展研究: 1986-2018</t>
  </si>
  <si>
    <t>赖祯黎</t>
  </si>
  <si>
    <t>F713.842/3</t>
  </si>
  <si>
    <t>978-7-5682-8886-6</t>
  </si>
  <si>
    <t>网络广告制作</t>
  </si>
  <si>
    <t>王亚娟, 刘小榴</t>
  </si>
  <si>
    <t>F713.852/17</t>
  </si>
  <si>
    <t>978-7-115-56125-1</t>
  </si>
  <si>
    <t>网络与新媒体广告</t>
  </si>
  <si>
    <t>乔晓娜, 莫黎</t>
  </si>
  <si>
    <t>F713.852/18</t>
  </si>
  <si>
    <t>978-7-5561-2580-7</t>
  </si>
  <si>
    <t>品牌视觉传播与创意设计典型案例评析</t>
  </si>
  <si>
    <t>F713.86/9</t>
  </si>
  <si>
    <t>978-7-302-59673-8</t>
  </si>
  <si>
    <t>商务谈判实训</t>
  </si>
  <si>
    <t>吕亮</t>
  </si>
  <si>
    <t>F715.4/180</t>
  </si>
  <si>
    <t>978-7-5096-7583-0</t>
  </si>
  <si>
    <t>商务谈判与礼仪</t>
  </si>
  <si>
    <t>李晓明</t>
  </si>
  <si>
    <t>F715.4/181</t>
  </si>
  <si>
    <t>978-7-5682-8400-4</t>
  </si>
  <si>
    <t>商务谈判实务</t>
  </si>
  <si>
    <t>滕凤英, 冯文静</t>
  </si>
  <si>
    <t>F715.4/182</t>
  </si>
  <si>
    <t>978-7-5612-7001-1</t>
  </si>
  <si>
    <t>现代商务谈判语言艺术研究</t>
  </si>
  <si>
    <t>胡亚西, 王金花, 曹春红</t>
  </si>
  <si>
    <t>F715.4/183</t>
  </si>
  <si>
    <t>978-7-5168-2785-7</t>
  </si>
  <si>
    <t>优势谈判: 商务洽谈致胜秘诀</t>
  </si>
  <si>
    <t>朱坤福</t>
  </si>
  <si>
    <t>F715.4/184</t>
  </si>
  <si>
    <t>978-7-121-41407-7</t>
  </si>
  <si>
    <t>电商会计从入门到精通</t>
  </si>
  <si>
    <t>韩坤珏</t>
  </si>
  <si>
    <t>F715.51/51</t>
  </si>
  <si>
    <t>978-7-111-69607-0</t>
  </si>
  <si>
    <t>商务与管理沟通</t>
  </si>
  <si>
    <t xml:space="preserve">(美) 基蒂 O. 洛克 ...  </t>
  </si>
  <si>
    <t>F715/76-4</t>
  </si>
  <si>
    <t>978-7-5682-6783-0</t>
  </si>
  <si>
    <t>汽车4S店运营与管理</t>
  </si>
  <si>
    <t>赵海宾, 王爱兵</t>
  </si>
  <si>
    <t>F717.5/62</t>
  </si>
  <si>
    <t>978-7-5612-6790-5</t>
  </si>
  <si>
    <t>现代商务礼仪之美与商务谈判</t>
  </si>
  <si>
    <t>王丽霞</t>
  </si>
  <si>
    <t>F718/164</t>
  </si>
  <si>
    <t>978-7-5723-0815-4</t>
  </si>
  <si>
    <t>商务礼仪实用教程</t>
  </si>
  <si>
    <t>王燕, 李聪聪, 李文婷</t>
  </si>
  <si>
    <t>F718/165</t>
  </si>
  <si>
    <t>978-7-5504-5067-7</t>
  </si>
  <si>
    <t>酒店会计</t>
  </si>
  <si>
    <t>王磊, 倪璇</t>
  </si>
  <si>
    <t>F719.2/456</t>
  </si>
  <si>
    <t>978-7-5685-2786-6</t>
  </si>
  <si>
    <t>VIP服务设计与接待实务</t>
  </si>
  <si>
    <t>曾丹</t>
  </si>
  <si>
    <t>F719.2/457</t>
  </si>
  <si>
    <t>978-7-5578-7789-7</t>
  </si>
  <si>
    <t>新时期酒店管理理论与实务研究</t>
  </si>
  <si>
    <t>张瑜</t>
  </si>
  <si>
    <t>F719.2/458</t>
  </si>
  <si>
    <t>978-7-115-53663-1</t>
  </si>
  <si>
    <t>以客户为中心: 服务重塑酒店竞争力</t>
  </si>
  <si>
    <t>张川, 郭庆</t>
  </si>
  <si>
    <t>F719.2/459</t>
  </si>
  <si>
    <t>978-7-5578-6976-2</t>
  </si>
  <si>
    <t>民宿</t>
  </si>
  <si>
    <t>张素梅, 王祖良, 谢雨萍</t>
  </si>
  <si>
    <t>F719.2/460</t>
  </si>
  <si>
    <t>978-7-5472-6933-6</t>
  </si>
  <si>
    <t>酒店服务礼仪的规范与培训研究</t>
  </si>
  <si>
    <t>罗晓黎</t>
  </si>
  <si>
    <t>F719.2/461</t>
  </si>
  <si>
    <t>978-7-5581-9403-0</t>
  </si>
  <si>
    <t>酒店管理服务研究</t>
  </si>
  <si>
    <t>刘晓刚</t>
  </si>
  <si>
    <t>F719.2/462</t>
  </si>
  <si>
    <t>978-7-115-53307-4</t>
  </si>
  <si>
    <t>经济型酒店精细化运营实战手册</t>
  </si>
  <si>
    <t>瑞亚酒店管理学院</t>
  </si>
  <si>
    <t>F719.2-62/13</t>
  </si>
  <si>
    <t>978-7-5096-5419-4</t>
  </si>
  <si>
    <t>中华餐饮老字号</t>
  </si>
  <si>
    <t>朱莉</t>
  </si>
  <si>
    <t>F719.3/372</t>
  </si>
  <si>
    <t>978-7-115-52898-8</t>
  </si>
  <si>
    <t>餐饮企业成本控制1+1实战手册</t>
  </si>
  <si>
    <t>孙勇兴</t>
  </si>
  <si>
    <t>F719.3/373</t>
  </si>
  <si>
    <t>978-7-115-50861-4</t>
  </si>
  <si>
    <t>餐饮店铺设计与营销从入门到精通</t>
  </si>
  <si>
    <t>餐饮老板内参</t>
  </si>
  <si>
    <t>F719.3/374</t>
  </si>
  <si>
    <t>978-7-115-55227-3</t>
  </si>
  <si>
    <t>餐饮新思维: 以用户为中心做餐饮</t>
  </si>
  <si>
    <t>白秀峰</t>
  </si>
  <si>
    <t>F719.3/375</t>
  </si>
  <si>
    <t>978-7-5592-0389-2</t>
  </si>
  <si>
    <t>世界梦幻面包店</t>
  </si>
  <si>
    <t>日本株式会社无限知识</t>
  </si>
  <si>
    <t>北京美术摄影出版社</t>
  </si>
  <si>
    <t>F719.3/376</t>
  </si>
  <si>
    <t>978-7-5207-1869-1</t>
  </si>
  <si>
    <t>不可战胜的夫妻店: 咖喱店CoCo壱番屋</t>
  </si>
  <si>
    <t>(日) 宗次德二</t>
  </si>
  <si>
    <t>F719.3/377</t>
  </si>
  <si>
    <t>978-7-115-53837-6</t>
  </si>
  <si>
    <t>餐饮业外卖管理一本通: 外卖订单+配送+安全+投诉管理</t>
  </si>
  <si>
    <t>F719.3/378</t>
  </si>
  <si>
    <t>978-7-5207-2126-4</t>
  </si>
  <si>
    <t>餐饮旺店就是这样“设计”出来的</t>
  </si>
  <si>
    <t>(日) 大西良典</t>
  </si>
  <si>
    <t>F719.3/379</t>
  </si>
  <si>
    <t>978-7-5207-0127-3</t>
  </si>
  <si>
    <t>餐饮创业实战. 1. 来, 开家小小餐饮店</t>
  </si>
  <si>
    <t>(日) 土屋光正</t>
  </si>
  <si>
    <t>F719.3/380/1</t>
  </si>
  <si>
    <t>978-7-5207-0126-6</t>
  </si>
  <si>
    <t>餐饮创业实战. 3. 人气旺店是这样做成的!</t>
  </si>
  <si>
    <t>(日) 藤冈千穗子</t>
  </si>
  <si>
    <t>F719.3/380/3</t>
  </si>
  <si>
    <t>978-7-5207-0165-5</t>
  </si>
  <si>
    <t>餐饮创业实战. 4. 三个菜品就能打造一家旺店</t>
  </si>
  <si>
    <t>(日) 宇野隆史</t>
  </si>
  <si>
    <t>F719.3/380/4</t>
  </si>
  <si>
    <t>978-7-5207-0167-9</t>
  </si>
  <si>
    <t>餐饮创业实战. 6. 喜气的店客常来, 快乐的人福必至</t>
  </si>
  <si>
    <t>F719.3/380/6</t>
  </si>
  <si>
    <t>978-7-5207-2369-5</t>
  </si>
  <si>
    <t>优秀餐饮店长的11堂必修课</t>
  </si>
  <si>
    <t>(日) 田中司朗</t>
  </si>
  <si>
    <t>F719.3/381</t>
  </si>
  <si>
    <t>978-7-115-56032-2</t>
  </si>
  <si>
    <t>餐饮企业会员运营实战指南: 体系搭建+操作实务+案例解析</t>
  </si>
  <si>
    <t>王紫剑</t>
  </si>
  <si>
    <t>F719.3/382</t>
  </si>
  <si>
    <t>978-7-5439-7925-3</t>
  </si>
  <si>
    <t>餐饮源全管理系统</t>
  </si>
  <si>
    <t>谭淑玲</t>
  </si>
  <si>
    <t>F719.3/383</t>
  </si>
  <si>
    <t>978-7-5648-3761-7</t>
  </si>
  <si>
    <t>休闲概论</t>
  </si>
  <si>
    <t>李晖</t>
  </si>
  <si>
    <t>湖南师范大学出版社</t>
  </si>
  <si>
    <t>F719.5/21</t>
  </si>
  <si>
    <t>978-7-5690-4486-7</t>
  </si>
  <si>
    <t>中国白酒老字号</t>
  </si>
  <si>
    <t>廖国强, 王余</t>
  </si>
  <si>
    <t>F721.8/34</t>
  </si>
  <si>
    <t>978-7-5578-8124-5</t>
  </si>
  <si>
    <t>现代商业经济发展研究</t>
  </si>
  <si>
    <t>曹颖</t>
  </si>
  <si>
    <t>F722.9/4</t>
  </si>
  <si>
    <t>978-7-5194-5983-3</t>
  </si>
  <si>
    <t>中国新型城镇化背景下农民市场参与: 影响因素、渠道机制及其政策研究</t>
  </si>
  <si>
    <t>孙定东</t>
  </si>
  <si>
    <t>F723.82/10</t>
  </si>
  <si>
    <t>978-7-5639-7594-5</t>
  </si>
  <si>
    <t>我国现代流通业的发展与变革研究</t>
  </si>
  <si>
    <t>唐桂</t>
  </si>
  <si>
    <t>F723/14</t>
  </si>
  <si>
    <t>978-7-5201-9187-6</t>
  </si>
  <si>
    <t>中国区块链发展报告. 2021</t>
  </si>
  <si>
    <t>姚前</t>
  </si>
  <si>
    <t>F724.6/140/2021</t>
  </si>
  <si>
    <t>978-7-5096-7551-9</t>
  </si>
  <si>
    <t>中国电子商务的发展特征及其效应研究</t>
  </si>
  <si>
    <t>董国芳</t>
  </si>
  <si>
    <t>F724.6/200</t>
  </si>
  <si>
    <t>978-7-5639-6480-2</t>
  </si>
  <si>
    <t>跨境电子商务发展研究</t>
  </si>
  <si>
    <t>谢蓉</t>
  </si>
  <si>
    <t>F724.6/201</t>
  </si>
  <si>
    <t>978-7-5359-7658-1</t>
  </si>
  <si>
    <t>农产品社群营销</t>
  </si>
  <si>
    <t>F724.72/24</t>
  </si>
  <si>
    <t>978-7-5578-8118-4</t>
  </si>
  <si>
    <t>基于物联网的“农超对接”的物流体系研究</t>
  </si>
  <si>
    <t>孙琪恒</t>
  </si>
  <si>
    <t>F724.72/25</t>
  </si>
  <si>
    <t>978-7-5576-7246-1</t>
  </si>
  <si>
    <t>网上销售农产品</t>
  </si>
  <si>
    <t>牟劲, 李学国</t>
  </si>
  <si>
    <t>F724.72/26</t>
  </si>
  <si>
    <t>978-7-5424-2802-8</t>
  </si>
  <si>
    <t>从零打造爆款网红农产品: 从“土味山货”到“网红尖货”</t>
  </si>
  <si>
    <t>F724.72/27</t>
  </si>
  <si>
    <t>978-7-5690-3070-9</t>
  </si>
  <si>
    <t>中国四十年价格改革研究</t>
  </si>
  <si>
    <t>蒋和胜, 曾兴, 李小瑜</t>
  </si>
  <si>
    <t>F726.1/2</t>
  </si>
  <si>
    <t>978-7-5520-3045-7</t>
  </si>
  <si>
    <t>中国生产性服务业与制造业的互动融合: 理论分析与经验研究</t>
  </si>
  <si>
    <t>王玉玲</t>
  </si>
  <si>
    <t>F726.9/28</t>
  </si>
  <si>
    <t>978-7-5178-4120-3</t>
  </si>
  <si>
    <t>数字经济时代的服务业与城市国际化</t>
  </si>
  <si>
    <t>汪欢欢</t>
  </si>
  <si>
    <t>浙江工商大学出版社</t>
  </si>
  <si>
    <t>F726.9/29</t>
  </si>
  <si>
    <t>978-7-5647-8284-9</t>
  </si>
  <si>
    <t>中国养老产业投资的商业模式研究</t>
  </si>
  <si>
    <t>孙智慧</t>
  </si>
  <si>
    <t>F726.99/10</t>
  </si>
  <si>
    <t>978-7-5108-9862-4</t>
  </si>
  <si>
    <t>康养产业融合发展内在机理与实施路径研究</t>
  </si>
  <si>
    <t>肖亮</t>
  </si>
  <si>
    <t>F726.99/8</t>
  </si>
  <si>
    <t>978-7-5225-0277-9</t>
  </si>
  <si>
    <t>我国民营养老服务业财政政策性投融资模式研究</t>
  </si>
  <si>
    <t>李小兰</t>
  </si>
  <si>
    <t>F726.99/9</t>
  </si>
  <si>
    <t>978-7-5361-6646-2</t>
  </si>
  <si>
    <t>近代中国商人与商会</t>
  </si>
  <si>
    <t>朱英</t>
  </si>
  <si>
    <t>广东高等教育出版社</t>
  </si>
  <si>
    <t>F729.5/16</t>
  </si>
  <si>
    <t>978-7-208-13634-2</t>
  </si>
  <si>
    <t>上海总商会纪事: 综述</t>
  </si>
  <si>
    <t>徐惠明</t>
  </si>
  <si>
    <t>F729.6/11/1</t>
  </si>
  <si>
    <t>上海总商会纪事: 史迹寻踪</t>
  </si>
  <si>
    <t>F729.6/11/2</t>
  </si>
  <si>
    <t>上海总商会纪事: 人物寻踪</t>
  </si>
  <si>
    <t>F729.6/11/3</t>
  </si>
  <si>
    <t>978-7-5473-1664-1</t>
  </si>
  <si>
    <t>中国商业史</t>
  </si>
  <si>
    <t>王孝通</t>
  </si>
  <si>
    <t>F729/17-2</t>
  </si>
  <si>
    <t>978-7-5462-3349-9</t>
  </si>
  <si>
    <t>星槎万里: 广州十三行故事</t>
  </si>
  <si>
    <t xml:space="preserve">广东省文学艺术界联合会 ...  </t>
  </si>
  <si>
    <t>广州出版社</t>
  </si>
  <si>
    <t>F729/79</t>
  </si>
  <si>
    <t>978-7-310-05687-3</t>
  </si>
  <si>
    <t>美国贸易政策专题研究</t>
  </si>
  <si>
    <t>何永江</t>
  </si>
  <si>
    <t>F737.120/2</t>
  </si>
  <si>
    <t>978-7-111-65524-4</t>
  </si>
  <si>
    <t>国际贸易学</t>
  </si>
  <si>
    <t>徐松</t>
  </si>
  <si>
    <t>F74/140</t>
  </si>
  <si>
    <t>978-7-5639-7198-5</t>
  </si>
  <si>
    <t>跨境电子商务背景下国际贸易实务研究</t>
  </si>
  <si>
    <t>王廿重, 李雨佳</t>
  </si>
  <si>
    <t>F74/141</t>
  </si>
  <si>
    <t>978-7-5164-2456-8</t>
  </si>
  <si>
    <t>国际贸易与投资前沿问题研究</t>
  </si>
  <si>
    <t>连增</t>
  </si>
  <si>
    <t>F74/142</t>
  </si>
  <si>
    <t>978-7-5654-4077-9</t>
  </si>
  <si>
    <t>国际市场营销学: 原理与案例</t>
  </si>
  <si>
    <t>王朝辉</t>
  </si>
  <si>
    <t>F740.2/85=3D</t>
  </si>
  <si>
    <t>978-7-5618-6973-4</t>
  </si>
  <si>
    <t>国际贸易实务</t>
  </si>
  <si>
    <t>成喜玲, 孙林霞</t>
  </si>
  <si>
    <t>天津大学出版社</t>
  </si>
  <si>
    <t>F740.4/235-2</t>
  </si>
  <si>
    <t>978-7-5663-2177-0</t>
  </si>
  <si>
    <t>国际贸易实务: 英文版</t>
  </si>
  <si>
    <t>帅建林</t>
  </si>
  <si>
    <t>F740.4/27=4D</t>
  </si>
  <si>
    <t>978-7-5504-4494-2</t>
  </si>
  <si>
    <t>帅建林, 周媛媛</t>
  </si>
  <si>
    <t>F740.4/27=5D</t>
  </si>
  <si>
    <t>978-7-5669-1906-9</t>
  </si>
  <si>
    <t>商务英语教程: 进出口贸易实务</t>
  </si>
  <si>
    <t>束光辉, 张丽</t>
  </si>
  <si>
    <t>F740.4/272</t>
  </si>
  <si>
    <t>978-7-5763-0044-4</t>
  </si>
  <si>
    <t>外贸跟单操作</t>
  </si>
  <si>
    <t>孙春媛, 胡坚达</t>
  </si>
  <si>
    <t>F740.4/273</t>
  </si>
  <si>
    <t>978-7-5663-2165-7</t>
  </si>
  <si>
    <t>马祯, 毛青</t>
  </si>
  <si>
    <t>F740.4/274=2D</t>
  </si>
  <si>
    <t>978-7-5682-8625-1</t>
  </si>
  <si>
    <t>外贸跟单实务</t>
  </si>
  <si>
    <t>杨芬, 章雁峰</t>
  </si>
  <si>
    <t>F740.4/275</t>
  </si>
  <si>
    <t>978-7-5654-4141-7</t>
  </si>
  <si>
    <t>国际贸易实务: 理实一体化教程</t>
  </si>
  <si>
    <t>崔大巍, 孙玉萍</t>
  </si>
  <si>
    <t>F740.4/276=2D</t>
  </si>
  <si>
    <t>978-7-5663-2180-0</t>
  </si>
  <si>
    <t>黎孝先, 石玉川, 王健</t>
  </si>
  <si>
    <t>F740.4/82=7D</t>
  </si>
  <si>
    <t>978-7-5096-7611-0</t>
  </si>
  <si>
    <t>国际商务案例选编与详解</t>
  </si>
  <si>
    <t>马海英, 孙雅健</t>
  </si>
  <si>
    <t>F740/208</t>
  </si>
  <si>
    <t>978-7-5607-7159-5</t>
  </si>
  <si>
    <t>国际商务传播与交流探究</t>
  </si>
  <si>
    <t>夏运彬</t>
  </si>
  <si>
    <t>F740/209</t>
  </si>
  <si>
    <t>978-7-5639-6998-2</t>
  </si>
  <si>
    <t>区域经济与国际贸易研究</t>
  </si>
  <si>
    <t>张天颖</t>
  </si>
  <si>
    <t>F740/210</t>
  </si>
  <si>
    <t>978-7-5639-7234-0</t>
  </si>
  <si>
    <t>文化视角转换与国际商务英语翻译研究</t>
  </si>
  <si>
    <t>李素芬</t>
  </si>
  <si>
    <t>F740/211</t>
  </si>
  <si>
    <t>978-7-5632-4179-8</t>
  </si>
  <si>
    <t>国际商贸函电</t>
  </si>
  <si>
    <t>魏巍</t>
  </si>
  <si>
    <t>F740/212</t>
  </si>
  <si>
    <t>978-7-01-023948-4</t>
  </si>
  <si>
    <t>中国“入世”简说</t>
  </si>
  <si>
    <t>杨国华</t>
  </si>
  <si>
    <t>F743/155</t>
  </si>
  <si>
    <t>978-7-5682-9416-4</t>
  </si>
  <si>
    <t>国际服务贸易</t>
  </si>
  <si>
    <t>易瑾超</t>
  </si>
  <si>
    <t>F746.18/25</t>
  </si>
  <si>
    <t>978-7-5578-8055-2</t>
  </si>
  <si>
    <t>新常态背景下中国国际服务贸易发展研究</t>
  </si>
  <si>
    <t>杨文婧</t>
  </si>
  <si>
    <t>F746.18/26</t>
  </si>
  <si>
    <t>978-7-108-07279-5</t>
  </si>
  <si>
    <t>走私: 七个世纪的非法携运</t>
  </si>
  <si>
    <t>(挪) 西蒙·哈维</t>
  </si>
  <si>
    <t>F749/9</t>
  </si>
  <si>
    <t>978-7-5639-7747-5</t>
  </si>
  <si>
    <t>外贸英语语言特点与翻译研究</t>
  </si>
  <si>
    <t>张晓冬, 王媛</t>
  </si>
  <si>
    <t>F75/21</t>
  </si>
  <si>
    <t>978-7-5664-2090-9</t>
  </si>
  <si>
    <t>外贸函电与单证实训教程</t>
  </si>
  <si>
    <t>李奕华</t>
  </si>
  <si>
    <t>F75/22=2D</t>
  </si>
  <si>
    <t>978-7-5692-8497-3</t>
  </si>
  <si>
    <t>FTA的贸易效应及其对推进全球经济的启示: 以中韩FTA为例</t>
  </si>
  <si>
    <t>孔相宜</t>
  </si>
  <si>
    <t>F752.4/9</t>
  </si>
  <si>
    <t>978-7-5763-0621-7</t>
  </si>
  <si>
    <t>外贸报关实务</t>
  </si>
  <si>
    <t>王巾, 刘秋民</t>
  </si>
  <si>
    <t>F752.5/100</t>
  </si>
  <si>
    <t>978-7-313-25712-3</t>
  </si>
  <si>
    <t>13-14世纪高丽和元朝的贸易史</t>
  </si>
  <si>
    <t>(韩) 李康汉</t>
  </si>
  <si>
    <t>F752.731/2</t>
  </si>
  <si>
    <t>978-7-5164-2265-6</t>
  </si>
  <si>
    <t>中国对外贸易概论</t>
  </si>
  <si>
    <t>阎志军</t>
  </si>
  <si>
    <t>F752/158-2</t>
  </si>
  <si>
    <t>978-7-5096-8243-2</t>
  </si>
  <si>
    <t>中国双边自由贸易区发展研究</t>
  </si>
  <si>
    <t>杨军红</t>
  </si>
  <si>
    <t>F752/159</t>
  </si>
  <si>
    <t>978-7-5682-9563-5</t>
  </si>
  <si>
    <t>商品学</t>
  </si>
  <si>
    <t>申纲领</t>
  </si>
  <si>
    <t>F76/61=4D</t>
  </si>
  <si>
    <t>978-7-5642-3336-5</t>
  </si>
  <si>
    <t>奢侈品史: 1600-2000</t>
  </si>
  <si>
    <t>(德) 贝恩德-施特凡·格鲁, (荷) 卡琳·霍夫米斯特</t>
  </si>
  <si>
    <t>F76/80</t>
  </si>
  <si>
    <t>978-7-111-67656-0</t>
  </si>
  <si>
    <t>陈文汉</t>
  </si>
  <si>
    <t>F76/81=2D</t>
  </si>
  <si>
    <t>978-7-5359-7663-5</t>
  </si>
  <si>
    <t>农产品供应链管理与物流管理</t>
  </si>
  <si>
    <t>F762/16</t>
  </si>
  <si>
    <t>978-7-5682-9371-6</t>
  </si>
  <si>
    <t>财政与金融</t>
  </si>
  <si>
    <t>郭丹, 李根红</t>
  </si>
  <si>
    <t>F8/50</t>
  </si>
  <si>
    <t>978-7-5429-6883-8</t>
  </si>
  <si>
    <t>税收筹划基础</t>
  </si>
  <si>
    <t>韩海敏</t>
  </si>
  <si>
    <t>F810.423/106</t>
  </si>
  <si>
    <t>978-7-115-58080-1</t>
  </si>
  <si>
    <t>政府会计制度实务操作应用指南: 条文解读+实操要点+案例解析</t>
  </si>
  <si>
    <t>政府会计制度审委员会</t>
  </si>
  <si>
    <t>F810.6/136=2D</t>
  </si>
  <si>
    <t>978-7-115-57934-8</t>
  </si>
  <si>
    <t>政府会计制度实务案例详解: 科目使用规则+会计分录编制+特殊业务处理</t>
  </si>
  <si>
    <t>F810.6/137=2D</t>
  </si>
  <si>
    <t>978-7-115-56002-5</t>
  </si>
  <si>
    <t>政府会计制度详解与实务: 条文解读+实务应用+案例讲解</t>
  </si>
  <si>
    <t>F810.6/91=2D</t>
  </si>
  <si>
    <t>978-7-5642-3880-3</t>
  </si>
  <si>
    <t>税务会计: 应用·技能·案例·实训</t>
  </si>
  <si>
    <t>李贺, 宫福民, 孙慧玲</t>
  </si>
  <si>
    <t>F810.62/31=2D</t>
  </si>
  <si>
    <t>978-7-5429-6913-2</t>
  </si>
  <si>
    <t>知行合一: 财税大学生创新实践论文集</t>
  </si>
  <si>
    <t>王亭, 彭煅炼</t>
  </si>
  <si>
    <t>F810/151</t>
  </si>
  <si>
    <t>978-7-111-66093-4</t>
  </si>
  <si>
    <t>政府采购实务与热点答疑360问</t>
  </si>
  <si>
    <t>张志军, 白如银, 邵月娥</t>
  </si>
  <si>
    <t>F812.2/91</t>
  </si>
  <si>
    <t>978-7-115-55981-4</t>
  </si>
  <si>
    <t>政府会计制度主要业务与事项账务处理实务详解</t>
  </si>
  <si>
    <t>F812.3/37=2D</t>
  </si>
  <si>
    <t>978-7-115-57973-7</t>
  </si>
  <si>
    <t>政府会计准则制度精解: 条文解析+案例分析+报表编制</t>
  </si>
  <si>
    <t>F812.3/46=2D</t>
  </si>
  <si>
    <t>978-7-5429-6644-5</t>
  </si>
  <si>
    <t>政府会计准则制度实务操作与案例解析</t>
  </si>
  <si>
    <t>政府会计准则制度审委员会</t>
  </si>
  <si>
    <t>F812.3/47</t>
  </si>
  <si>
    <t>978-7-5429-6451-9</t>
  </si>
  <si>
    <t>减税降费税收优惠政策解读与纳税筹划实战案例分析</t>
  </si>
  <si>
    <t>翟继光</t>
  </si>
  <si>
    <t>F812.422/101</t>
  </si>
  <si>
    <t>978-7-115-52689-2</t>
  </si>
  <si>
    <t>纳税实务</t>
  </si>
  <si>
    <t>戴锋, 母丹</t>
  </si>
  <si>
    <t>F812.423/293=2D</t>
  </si>
  <si>
    <t>978-7-5682-8581-0</t>
  </si>
  <si>
    <t>黄敏</t>
  </si>
  <si>
    <t>F812.423/294=3D</t>
  </si>
  <si>
    <t>978-7-5429-6524-0</t>
  </si>
  <si>
    <t>个人所得税与社保新政详解及实务操作指南: new deal detailed and practical operation guide</t>
  </si>
  <si>
    <t>F812.424/177</t>
  </si>
  <si>
    <t>978-7-5429-6578-3</t>
  </si>
  <si>
    <t>企业所得税纳税调整实务与案例: 2021年版</t>
  </si>
  <si>
    <t>F812.424/178</t>
  </si>
  <si>
    <t>978-7-5578-8146-7</t>
  </si>
  <si>
    <t>基于财政的基本公共服务均等化实现路径研究</t>
  </si>
  <si>
    <t>李素枝</t>
  </si>
  <si>
    <t>F812.45/25</t>
  </si>
  <si>
    <t>978-7-5476-1484-6</t>
  </si>
  <si>
    <t>中国印花税票图志: 《印花交流》精粹选编</t>
  </si>
  <si>
    <t>李德元, 焦继承</t>
  </si>
  <si>
    <t>上海远东出版社</t>
  </si>
  <si>
    <t>F812.95/3</t>
  </si>
  <si>
    <t>978-7-111-67834-2</t>
  </si>
  <si>
    <t>基于大智移云技术的财政数字化转型研究</t>
  </si>
  <si>
    <t xml:space="preserve">彭程 ...  </t>
  </si>
  <si>
    <t>F812/62</t>
  </si>
  <si>
    <t>978-7-5578-8114-6</t>
  </si>
  <si>
    <t>财政专项资金绩效评价分析研究</t>
  </si>
  <si>
    <t>林海帆, 马健, 扬帆</t>
  </si>
  <si>
    <t>F812/63</t>
  </si>
  <si>
    <t>978-7-5446-6387-8</t>
  </si>
  <si>
    <t>解析米尔顿·弗里德曼《货币政策的作用》</t>
  </si>
  <si>
    <t>Nick Broten</t>
  </si>
  <si>
    <t>F820.1/3</t>
  </si>
  <si>
    <t>978-7-5654-4052-6</t>
  </si>
  <si>
    <t>货币金融学</t>
  </si>
  <si>
    <t>陶芸, 刘姣华</t>
  </si>
  <si>
    <t>F820/101</t>
  </si>
  <si>
    <t>978-7-5096-8149-7</t>
  </si>
  <si>
    <t>货币与金融经济学</t>
  </si>
  <si>
    <t xml:space="preserve">张云 ...  </t>
  </si>
  <si>
    <t>F820/102</t>
  </si>
  <si>
    <t>978-7-5327-8315-1</t>
  </si>
  <si>
    <t>货币哲学</t>
  </si>
  <si>
    <t>(德) 格奥尔格·西美尔(Georg Simmel</t>
  </si>
  <si>
    <t>F820-02/3</t>
  </si>
  <si>
    <t>978-7-5075-5281-2</t>
  </si>
  <si>
    <t>货币大历史: 金融霸权与大国兴衰六百年</t>
  </si>
  <si>
    <t>(英) 威廉·阿瑟·肖</t>
  </si>
  <si>
    <t>F821.9/29</t>
  </si>
  <si>
    <t>978-7-5096-7526-7</t>
  </si>
  <si>
    <t>世界古国货币漫谈</t>
  </si>
  <si>
    <t>石俊志</t>
  </si>
  <si>
    <t>F821.9/30</t>
  </si>
  <si>
    <t>978-7-212-10816-8</t>
  </si>
  <si>
    <t>世界货币上的中国印记</t>
  </si>
  <si>
    <t>杜晓建</t>
  </si>
  <si>
    <t>安徽人民出版社</t>
  </si>
  <si>
    <t>F821/15</t>
  </si>
  <si>
    <t>978-7-5690-2642-9</t>
  </si>
  <si>
    <t>改革开放与货币政策宏观调控变革</t>
  </si>
  <si>
    <t>向宇, 杨松</t>
  </si>
  <si>
    <t>F822.0/62</t>
  </si>
  <si>
    <t>978-7-5699-4382-5</t>
  </si>
  <si>
    <t>钱币里的中国史</t>
  </si>
  <si>
    <t>清秋子</t>
  </si>
  <si>
    <t>F822.9/33</t>
  </si>
  <si>
    <t>978-7-5478-4637-7</t>
  </si>
  <si>
    <t>中国现代流通硬币标准目录</t>
  </si>
  <si>
    <t>孙克勤</t>
  </si>
  <si>
    <t>F822/38=3D</t>
  </si>
  <si>
    <t>978-7-313-25606-5</t>
  </si>
  <si>
    <t>新世纪的ESG金融</t>
  </si>
  <si>
    <t>邱慈观</t>
  </si>
  <si>
    <t>F83/170</t>
  </si>
  <si>
    <t>978-7-121-40870-0</t>
  </si>
  <si>
    <t>银行业知识管理实战精析</t>
  </si>
  <si>
    <t>于兆鹏</t>
  </si>
  <si>
    <t>F830.22/6</t>
  </si>
  <si>
    <t>978-7-111-67261-6</t>
  </si>
  <si>
    <t>银行供应链金融业务新生态: 新市场形势下不同应用场景解决方案</t>
  </si>
  <si>
    <t>葛经纬</t>
  </si>
  <si>
    <t>F830.3/25</t>
  </si>
  <si>
    <t>978-7-111-67617-1</t>
  </si>
  <si>
    <t>中小银行运维架构: 解密与实战</t>
  </si>
  <si>
    <t xml:space="preserve">李丙洋 ...  </t>
  </si>
  <si>
    <t>F830.33/195</t>
  </si>
  <si>
    <t>978-7-305-23075-2</t>
  </si>
  <si>
    <t>商业银行业务与经营</t>
  </si>
  <si>
    <t>季健</t>
  </si>
  <si>
    <t>F830.4/101=2D</t>
  </si>
  <si>
    <t>978-7-5682-9737-0</t>
  </si>
  <si>
    <t>Using SAS in financial big data research</t>
  </si>
  <si>
    <t>韩燕</t>
  </si>
  <si>
    <t>F830.41/13</t>
  </si>
  <si>
    <t>978-7-111-69277-5</t>
  </si>
  <si>
    <t>金融商业算法建模: 基于Python和SAS</t>
  </si>
  <si>
    <t xml:space="preserve">赵仁乾 ...  </t>
  </si>
  <si>
    <t>F830.41/14</t>
  </si>
  <si>
    <t>978-7-111-69650-6</t>
  </si>
  <si>
    <t>Python金融数据挖掘与分析实战</t>
  </si>
  <si>
    <t xml:space="preserve">刘鹏 ...  </t>
  </si>
  <si>
    <t>F830.41/15</t>
  </si>
  <si>
    <t>978-7-5682-9433-1</t>
  </si>
  <si>
    <t>银行会计实务</t>
  </si>
  <si>
    <t>羊建, 温淑贤</t>
  </si>
  <si>
    <t>F830.42/103</t>
  </si>
  <si>
    <t>978-7-111-66959-3</t>
  </si>
  <si>
    <t>银行数字化转型: 路径与策略</t>
  </si>
  <si>
    <t>王松奇</t>
  </si>
  <si>
    <t>F830.49/166</t>
  </si>
  <si>
    <t>978-7-111-66827-5</t>
  </si>
  <si>
    <t>互联网消费金融: 业务架构、运营和数字化转型</t>
  </si>
  <si>
    <t>腊阳, 山丘</t>
  </si>
  <si>
    <t>F830.49/167</t>
  </si>
  <si>
    <t>978-7-5504-4730-1</t>
  </si>
  <si>
    <t>理财规划实训教程</t>
  </si>
  <si>
    <t>万思杝</t>
  </si>
  <si>
    <t>F830.59/949=2D</t>
  </si>
  <si>
    <t>978-7-5096-7987-6</t>
  </si>
  <si>
    <t>数字化投顾</t>
  </si>
  <si>
    <t>贝塔数据</t>
  </si>
  <si>
    <t>F830.59/950</t>
  </si>
  <si>
    <t>978-7-5096-7988-3</t>
  </si>
  <si>
    <t>PPP项目风险分摊及激励机制研究: 基于风险与社会偏好理论的视角</t>
  </si>
  <si>
    <t>王颖林, 刘继才</t>
  </si>
  <si>
    <t>F830.59/951</t>
  </si>
  <si>
    <t>978-7-5096-7798-8</t>
  </si>
  <si>
    <t>投资组合选择与投资策略: 基于背景风险的研究</t>
  </si>
  <si>
    <t>蒋崇辉</t>
  </si>
  <si>
    <t>F830.59/952</t>
  </si>
  <si>
    <t>978-7-111-69319-2</t>
  </si>
  <si>
    <t>债券投资实战. 2. 交易策略、投组管理和绩效分析</t>
  </si>
  <si>
    <t>龙红亮</t>
  </si>
  <si>
    <t>F830.59/953/2</t>
  </si>
  <si>
    <t>978-7-301-31935-2</t>
  </si>
  <si>
    <t>Python数据分析与量化投资</t>
  </si>
  <si>
    <t>朱顺泉</t>
  </si>
  <si>
    <t>F830.59/954</t>
  </si>
  <si>
    <t>978-7-302-55586-5</t>
  </si>
  <si>
    <t>指数基金定投入门与技巧</t>
  </si>
  <si>
    <t>张飞</t>
  </si>
  <si>
    <t>F830.59/955=2D</t>
  </si>
  <si>
    <t>从零开始读懂投资理财学</t>
  </si>
  <si>
    <t>F830.59/956</t>
  </si>
  <si>
    <t>978-7-5096-7835-0</t>
  </si>
  <si>
    <t>资产配置理论与实证前沿问题研究</t>
  </si>
  <si>
    <t>杨朝军, 周仕盈, 崔彬皙</t>
  </si>
  <si>
    <t>F830.593/26</t>
  </si>
  <si>
    <t>978-7-5581-8291-4</t>
  </si>
  <si>
    <t>金融投资与风险控制研究</t>
  </si>
  <si>
    <t>周后红</t>
  </si>
  <si>
    <t>F830.593/27</t>
  </si>
  <si>
    <t>978-7-5682-8311-3</t>
  </si>
  <si>
    <t>金融服务营销</t>
  </si>
  <si>
    <t>梁凯膺</t>
  </si>
  <si>
    <t>F830.9/457</t>
  </si>
  <si>
    <t>978-7-5578-7857-3</t>
  </si>
  <si>
    <t>现代金融经济的风险及方法策略研究</t>
  </si>
  <si>
    <t>崔嵩</t>
  </si>
  <si>
    <t>F830.9/458</t>
  </si>
  <si>
    <t>978-7-5642-3660-1</t>
  </si>
  <si>
    <t>证券投资学: 理论·实验一体化教程</t>
  </si>
  <si>
    <t>刘元春</t>
  </si>
  <si>
    <t>F830.91/1604=2D</t>
  </si>
  <si>
    <t>978-7-111-65925-9</t>
  </si>
  <si>
    <t>投资成长股: 罗·普莱斯投资之道</t>
  </si>
  <si>
    <t>(美) 科尼利厄斯·C.邦德</t>
  </si>
  <si>
    <t>F830.91/1605</t>
  </si>
  <si>
    <t>978-7-5504-3473-8</t>
  </si>
  <si>
    <t>证券投资分析实验</t>
  </si>
  <si>
    <t>唐平</t>
  </si>
  <si>
    <t>F830.91/1606</t>
  </si>
  <si>
    <t>978-7-5096-7677-6</t>
  </si>
  <si>
    <t>价投圣经</t>
  </si>
  <si>
    <t>武宏洲</t>
  </si>
  <si>
    <t>F830.91/1607</t>
  </si>
  <si>
    <t>978-7-5615-7922-0</t>
  </si>
  <si>
    <t>证券投资学</t>
  </si>
  <si>
    <t>李杰辉, 江东瀚</t>
  </si>
  <si>
    <t>F830.91/1608</t>
  </si>
  <si>
    <t>978-7-5096-8099-5</t>
  </si>
  <si>
    <t>K线股理实战与应用</t>
  </si>
  <si>
    <t>董超</t>
  </si>
  <si>
    <t>F830.91/1609</t>
  </si>
  <si>
    <t>978-7-111-69339-0</t>
  </si>
  <si>
    <t>证券投资分析</t>
  </si>
  <si>
    <t>李国强, 李雯</t>
  </si>
  <si>
    <t>F830.91/264=3D</t>
  </si>
  <si>
    <t>978-7-5096-7709-4</t>
  </si>
  <si>
    <t>外汇短线交易的24堂精品课. 上册: 面向高级交易者</t>
  </si>
  <si>
    <t>魏强斌, (芬) 马丁·泰勒, 王浩</t>
  </si>
  <si>
    <t>F830.92/28=3D/1</t>
  </si>
  <si>
    <t>外汇短线交易的24堂精品课. 下册: 面向高级交易者</t>
  </si>
  <si>
    <t>F830.92/28=3D/2</t>
  </si>
  <si>
    <t>978-7-5096-7062-0</t>
  </si>
  <si>
    <t>外汇投资入门实战演练</t>
  </si>
  <si>
    <t>邓翊震</t>
  </si>
  <si>
    <t>F830.92/69</t>
  </si>
  <si>
    <t>978-7-5096-7708-7</t>
  </si>
  <si>
    <t>股票短线交易的24堂精品课. 上册: 超越技术分析的投机之道</t>
  </si>
  <si>
    <t xml:space="preserve">高山 ...  </t>
  </si>
  <si>
    <t>F830.92/70=3D/1</t>
  </si>
  <si>
    <t>股票短线交易的24堂精品课. 下册: 超越技术分析的投机之道</t>
  </si>
  <si>
    <t>F830.92/70=3D/2</t>
  </si>
  <si>
    <t>978-7-5682-8837-8</t>
  </si>
  <si>
    <t>金融基础</t>
  </si>
  <si>
    <t>王惠凌, 廖飖霏</t>
  </si>
  <si>
    <t>F830/555=2D</t>
  </si>
  <si>
    <t>978-7-310-05855-6</t>
  </si>
  <si>
    <t>金融数学与金融工程</t>
  </si>
  <si>
    <t>叶振军</t>
  </si>
  <si>
    <t>F830/556</t>
  </si>
  <si>
    <t>978-7-5682-8073-0</t>
  </si>
  <si>
    <t>金融学</t>
  </si>
  <si>
    <t>葛联迎, 申雅琛</t>
  </si>
  <si>
    <t>F830/557</t>
  </si>
  <si>
    <t>978-7-5096-7682-0</t>
  </si>
  <si>
    <t>金融科技创新与演进</t>
  </si>
  <si>
    <t>乔宇锋</t>
  </si>
  <si>
    <t>F830/558</t>
  </si>
  <si>
    <t>978-7-5638-3268-2</t>
  </si>
  <si>
    <t>金融 (保险) 教学改革论文集. 2020</t>
  </si>
  <si>
    <t>陈奉先, 柯英</t>
  </si>
  <si>
    <t>F830/559/2020</t>
  </si>
  <si>
    <t>从零开始读懂金融学</t>
  </si>
  <si>
    <t>F830/560</t>
  </si>
  <si>
    <t>978-7-5642-3519-2</t>
  </si>
  <si>
    <t>2019-2020全球投资市场蓝皮书</t>
  </si>
  <si>
    <t>FX168金融研究院</t>
  </si>
  <si>
    <t>F831.5/64/2019-2020</t>
  </si>
  <si>
    <t>978-7-313-24471-0</t>
  </si>
  <si>
    <t>国际投资</t>
  </si>
  <si>
    <t>陈涔, 彭光细, 刘潇潇</t>
  </si>
  <si>
    <t>F831.6/79</t>
  </si>
  <si>
    <t>978-7-5642-3906-0</t>
  </si>
  <si>
    <t>国际投资学</t>
  </si>
  <si>
    <t>杨晔</t>
  </si>
  <si>
    <t>F831.6/80=6D</t>
  </si>
  <si>
    <t>978-7-301-32122-5</t>
  </si>
  <si>
    <t>国际金融学</t>
  </si>
  <si>
    <t>罗丹程</t>
  </si>
  <si>
    <t>F831/236</t>
  </si>
  <si>
    <t>978-7-111-66424-6</t>
  </si>
  <si>
    <t>国际金融</t>
  </si>
  <si>
    <t>(美) 迈克尔·H. 莫菲特, 阿瑟·I. 斯通西尔, 大卫·K. 艾特曼</t>
  </si>
  <si>
    <t>F831/237</t>
  </si>
  <si>
    <t>978-7-5615-7841-4</t>
  </si>
  <si>
    <t>陈茜</t>
  </si>
  <si>
    <t>F831/238=2D</t>
  </si>
  <si>
    <t>978-7-5581-8455-0</t>
  </si>
  <si>
    <t>金融创新与国际贸易经济发展</t>
  </si>
  <si>
    <t>曾嘉</t>
  </si>
  <si>
    <t>F832.1/172</t>
  </si>
  <si>
    <t>978-7-5207-1964-3</t>
  </si>
  <si>
    <t>中国道路下的金融改革与创新</t>
  </si>
  <si>
    <t>刘纪鹏</t>
  </si>
  <si>
    <t>F832.1/173</t>
  </si>
  <si>
    <t>978-7-5096-8105-3</t>
  </si>
  <si>
    <t>张铎, 杜莹莹</t>
  </si>
  <si>
    <t>F832.1/174</t>
  </si>
  <si>
    <t>978-7-305-24847-4</t>
  </si>
  <si>
    <t>中国互联网支付发展研究</t>
  </si>
  <si>
    <t>吴心弘, 裴平</t>
  </si>
  <si>
    <t>F832.2/63</t>
  </si>
  <si>
    <t>978-7-5692-6464-7</t>
  </si>
  <si>
    <t>大数据背景下的征信体系建设</t>
  </si>
  <si>
    <t>文婕</t>
  </si>
  <si>
    <t>F832.4/87</t>
  </si>
  <si>
    <t>978-7-5201-9470-9</t>
  </si>
  <si>
    <t>中国PPP行业发展报告. 2021</t>
  </si>
  <si>
    <t>马海涛</t>
  </si>
  <si>
    <t>F832.48/115/2021</t>
  </si>
  <si>
    <t>978-7-115-53968-7</t>
  </si>
  <si>
    <t>政府和社会资本合作 (PPP) 实务操作指南</t>
  </si>
  <si>
    <t>尹志国</t>
  </si>
  <si>
    <t>F832.48/168</t>
  </si>
  <si>
    <t>978-7-5196-0781-4</t>
  </si>
  <si>
    <t>中国信托业的发展与转型</t>
  </si>
  <si>
    <t>李将军, 韩圣玥, 郭百濂</t>
  </si>
  <si>
    <t>F832.49/35</t>
  </si>
  <si>
    <t>978-7-111-69647-6</t>
  </si>
  <si>
    <t>北交所上市全程指引: 流程+文件要求+审核重点案例解析</t>
  </si>
  <si>
    <t>崔彦军, 金祥慧</t>
  </si>
  <si>
    <t>F832.5/168</t>
  </si>
  <si>
    <t>978-7-5194-6194-2</t>
  </si>
  <si>
    <t>人民币有效汇率指数优化与均衡汇率研究</t>
  </si>
  <si>
    <t>屠立峰</t>
  </si>
  <si>
    <t>F832.63/56</t>
  </si>
  <si>
    <t>978-7-5507-3032-8</t>
  </si>
  <si>
    <t>催化与裂变: 科技联姻金融</t>
  </si>
  <si>
    <t>F832.765/23</t>
  </si>
  <si>
    <t>978-7-111-69018-4</t>
  </si>
  <si>
    <t>资本往事: 1978—2020</t>
  </si>
  <si>
    <t>王连洲, 王斌</t>
  </si>
  <si>
    <t>F832.9/29</t>
  </si>
  <si>
    <t>978-7-5096-7823-7</t>
  </si>
  <si>
    <t>养老金融发展及政策支持研究</t>
  </si>
  <si>
    <t>娄飞鹏</t>
  </si>
  <si>
    <t>F832/249</t>
  </si>
  <si>
    <t>978-7-5672-2814-6</t>
  </si>
  <si>
    <t>中国科技金融应用与创新案例研究</t>
  </si>
  <si>
    <t>陈作章, 于宝山, 杨刘礡睿</t>
  </si>
  <si>
    <t>F832/250</t>
  </si>
  <si>
    <t>978-7-5096-7420-8</t>
  </si>
  <si>
    <t>华尔街教父50年: 顶级交易员深入解读</t>
  </si>
  <si>
    <t>(美) 亨利·克卢斯原</t>
  </si>
  <si>
    <t>F837.129/27</t>
  </si>
  <si>
    <t>978-7-5194-5960-4</t>
  </si>
  <si>
    <t>健康保险经济学分析</t>
  </si>
  <si>
    <t>郑莉莉</t>
  </si>
  <si>
    <t>F840.62/52</t>
  </si>
  <si>
    <t>978-7-313-23746-0</t>
  </si>
  <si>
    <t>行为保险经济学</t>
  </si>
  <si>
    <t>郭振华</t>
  </si>
  <si>
    <t>F840/66</t>
  </si>
  <si>
    <t>978-7-5615-6040-2</t>
  </si>
  <si>
    <t>保险学</t>
  </si>
  <si>
    <t>杨艳华</t>
  </si>
  <si>
    <t>F840/67=2D</t>
  </si>
  <si>
    <t>978-7-5504-4899-5</t>
  </si>
  <si>
    <t>保险学原理</t>
  </si>
  <si>
    <t>孙蓉, 兰虹</t>
  </si>
  <si>
    <t>F840/68=5D</t>
  </si>
  <si>
    <t>978-7-5096-7752-0</t>
  </si>
  <si>
    <t>社会养老保障比较研究</t>
  </si>
  <si>
    <t>陈建新, 陈慧丹</t>
  </si>
  <si>
    <t>F842.612/14</t>
  </si>
  <si>
    <t>978-7-5201-4671-5</t>
  </si>
  <si>
    <t>农村社会养老保险制度的变迁: 基于主体互动的视角</t>
  </si>
  <si>
    <t>王成程</t>
  </si>
  <si>
    <t>F842.612/15</t>
  </si>
  <si>
    <t>978-7-5201-4798-9</t>
  </si>
  <si>
    <t>新型农村社会养老保险制度的可持续性评估</t>
  </si>
  <si>
    <t>王翠琴</t>
  </si>
  <si>
    <t>F842.612/16</t>
  </si>
  <si>
    <t>978-7-5668-2811-8</t>
  </si>
  <si>
    <t>医疗保险学</t>
  </si>
  <si>
    <t>白丽萍</t>
  </si>
  <si>
    <t>F842.613/4</t>
  </si>
  <si>
    <t>978-7-5680-6104-9</t>
  </si>
  <si>
    <t>从医疗保险迈向健康保险</t>
  </si>
  <si>
    <t>陈迎春, 孙菊</t>
  </si>
  <si>
    <t>F842.613/5</t>
  </si>
  <si>
    <t>978-7-115-56236-4</t>
  </si>
  <si>
    <t>汽车保险与理赔</t>
  </si>
  <si>
    <t>曾鑫, 李建明</t>
  </si>
  <si>
    <t>F842.63/20=3D</t>
  </si>
  <si>
    <t>978-7-111-66081-1</t>
  </si>
  <si>
    <t>游彩霞</t>
  </si>
  <si>
    <t>F842.63/21</t>
  </si>
  <si>
    <t>978-7-307-22560-2</t>
  </si>
  <si>
    <t>再保险最优策略及相关技术研究</t>
  </si>
  <si>
    <t>曹玉松</t>
  </si>
  <si>
    <t>F842.69/6</t>
  </si>
  <si>
    <t>978-7-5504-4519-2</t>
  </si>
  <si>
    <t>新中国社会保险制度变迁与展望</t>
  </si>
  <si>
    <t>丁少群</t>
  </si>
  <si>
    <t>F842/76</t>
  </si>
  <si>
    <t>978-7-5504-4716-5</t>
  </si>
  <si>
    <t>新中国保险制度变迁</t>
  </si>
  <si>
    <t>孙蓉</t>
  </si>
  <si>
    <t>F842/77</t>
  </si>
  <si>
    <t>978-7-300-28564-1</t>
  </si>
  <si>
    <t>多模态文化翻译理论与传播研究. 卷一. 多模态认知与文化传播</t>
  </si>
  <si>
    <t>王建华总</t>
  </si>
  <si>
    <t>G0/78/1</t>
  </si>
  <si>
    <t>多模态文化翻译理论与传播研究. 卷二. 多模态文化翻译理论</t>
  </si>
  <si>
    <t>G0/78/2</t>
  </si>
  <si>
    <t>多模态文化翻译理论与传播研究. 卷三. 多模态影视翻译理论</t>
  </si>
  <si>
    <t>G0/78/3</t>
  </si>
  <si>
    <t>多模态文化翻译理论与传播研究. 卷四. 多模态戏曲翻译理论</t>
  </si>
  <si>
    <t>G0/78/4</t>
  </si>
  <si>
    <t>多模态文化翻译理论与传播研究. 卷五. 北京民俗文化多模态翻译传播研究</t>
  </si>
  <si>
    <t>G0/78/5</t>
  </si>
  <si>
    <t>多模态文化翻译理论与传播研究. 卷六. 北京建筑文化多模态翻译传播研究</t>
  </si>
  <si>
    <t>G0/78/6</t>
  </si>
  <si>
    <t>多模态文化翻译理论与传播研究. 卷七. 北京历史文化多模态翻译传播研究</t>
  </si>
  <si>
    <t>G0/78/7</t>
  </si>
  <si>
    <t>多模态文化翻译理论与传播研究. 卷八. 北京戏剧文化多模态翻译传播研究</t>
  </si>
  <si>
    <t>G0/78/8</t>
  </si>
  <si>
    <t>978-7-200-15849-6</t>
  </si>
  <si>
    <t>中国文化与世界文化</t>
  </si>
  <si>
    <t>乐黛云</t>
  </si>
  <si>
    <t>G04/65</t>
  </si>
  <si>
    <t>978-7-302-59416-1</t>
  </si>
  <si>
    <t>文化市场营销学</t>
  </si>
  <si>
    <t>李康化</t>
  </si>
  <si>
    <t>G114/92=3D</t>
  </si>
  <si>
    <t>978-7-302-59171-9</t>
  </si>
  <si>
    <t>吾心可鉴: 跨文化沟通</t>
  </si>
  <si>
    <t>彭凯平</t>
  </si>
  <si>
    <t>G115/57</t>
  </si>
  <si>
    <t>978-7-5692-8637-3</t>
  </si>
  <si>
    <t>三维变革视角下的江苏文化产业高质量发展研究</t>
  </si>
  <si>
    <t>黄雪丽, 顾平</t>
  </si>
  <si>
    <t>G127.53/5</t>
  </si>
  <si>
    <t>978-7-01-023493-9</t>
  </si>
  <si>
    <t>信息哲学视域下的科学观</t>
  </si>
  <si>
    <t>卫郭敏</t>
  </si>
  <si>
    <t>G201/38</t>
  </si>
  <si>
    <t>978-7-5170-6351-3</t>
  </si>
  <si>
    <t>信息系统项目管理师考试32小时通关</t>
  </si>
  <si>
    <t>薛大龙</t>
  </si>
  <si>
    <t>中国水利水电出版社</t>
  </si>
  <si>
    <t>G202/141</t>
  </si>
  <si>
    <t>978-7-111-67002-5</t>
  </si>
  <si>
    <t>信息系统实证研究的20种重要理论与应用</t>
  </si>
  <si>
    <t>袁勤俭, 朱哲慧, 张一涵</t>
  </si>
  <si>
    <t>G202/142</t>
  </si>
  <si>
    <t>978-7-5654-4054-0</t>
  </si>
  <si>
    <t>信息管理与信息系统专业实验 (实训) 指导书</t>
  </si>
  <si>
    <t>金镇</t>
  </si>
  <si>
    <t>G203/116</t>
  </si>
  <si>
    <t>978-7-03-067402-9</t>
  </si>
  <si>
    <t>信息资源建设</t>
  </si>
  <si>
    <t>叶继元</t>
  </si>
  <si>
    <t>G203/117</t>
  </si>
  <si>
    <t>978-7-305-25001-9</t>
  </si>
  <si>
    <t>图博档数字化服务融合: 理论、方法、技术与实证</t>
  </si>
  <si>
    <t>朱学芳</t>
  </si>
  <si>
    <t>G203/118</t>
  </si>
  <si>
    <t>978-7-5639-7079-7</t>
  </si>
  <si>
    <t>信息安全教学创新与人才培养研究</t>
  </si>
  <si>
    <t>徐伟, 张天长</t>
  </si>
  <si>
    <t>G203/119</t>
  </si>
  <si>
    <t>978-7-5189-8407-7</t>
  </si>
  <si>
    <t>信息质量管理成熟度评价研究: 以我国科技信息资源共享项目为例</t>
  </si>
  <si>
    <t>宋立荣</t>
  </si>
  <si>
    <t>G203/120</t>
  </si>
  <si>
    <t>978-7-5534-4181-8</t>
  </si>
  <si>
    <t>信息管理基础</t>
  </si>
  <si>
    <t>何计容</t>
  </si>
  <si>
    <t>G203/121</t>
  </si>
  <si>
    <t>978-7-5189-8405-3</t>
  </si>
  <si>
    <t>基于逻辑模型的组织信息资源管理绩效评价研究</t>
  </si>
  <si>
    <t>G203/122</t>
  </si>
  <si>
    <t>978-7-121-42263-8</t>
  </si>
  <si>
    <t>信息安全风险管理与实践</t>
  </si>
  <si>
    <t>曹雅斌, 尤其, 何志明</t>
  </si>
  <si>
    <t>G203/123</t>
  </si>
  <si>
    <t>978-7-5013-6990-4</t>
  </si>
  <si>
    <t>科学数据素养能力指标体系建设</t>
  </si>
  <si>
    <t>秦小燕</t>
  </si>
  <si>
    <t>G203/124</t>
  </si>
  <si>
    <t>978-7-115-57133-5</t>
  </si>
  <si>
    <t>信息安全系统综合设计与开发</t>
  </si>
  <si>
    <t>王瑞锦</t>
  </si>
  <si>
    <t>G203/125</t>
  </si>
  <si>
    <t>978-7-309-15897-7</t>
  </si>
  <si>
    <t>演艺新媒体交互设计</t>
  </si>
  <si>
    <t>张敬平</t>
  </si>
  <si>
    <t>G206.2/597</t>
  </si>
  <si>
    <t>978-7-5690-5164-3</t>
  </si>
  <si>
    <t>符号叙述学视域下的网络情感传播研究</t>
  </si>
  <si>
    <t>何飞</t>
  </si>
  <si>
    <t>G206.2/598</t>
  </si>
  <si>
    <t>978-7-5661-3243-7</t>
  </si>
  <si>
    <t>新媒体数据分析</t>
  </si>
  <si>
    <t>刘应波, 陈如华, 李娟</t>
  </si>
  <si>
    <t>G206.2/599</t>
  </si>
  <si>
    <t>978-7-313-25716-1</t>
  </si>
  <si>
    <t>新媒体综合实践教程</t>
  </si>
  <si>
    <t>廖国良, 刘奕</t>
  </si>
  <si>
    <t>G206.2/600</t>
  </si>
  <si>
    <t>978-7-121-42003-0</t>
  </si>
  <si>
    <t>运营公式: 短视频·社群·文案的底层逻辑</t>
  </si>
  <si>
    <t>佩弦</t>
  </si>
  <si>
    <t>G206.2/601</t>
  </si>
  <si>
    <t>978-7-115-55586-1</t>
  </si>
  <si>
    <t>网络新媒体导论</t>
  </si>
  <si>
    <t>喻国明, 曲慧</t>
  </si>
  <si>
    <t>G206.2/602</t>
  </si>
  <si>
    <t>978-7-5201-8250-8</t>
  </si>
  <si>
    <t>新媒体公共传播. 第3辑</t>
  </si>
  <si>
    <t>张淑华</t>
  </si>
  <si>
    <t>G206.2/603/3</t>
  </si>
  <si>
    <t>978-7-5201-9283-5</t>
  </si>
  <si>
    <t>新媒体公共传播. 第4辑</t>
  </si>
  <si>
    <t>G206.2/603/4</t>
  </si>
  <si>
    <t>978-7-5578-7553-4</t>
  </si>
  <si>
    <t>媒介融合背景下传统新闻媒体转型研究</t>
  </si>
  <si>
    <t>陈莹</t>
  </si>
  <si>
    <t>G206.2/604</t>
  </si>
  <si>
    <t>新媒体运营</t>
  </si>
  <si>
    <t>黄权旺</t>
  </si>
  <si>
    <t>G206.2/605</t>
  </si>
  <si>
    <t>G206.2/605-2</t>
  </si>
  <si>
    <t>978-7-302-58916-7</t>
  </si>
  <si>
    <t>舆论陷阱: 媒体危机应对指南</t>
  </si>
  <si>
    <t>栾帆</t>
  </si>
  <si>
    <t>G206.2/606</t>
  </si>
  <si>
    <t>978-7-5115-6803-8</t>
  </si>
  <si>
    <t>中国网络视频的缘起与流变: 1996-2020</t>
  </si>
  <si>
    <t>刘瑞一</t>
  </si>
  <si>
    <t>G206.2/607</t>
  </si>
  <si>
    <t>978-7-5648-4189-8</t>
  </si>
  <si>
    <t>媒介融合与融合新闻导论</t>
  </si>
  <si>
    <t>刘先根, 董娟娟</t>
  </si>
  <si>
    <t>G206.2/608</t>
  </si>
  <si>
    <t>978-7-5642-3486-7</t>
  </si>
  <si>
    <t>视听新媒体政府规制研究</t>
  </si>
  <si>
    <t>张璠</t>
  </si>
  <si>
    <t>G206.2/609</t>
  </si>
  <si>
    <t>978-7-300-29373-8</t>
  </si>
  <si>
    <t>跨屏时代的视听传播</t>
  </si>
  <si>
    <t>周勇, 赵璇</t>
  </si>
  <si>
    <t>G206.2/610</t>
  </si>
  <si>
    <t>978-7-313-22572-6</t>
  </si>
  <si>
    <t>社交媒体概论</t>
  </si>
  <si>
    <t>禹卫华</t>
  </si>
  <si>
    <t>G206.2/611</t>
  </si>
  <si>
    <t>978-7-5695-2364-5</t>
  </si>
  <si>
    <t>全媒体素养</t>
  </si>
  <si>
    <t>曾静平, 王友良</t>
  </si>
  <si>
    <t>陕西师范大学出版总社</t>
  </si>
  <si>
    <t>G206.2/612</t>
  </si>
  <si>
    <t>978-7-300-29065-2</t>
  </si>
  <si>
    <t>连接: 社交媒体批评史</t>
  </si>
  <si>
    <t>(荷兰) 何塞·范·迪克</t>
  </si>
  <si>
    <t>G206.2/613</t>
  </si>
  <si>
    <t>978-7-121-39307-5</t>
  </si>
  <si>
    <t>智慧媒体云平台总体规划与建设实务</t>
  </si>
  <si>
    <t>孙喜庆, 曾春, 罗轶</t>
  </si>
  <si>
    <t>G206.2/614</t>
  </si>
  <si>
    <t>978-7-5614-7980-3</t>
  </si>
  <si>
    <t>中国网媒研究</t>
  </si>
  <si>
    <t xml:space="preserve">刘肇坤 ...  </t>
  </si>
  <si>
    <t>G206.2/615</t>
  </si>
  <si>
    <t>978-7-5046-8484-4</t>
  </si>
  <si>
    <t>科技传播学</t>
  </si>
  <si>
    <t>武志勇</t>
  </si>
  <si>
    <t>G206.2/616</t>
  </si>
  <si>
    <t>978-7-5046-8332-8</t>
  </si>
  <si>
    <t>科学技术传播百科全书</t>
  </si>
  <si>
    <t>(美) 苏娜娜·霍妮阁·普瑞斯特</t>
  </si>
  <si>
    <t>G206.2/618</t>
  </si>
  <si>
    <t>978-7-5327-8883-5</t>
  </si>
  <si>
    <t>对抗的联结: 疫情与数字媒体</t>
  </si>
  <si>
    <t>曹晋, (英) 格雷厄姆·默多克</t>
  </si>
  <si>
    <t>G206.2/619</t>
  </si>
  <si>
    <t>978-7-115-56153-4</t>
  </si>
  <si>
    <t>智能新媒体</t>
  </si>
  <si>
    <t>李卫东</t>
  </si>
  <si>
    <t>G206.2-39/7</t>
  </si>
  <si>
    <t>978-7-5115-6385-9</t>
  </si>
  <si>
    <t>传播机制中的情感因素研究</t>
  </si>
  <si>
    <t>易艳</t>
  </si>
  <si>
    <t>G206/221</t>
  </si>
  <si>
    <t>978-7-208-16892-3</t>
  </si>
  <si>
    <t>回眸40年: 中国传播学人的声音</t>
  </si>
  <si>
    <t>张国良</t>
  </si>
  <si>
    <t>G206/222</t>
  </si>
  <si>
    <t>978-7-5630-7266-8</t>
  </si>
  <si>
    <t>基于空间三元辩证法的移动传播“空间形变”研究</t>
  </si>
  <si>
    <t>陈长松</t>
  </si>
  <si>
    <t>G206/223</t>
  </si>
  <si>
    <t>978-7-115-47285-4</t>
  </si>
  <si>
    <t>懒人图解传播术: “疯传”的逻辑与技术</t>
  </si>
  <si>
    <t>林长扬</t>
  </si>
  <si>
    <t>G206/224</t>
  </si>
  <si>
    <t>978-7-5166-5026-4</t>
  </si>
  <si>
    <t>智能时代: 媒体重塑</t>
  </si>
  <si>
    <t>本书课题组</t>
  </si>
  <si>
    <t>G21/30</t>
  </si>
  <si>
    <t>978-7-115-57311-7</t>
  </si>
  <si>
    <t>数据新闻理论与实践</t>
  </si>
  <si>
    <t>吴小坤, 赵甜芳</t>
  </si>
  <si>
    <t>G210.7/26</t>
  </si>
  <si>
    <t>978-7-115-56757-4</t>
  </si>
  <si>
    <t>新媒体数据新闻</t>
  </si>
  <si>
    <t>段峰峰</t>
  </si>
  <si>
    <t>G210.7/27</t>
  </si>
  <si>
    <t>978-7-302-58900-6</t>
  </si>
  <si>
    <t>清华新闻传播学前沿讲座录. 2021</t>
  </si>
  <si>
    <t>史安斌, 张耀钟</t>
  </si>
  <si>
    <t>G210/156/2021</t>
  </si>
  <si>
    <t>978-7-313-24982-1</t>
  </si>
  <si>
    <t>科技新闻汉英翻译实例精选</t>
  </si>
  <si>
    <t>吴越</t>
  </si>
  <si>
    <t>G210/340</t>
  </si>
  <si>
    <t>978-7-300-28791-1</t>
  </si>
  <si>
    <t>媒介融合推进下的新闻教育变革</t>
  </si>
  <si>
    <t>蔡雯</t>
  </si>
  <si>
    <t>G210/341</t>
  </si>
  <si>
    <t>978-7-5639-7085-8</t>
  </si>
  <si>
    <t>新媒体与新闻传播发展研究</t>
  </si>
  <si>
    <t>张萍</t>
  </si>
  <si>
    <t>G210/342</t>
  </si>
  <si>
    <t>978-7-216-10117-2</t>
  </si>
  <si>
    <t>声音: 高校新闻评论的写作与评析</t>
  </si>
  <si>
    <t>程毓, 陈孖川</t>
  </si>
  <si>
    <t>G210/343</t>
  </si>
  <si>
    <t>978-7-121-39633-5</t>
  </si>
  <si>
    <t>传播文书写作</t>
  </si>
  <si>
    <t>钟东霖</t>
  </si>
  <si>
    <t>G210/344</t>
  </si>
  <si>
    <t>978-7-5578-6465-1</t>
  </si>
  <si>
    <t>从新媒体到全媒体: 新时期新闻传播的发展研究</t>
  </si>
  <si>
    <t>米博</t>
  </si>
  <si>
    <t>G210/345</t>
  </si>
  <si>
    <t>978-7-5581-8552-6</t>
  </si>
  <si>
    <t>融媒体语境下的新闻传播理论探索</t>
  </si>
  <si>
    <t>郭琪</t>
  </si>
  <si>
    <t>G210/346</t>
  </si>
  <si>
    <t>978-7-5115-6171-8</t>
  </si>
  <si>
    <t>探索与重塑</t>
  </si>
  <si>
    <t>杨光, 张伟</t>
  </si>
  <si>
    <t>G210/347</t>
  </si>
  <si>
    <t>978-7-5166-5853-6</t>
  </si>
  <si>
    <t>新闻报道与受众感知: 中立新闻中的媒介偏见感知</t>
  </si>
  <si>
    <t>马萍</t>
  </si>
  <si>
    <t>G210/348</t>
  </si>
  <si>
    <t>978-7-5046-9130-9</t>
  </si>
  <si>
    <t>危机沟通: 危机下的管理、应对与复原力构建</t>
  </si>
  <si>
    <t>(英) 阿曼达·科尔曼</t>
  </si>
  <si>
    <t>G210/349</t>
  </si>
  <si>
    <t>978-7-209-12776-9</t>
  </si>
  <si>
    <t>采访课</t>
  </si>
  <si>
    <t>王志</t>
  </si>
  <si>
    <t>G212.1/62</t>
  </si>
  <si>
    <t>978-7-209-12775-2</t>
  </si>
  <si>
    <t>采访的秘密</t>
  </si>
  <si>
    <t>G212.1/63</t>
  </si>
  <si>
    <t>978-7-03-067528-6</t>
  </si>
  <si>
    <t>新媒体语境下的新闻叙事: 话语嬗变与模糊边界</t>
  </si>
  <si>
    <t>曾庆香</t>
  </si>
  <si>
    <t>G212.2/173</t>
  </si>
  <si>
    <t>978-7-5115-6848-9</t>
  </si>
  <si>
    <t>新闻评论写作</t>
  </si>
  <si>
    <t>符万年</t>
  </si>
  <si>
    <t>G212.2/174</t>
  </si>
  <si>
    <t>978-7-300-28044-8</t>
  </si>
  <si>
    <t>释放数据的力量: 数据新闻生产与伦理研究</t>
  </si>
  <si>
    <t>G212/101</t>
  </si>
  <si>
    <t>978-7-5639-6947-0</t>
  </si>
  <si>
    <t>多模态新闻语篇图文互动评价机制研究</t>
  </si>
  <si>
    <t>张欢雨</t>
  </si>
  <si>
    <t>G212/102</t>
  </si>
  <si>
    <t>978-7-210-13193-9</t>
  </si>
  <si>
    <t>阅·评·思: 融媒体时代新闻报道的创新研究</t>
  </si>
  <si>
    <t>王芳</t>
  </si>
  <si>
    <t>G212/103</t>
  </si>
  <si>
    <t>978-7-5115-6093-3</t>
  </si>
  <si>
    <t>企业报刊指南</t>
  </si>
  <si>
    <t>邢小兰, 王成</t>
  </si>
  <si>
    <t>G213/62</t>
  </si>
  <si>
    <t>978-7-03-065614-8</t>
  </si>
  <si>
    <t>美国女记者的故事</t>
  </si>
  <si>
    <t>(美) 伊什贝尔·罗斯</t>
  </si>
  <si>
    <t>G214.2/16</t>
  </si>
  <si>
    <t>978-7-214-26267-7</t>
  </si>
  <si>
    <t>转型人: 移动互联时代媒体人的迁徙式生存</t>
  </si>
  <si>
    <t>江飞</t>
  </si>
  <si>
    <t>G214/20</t>
  </si>
  <si>
    <t>978-7-5690-5168-1</t>
  </si>
  <si>
    <t>媒体融合转型新阶段与应用型传媒人才培养新逻辑</t>
  </si>
  <si>
    <t>许志强, 王雪梅</t>
  </si>
  <si>
    <t>G219.2/295</t>
  </si>
  <si>
    <t>978-7-313-25441-2</t>
  </si>
  <si>
    <t>微信舆论传播机制与生态多维治理</t>
  </si>
  <si>
    <t>陆高峰</t>
  </si>
  <si>
    <t>G219.2/296</t>
  </si>
  <si>
    <t>978-7-5607-7085-7</t>
  </si>
  <si>
    <t>融媒研究与探索: 2021</t>
  </si>
  <si>
    <t>文东河, 许莉</t>
  </si>
  <si>
    <t>G219.2/297/2021</t>
  </si>
  <si>
    <t>978-7-5115-5891-6</t>
  </si>
  <si>
    <t>社会意识视域中的媒介舆论引导理论研究</t>
  </si>
  <si>
    <t>许海</t>
  </si>
  <si>
    <t>G219.2/298</t>
  </si>
  <si>
    <t>978-7-5115-7152-6</t>
  </si>
  <si>
    <t>中国特色新闻媒介体制: 构成分析与发展前景</t>
  </si>
  <si>
    <t>秦汉</t>
  </si>
  <si>
    <t>G219.2/299</t>
  </si>
  <si>
    <t>978-7-5115-6413-9</t>
  </si>
  <si>
    <t>移动社交媒体舆论热点传播机制研究</t>
  </si>
  <si>
    <t>张鑫</t>
  </si>
  <si>
    <t>G219.2/300</t>
  </si>
  <si>
    <t>978-7-5201-9510-2</t>
  </si>
  <si>
    <t>主流媒体“三力”研究</t>
  </si>
  <si>
    <t>强月新, 陈星</t>
  </si>
  <si>
    <t>G219.2/301</t>
  </si>
  <si>
    <t>978-7-01-023692-6</t>
  </si>
  <si>
    <t>发言人说: 中国新闻发言人传播实践</t>
  </si>
  <si>
    <t>中国浦东干部学院领导与传播研究中心</t>
  </si>
  <si>
    <t>G219.2/302</t>
  </si>
  <si>
    <t>978-7-5166-5679-2</t>
  </si>
  <si>
    <t>仪式拯救与功能再造: 传媒泛娱乐化批评研究</t>
  </si>
  <si>
    <t>黄良奇</t>
  </si>
  <si>
    <t>G219.2/303</t>
  </si>
  <si>
    <t>978-7-5615-7501-7</t>
  </si>
  <si>
    <t>自媒体时代网络传言的法律治理研究</t>
  </si>
  <si>
    <t>郭春镇</t>
  </si>
  <si>
    <t>G219.2/304</t>
  </si>
  <si>
    <t>978-7-5115-6718-5</t>
  </si>
  <si>
    <t>鉴往知来: 媒体融合源起与发展</t>
  </si>
  <si>
    <t>谢新洲</t>
  </si>
  <si>
    <t>G219.2/305</t>
  </si>
  <si>
    <t>978-7-01-023476-2</t>
  </si>
  <si>
    <t>网络公共事件研究</t>
  </si>
  <si>
    <t>许鑫</t>
  </si>
  <si>
    <t>G219.2/306</t>
  </si>
  <si>
    <t>978-7-5115-6904-2</t>
  </si>
  <si>
    <t>拆解“双标”: 那些误读中国的套路</t>
  </si>
  <si>
    <t>李仕权</t>
  </si>
  <si>
    <t>G219.2/307</t>
  </si>
  <si>
    <t>978-7-5166-5520-7</t>
  </si>
  <si>
    <t>中国道路新闻论</t>
  </si>
  <si>
    <t>李彬</t>
  </si>
  <si>
    <t>G219.2/308</t>
  </si>
  <si>
    <t>978-7-313-24181-8</t>
  </si>
  <si>
    <t>中国媒体的世界图像及民众全球观</t>
  </si>
  <si>
    <t>郭可</t>
  </si>
  <si>
    <t>G219.2/309</t>
  </si>
  <si>
    <t>978-7-313-23534-3</t>
  </si>
  <si>
    <t>传播、技术与社会研究读本</t>
  </si>
  <si>
    <t>石力月</t>
  </si>
  <si>
    <t>G219.2/310</t>
  </si>
  <si>
    <t>978-7-300-28720-1</t>
  </si>
  <si>
    <t>解析中国新闻传播学. 2020</t>
  </si>
  <si>
    <t>刘海龙</t>
  </si>
  <si>
    <t>G219.2/4/2020</t>
  </si>
  <si>
    <t>978-7-300-30006-1</t>
  </si>
  <si>
    <t>解析中国新闻传播学. 2021</t>
  </si>
  <si>
    <t>G219.2/4/2021</t>
  </si>
  <si>
    <t>978-7-03-069856-8</t>
  </si>
  <si>
    <t>中国科学传播报告. 2021</t>
  </si>
  <si>
    <t>中国科学院科学传播研究中心</t>
  </si>
  <si>
    <t>G219.2/97/2021</t>
  </si>
  <si>
    <t>978-7-01-023277-5</t>
  </si>
  <si>
    <t>中国青年新闻记者学会纪念文集</t>
  </si>
  <si>
    <t>陈海东</t>
  </si>
  <si>
    <t>G219.29/46</t>
  </si>
  <si>
    <t>978-7-5639-7047-6</t>
  </si>
  <si>
    <t>广播电视与新媒体技术融合研究</t>
  </si>
  <si>
    <t>金晶</t>
  </si>
  <si>
    <t>G220/69</t>
  </si>
  <si>
    <t>978-7-5639-7538-9</t>
  </si>
  <si>
    <t>融合发展视角下广播电视艺术与新媒体发展研究</t>
  </si>
  <si>
    <t>马阗</t>
  </si>
  <si>
    <t>G220/70</t>
  </si>
  <si>
    <t>978-7-5639-7437-5</t>
  </si>
  <si>
    <t>当代播音主持艺术与发展探究</t>
  </si>
  <si>
    <t>郭丽娟</t>
  </si>
  <si>
    <t>G222.2/151</t>
  </si>
  <si>
    <t>978-7-5697-0593-5</t>
  </si>
  <si>
    <t>播音主持综合训练教程</t>
  </si>
  <si>
    <t>杨小锋, 王博</t>
  </si>
  <si>
    <t>G222.2/152</t>
  </si>
  <si>
    <t>978-7-5639-7517-4</t>
  </si>
  <si>
    <t>当代播音与主持语言创作创新研究</t>
  </si>
  <si>
    <t>G222.2/153</t>
  </si>
  <si>
    <t>978-7-5647-7236-9</t>
  </si>
  <si>
    <t>跨文化传播视野下的电视节目创新研究</t>
  </si>
  <si>
    <t>李艳丹</t>
  </si>
  <si>
    <t>G222.3/173</t>
  </si>
  <si>
    <t>978-7-5115-6772-7</t>
  </si>
  <si>
    <t>突围: 我国电视经济节目发展历程研究</t>
  </si>
  <si>
    <t>董华峰</t>
  </si>
  <si>
    <t>G222.3/174</t>
  </si>
  <si>
    <t>978-7-300-30025-2</t>
  </si>
  <si>
    <t>《全国新闻》: 电视与受众研究</t>
  </si>
  <si>
    <t>(英) 戴维·莫利, 夏洛特·布伦斯顿</t>
  </si>
  <si>
    <t>G222.3/175</t>
  </si>
  <si>
    <t>978-7-5166-5046-2</t>
  </si>
  <si>
    <t>中国电视节目创新问题及创新途径探索研究</t>
  </si>
  <si>
    <t>郭敏</t>
  </si>
  <si>
    <t>G222.3/176</t>
  </si>
  <si>
    <t>978-7-309-15797-0</t>
  </si>
  <si>
    <t>言说与回应: 网络剧受众话语建构</t>
  </si>
  <si>
    <t>胡月</t>
  </si>
  <si>
    <t>G223/20</t>
  </si>
  <si>
    <t>978-7-209-12372-3</t>
  </si>
  <si>
    <t>电视媒体融合创意论</t>
  </si>
  <si>
    <t>白传之, 马池珠</t>
  </si>
  <si>
    <t>G229.2/131</t>
  </si>
  <si>
    <t>978-7-03-068319-9</t>
  </si>
  <si>
    <t>三网融合时代的电视竞争与规制</t>
  </si>
  <si>
    <t xml:space="preserve">胡汉辉 ...  </t>
  </si>
  <si>
    <t>G229.2/132</t>
  </si>
  <si>
    <t>978-7-313-25269-2</t>
  </si>
  <si>
    <t>冲浪之歌: 上海电视的创业创新案例</t>
  </si>
  <si>
    <t>孙泽敏</t>
  </si>
  <si>
    <t>G229.2/133</t>
  </si>
  <si>
    <t>978-7-5648-3992-5</t>
  </si>
  <si>
    <t>创新视角下的电视节目对外输出研究</t>
  </si>
  <si>
    <t>许静</t>
  </si>
  <si>
    <t>G229.2/134</t>
  </si>
  <si>
    <t>978-7-02-016654-1</t>
  </si>
  <si>
    <t>十年: 从改变电视的语态开始</t>
  </si>
  <si>
    <t>孙玉胜</t>
  </si>
  <si>
    <t>人民文学出版社</t>
  </si>
  <si>
    <t>G229.2/45=2D</t>
  </si>
  <si>
    <t>978-7-200-12578-8</t>
  </si>
  <si>
    <t>语文修养</t>
  </si>
  <si>
    <t>刘叶秋</t>
  </si>
  <si>
    <t>G232/55</t>
  </si>
  <si>
    <t>978-7-5649-4812-2</t>
  </si>
  <si>
    <t>大学出版社治理研究</t>
  </si>
  <si>
    <t>孙保营</t>
  </si>
  <si>
    <t>G239.22/19</t>
  </si>
  <si>
    <t>978-7-5581-8402-4</t>
  </si>
  <si>
    <t>现代会展经济理论及其商业创新应用研究</t>
  </si>
  <si>
    <t>焦豫</t>
  </si>
  <si>
    <t>G245/119</t>
  </si>
  <si>
    <t>978-7-301-32624-4</t>
  </si>
  <si>
    <t>以书会友: 十八世纪的书籍社交</t>
  </si>
  <si>
    <t>(英) 阿比盖尔·威廉姆斯</t>
  </si>
  <si>
    <t>G252.17/50</t>
  </si>
  <si>
    <t>978-7-300-29726-2</t>
  </si>
  <si>
    <t>如何进行文献回顾</t>
  </si>
  <si>
    <t>(美) 安东尼·J. 安伍布奇, 瑞贝卡·弗雷尔斯</t>
  </si>
  <si>
    <t>G255/8</t>
  </si>
  <si>
    <t>978-7-214-26085-7</t>
  </si>
  <si>
    <t>从0到1的管理笔记: 新型国际化大学图书馆十年创见</t>
  </si>
  <si>
    <t>毕新</t>
  </si>
  <si>
    <t>G258.6/44</t>
  </si>
  <si>
    <t>978-7-5578-7879-5</t>
  </si>
  <si>
    <t>高校智慧图书馆服务创新研究</t>
  </si>
  <si>
    <t>杨灿明</t>
  </si>
  <si>
    <t>G258.6/45</t>
  </si>
  <si>
    <t>978-7-5578-7541-1</t>
  </si>
  <si>
    <t>教育理论发展与教育实践研究</t>
  </si>
  <si>
    <t>程兴中, 刘冠男, 刘洋</t>
  </si>
  <si>
    <t>G40/493</t>
  </si>
  <si>
    <t>978-7-302-58446-9</t>
  </si>
  <si>
    <t>向美而行: 清华大学美育之路</t>
  </si>
  <si>
    <t>刘巨德</t>
  </si>
  <si>
    <t>G40/494</t>
  </si>
  <si>
    <t>978-7-302-58749-1</t>
  </si>
  <si>
    <t>核心素养导向的STEM教育</t>
  </si>
  <si>
    <t>杜娟, 石雪飞, 邹丽娜</t>
  </si>
  <si>
    <t>G40-05/19</t>
  </si>
  <si>
    <t>978-7-5681-6636-2</t>
  </si>
  <si>
    <t>理解教育管理与政策</t>
  </si>
  <si>
    <t>杨颖秀</t>
  </si>
  <si>
    <t>G40-058/7</t>
  </si>
  <si>
    <t>978-7-5668-3004-3</t>
  </si>
  <si>
    <t>极简微课设计与制作</t>
  </si>
  <si>
    <t>黄俊生, 林晓宏</t>
  </si>
  <si>
    <t>G436/15</t>
  </si>
  <si>
    <t>978-7-302-56946-6</t>
  </si>
  <si>
    <t>教育心理学</t>
  </si>
  <si>
    <t>夏凤琴, 姜淑梅</t>
  </si>
  <si>
    <t>G44/98=2D</t>
  </si>
  <si>
    <t>978-7-5731-0502-8</t>
  </si>
  <si>
    <t>从理论走向实践: 心理与教育的融合研究</t>
  </si>
  <si>
    <t>纪国和, 张文霞, 李淑莲</t>
  </si>
  <si>
    <t>G444/121</t>
  </si>
  <si>
    <t>978-7-5203-8549-7</t>
  </si>
  <si>
    <t>青少年手机依赖及其协同治理研究</t>
  </si>
  <si>
    <t>G444/122</t>
  </si>
  <si>
    <t>978-7-5578-7881-8</t>
  </si>
  <si>
    <t>互联网+背景下大学生心理健康教育模式的重塑与构建</t>
  </si>
  <si>
    <t>路风华</t>
  </si>
  <si>
    <t>G444/123</t>
  </si>
  <si>
    <t>978-7-301-32649-7</t>
  </si>
  <si>
    <t>综合素质: 中学</t>
  </si>
  <si>
    <t>谢先国</t>
  </si>
  <si>
    <t>G451.1/11=2D</t>
  </si>
  <si>
    <t>978-7-5656-4779-6</t>
  </si>
  <si>
    <t>教师招聘考试专用教材: 教育理论基础: 通用版</t>
  </si>
  <si>
    <t>山香教师招聘考试命题研究中心</t>
  </si>
  <si>
    <t>首都师范大学出版社</t>
  </si>
  <si>
    <t>G451.1/12</t>
  </si>
  <si>
    <t>G451.1/12-2</t>
  </si>
  <si>
    <t>978-7-5681-6638-6</t>
  </si>
  <si>
    <t>近代以来中国教育改革与发展研究</t>
  </si>
  <si>
    <t>曲铁华</t>
  </si>
  <si>
    <t>G529.5/11</t>
  </si>
  <si>
    <t>978-7-5681-6633-1</t>
  </si>
  <si>
    <t>中国教育史前沿问题研究</t>
  </si>
  <si>
    <t>王凌皓</t>
  </si>
  <si>
    <t>G529/44</t>
  </si>
  <si>
    <t>工业革命与英国儿童教育</t>
  </si>
  <si>
    <t>施义慧</t>
  </si>
  <si>
    <t>G556.1/5</t>
  </si>
  <si>
    <t>978-7-214-26312-4</t>
  </si>
  <si>
    <t>让阅读成为生活方式: 儿童阅读与学科整合的课程开发实践</t>
  </si>
  <si>
    <t>毛珊凤</t>
  </si>
  <si>
    <t>G623.2/25</t>
  </si>
  <si>
    <t>978-7-5681-6637-9</t>
  </si>
  <si>
    <t>课程改革背景下的课程研究</t>
  </si>
  <si>
    <t>吕立杰</t>
  </si>
  <si>
    <t>G632.3/60</t>
  </si>
  <si>
    <t>978-7-5681-6645-4</t>
  </si>
  <si>
    <t>基础教育课程教材改革前沿问题研究</t>
  </si>
  <si>
    <t>刘学智</t>
  </si>
  <si>
    <t>G632.3/61</t>
  </si>
  <si>
    <t>978-7-100-20076-9</t>
  </si>
  <si>
    <t>文言教学法</t>
  </si>
  <si>
    <t>张必锟</t>
  </si>
  <si>
    <t>G633.302/33</t>
  </si>
  <si>
    <t>978-7-5578-7167-3</t>
  </si>
  <si>
    <t>体育与健康教学策略与学业质量评价</t>
  </si>
  <si>
    <t>辛艳军</t>
  </si>
  <si>
    <t>G633.962/8</t>
  </si>
  <si>
    <t>978-7-5681-1546-9</t>
  </si>
  <si>
    <t>教师专业成长路上的思与行</t>
  </si>
  <si>
    <t xml:space="preserve">王春光 ...  </t>
  </si>
  <si>
    <t>G635.12/26</t>
  </si>
  <si>
    <t>978-7-214-26217-2</t>
  </si>
  <si>
    <t>校长行走在校园里的文化符号</t>
  </si>
  <si>
    <t>蒋晓敏</t>
  </si>
  <si>
    <t>G637.1/29</t>
  </si>
  <si>
    <t>978-7-5681-6392-7</t>
  </si>
  <si>
    <t>教育教学实践智慧生成的思与行</t>
  </si>
  <si>
    <t xml:space="preserve">庞孟栀 ...  </t>
  </si>
  <si>
    <t>G639.2/728</t>
  </si>
  <si>
    <t>978-7-5692-8582-6</t>
  </si>
  <si>
    <t>大学生红色文化精神教育</t>
  </si>
  <si>
    <t>肖本新</t>
  </si>
  <si>
    <t>G641.2/14</t>
  </si>
  <si>
    <t>978-7-5684-1658-0</t>
  </si>
  <si>
    <t>文化润校: 中国精神沐校园</t>
  </si>
  <si>
    <t>林枫, 王桂龙</t>
  </si>
  <si>
    <t>G641.4/22</t>
  </si>
  <si>
    <t>978-7-5639-6893-0</t>
  </si>
  <si>
    <t>新时代大学生责任意识培养研究</t>
  </si>
  <si>
    <t>罗朝安</t>
  </si>
  <si>
    <t>G641.6/89</t>
  </si>
  <si>
    <t>978-7-5534-5899-1</t>
  </si>
  <si>
    <t>新时代大学生思想道德修养与法律教育实践研究</t>
  </si>
  <si>
    <t>丁洁</t>
  </si>
  <si>
    <t>G641.6/90</t>
  </si>
  <si>
    <t>978-7-305-24501-5</t>
  </si>
  <si>
    <t>思想道德修养与法律基础实践教程</t>
  </si>
  <si>
    <t>闫小宇, 徐超</t>
  </si>
  <si>
    <t>G641.6/91</t>
  </si>
  <si>
    <t>978-7-313-23685-2</t>
  </si>
  <si>
    <t>大学生社会责任感培育路径研究</t>
  </si>
  <si>
    <t>杨晓华</t>
  </si>
  <si>
    <t>G641.6/92</t>
  </si>
  <si>
    <t>978-7-5165-2280-6</t>
  </si>
  <si>
    <t>大学生国防教育教程</t>
  </si>
  <si>
    <t>杨伟才, 林文, 王庆余</t>
  </si>
  <si>
    <t>航空工业出版社</t>
  </si>
  <si>
    <t>G641.8/22</t>
  </si>
  <si>
    <t>978-7-5603-9416-9</t>
  </si>
  <si>
    <t>新编大学军事技能教程</t>
  </si>
  <si>
    <t>王立涛, 王立滨, 刘畅</t>
  </si>
  <si>
    <t>G641.8/23</t>
  </si>
  <si>
    <t>978-7-5165-2046-8</t>
  </si>
  <si>
    <t>新时代 新国防: 大学生国防教育与军事训练</t>
  </si>
  <si>
    <t>黄祥庆, 邹漳木, 陈玉池</t>
  </si>
  <si>
    <t>G641.8/24</t>
  </si>
  <si>
    <t>978-7-5692-6672-6</t>
  </si>
  <si>
    <t>大学生思想政治教育的理论与实践</t>
  </si>
  <si>
    <t>张慧荣</t>
  </si>
  <si>
    <t>G641/502</t>
  </si>
  <si>
    <t>978-7-5692-9210-7</t>
  </si>
  <si>
    <t>新时代高校思想政治理论课改革与创新研究</t>
  </si>
  <si>
    <t>马光焱, 王晓光</t>
  </si>
  <si>
    <t>G641/503</t>
  </si>
  <si>
    <t>978-7-5581-6930-4</t>
  </si>
  <si>
    <t>大学生思想教育对策研究</t>
  </si>
  <si>
    <t>G641/504</t>
  </si>
  <si>
    <t>978-7-5581-8334-8</t>
  </si>
  <si>
    <t>当代大学生思想道德建设方法论</t>
  </si>
  <si>
    <t>李娜, 胡少波, 王晓莉</t>
  </si>
  <si>
    <t>G641/505</t>
  </si>
  <si>
    <t>978-7-5581-8293-8</t>
  </si>
  <si>
    <t>大学生思想政治教育对策研究</t>
  </si>
  <si>
    <t>柳琼, 韩冰, 张薇</t>
  </si>
  <si>
    <t>G641/506</t>
  </si>
  <si>
    <t>978-7-5581-8324-9</t>
  </si>
  <si>
    <t>传统文化与大学生思想政治教育的创新</t>
  </si>
  <si>
    <t>李苗, 崔巧玲, 周振兴</t>
  </si>
  <si>
    <t>G641/507</t>
  </si>
  <si>
    <t>978-7-5639-7734-5</t>
  </si>
  <si>
    <t>高校思政课教学质量问题研究</t>
  </si>
  <si>
    <t>陈彦雄</t>
  </si>
  <si>
    <t>G641/508</t>
  </si>
  <si>
    <t>978-7-5692-8500-0</t>
  </si>
  <si>
    <t>大学生思想政治教育与法治教育融合研究</t>
  </si>
  <si>
    <t>付婉莹</t>
  </si>
  <si>
    <t>G641/509</t>
  </si>
  <si>
    <t>978-7-5639-7382-8</t>
  </si>
  <si>
    <t>新时代大学生思想政治教育发展探索</t>
  </si>
  <si>
    <t>吉爱明</t>
  </si>
  <si>
    <t>G641/510</t>
  </si>
  <si>
    <t>978-7-5504-4979-4</t>
  </si>
  <si>
    <t>高校思想政治理论课教学方法创新研究</t>
  </si>
  <si>
    <t>唐荣</t>
  </si>
  <si>
    <t>G641/511</t>
  </si>
  <si>
    <t>978-7-5581-8319-5</t>
  </si>
  <si>
    <t>以新发展理念提升高校思想教育质量研究</t>
  </si>
  <si>
    <t>黄大周</t>
  </si>
  <si>
    <t>G641/512</t>
  </si>
  <si>
    <t>978-7-205-10048-3</t>
  </si>
  <si>
    <t>奋斗的青春最美丽: 做新时代德智体美劳全面发展的大学生</t>
  </si>
  <si>
    <t>刘明明, 胡守敏</t>
  </si>
  <si>
    <t>G641/513</t>
  </si>
  <si>
    <t>978-7-5504-4460-7</t>
  </si>
  <si>
    <t>思想政治理论课教学中的美育融入研究</t>
  </si>
  <si>
    <t xml:space="preserve">龙娜 ...  </t>
  </si>
  <si>
    <t>G641/514</t>
  </si>
  <si>
    <t>978-7-5581-8742-1</t>
  </si>
  <si>
    <t>微时代背景下大学生思想政治教育创新研究</t>
  </si>
  <si>
    <t>杨睿</t>
  </si>
  <si>
    <t>G641/515</t>
  </si>
  <si>
    <t>978-7-307-22403-2</t>
  </si>
  <si>
    <t>课程论视域下大学生思想道德与法治教育研究</t>
  </si>
  <si>
    <t>王卉</t>
  </si>
  <si>
    <t>G641/516</t>
  </si>
  <si>
    <t>978-7-5639-7572-3</t>
  </si>
  <si>
    <t>基于新媒体环境的大学生思想政治教育研究</t>
  </si>
  <si>
    <t>翟霖森</t>
  </si>
  <si>
    <t>G641/517</t>
  </si>
  <si>
    <t>978-7-205-09878-0</t>
  </si>
  <si>
    <t>网络时代大学生思想政治教育发展与创新研究</t>
  </si>
  <si>
    <t>李晗</t>
  </si>
  <si>
    <t>G641/518</t>
  </si>
  <si>
    <t>978-7-5639-7646-1</t>
  </si>
  <si>
    <t>高校思政课程建设与大学生人文精神培养</t>
  </si>
  <si>
    <t>崔岚</t>
  </si>
  <si>
    <t>G641/519</t>
  </si>
  <si>
    <t>978-7-5639-7377-4</t>
  </si>
  <si>
    <t>思想政治理论课综合实践教程</t>
  </si>
  <si>
    <t>张伟, 魏范京</t>
  </si>
  <si>
    <t>G641/520</t>
  </si>
  <si>
    <t>978-7-01-023193-8</t>
  </si>
  <si>
    <t>文化哲学视域下大学道德教育理念的演进逻辑</t>
  </si>
  <si>
    <t>郑忠梅</t>
  </si>
  <si>
    <t>G641/521</t>
  </si>
  <si>
    <t>978-7-01-023435-9</t>
  </si>
  <si>
    <t>中国共产党高校思想政治教育发展史</t>
  </si>
  <si>
    <t>冯刚, 张晓平, 苏洁</t>
  </si>
  <si>
    <t>G641/522</t>
  </si>
  <si>
    <t>978-7-5615-8386-9</t>
  </si>
  <si>
    <t>思想政治理论课情感教学论</t>
  </si>
  <si>
    <t>许晓玲</t>
  </si>
  <si>
    <t>G641/523</t>
  </si>
  <si>
    <t>978-7-5681-5025-5</t>
  </si>
  <si>
    <t>转型与发展: 信息时代下高校思想政治工作的创新与实践</t>
  </si>
  <si>
    <t>燕艳</t>
  </si>
  <si>
    <t>G641/524</t>
  </si>
  <si>
    <t>978-7-5692-9049-3</t>
  </si>
  <si>
    <t>基于移动互联技术的“思想道德与法治”教学设计</t>
  </si>
  <si>
    <t>李世黎</t>
  </si>
  <si>
    <t>G641/525</t>
  </si>
  <si>
    <t>978-7-5639-7501-3</t>
  </si>
  <si>
    <t>高校学生党建与思想政治教育实践研究</t>
  </si>
  <si>
    <t>颜笑, 李冰</t>
  </si>
  <si>
    <t>G641/526</t>
  </si>
  <si>
    <t>978-7-5607-7010-9</t>
  </si>
  <si>
    <t>大学生马克思主义宗教观教育研究</t>
  </si>
  <si>
    <t>秦晓华</t>
  </si>
  <si>
    <t>G641/527</t>
  </si>
  <si>
    <t>978-7-5656-6564-6</t>
  </si>
  <si>
    <t>春风化雨 铸魂育人: 首都师范大学课程思政教学研究论文集</t>
  </si>
  <si>
    <t>孙士聪</t>
  </si>
  <si>
    <t>G641/528</t>
  </si>
  <si>
    <t>978-7-5117-3881-3</t>
  </si>
  <si>
    <t>新时代大学生理想信念研究</t>
  </si>
  <si>
    <t>田永静</t>
  </si>
  <si>
    <t>G641/529</t>
  </si>
  <si>
    <t>978-7-5117-3880-6</t>
  </si>
  <si>
    <t>绽放的火花: “活动思政”与思政活动</t>
  </si>
  <si>
    <t>黄国辉</t>
  </si>
  <si>
    <t>G641/530</t>
  </si>
  <si>
    <t>978-7-5504-4815-5</t>
  </si>
  <si>
    <t>课程思政与财经高等教育教学改革</t>
  </si>
  <si>
    <t>蒋远胜, 陶睿</t>
  </si>
  <si>
    <t>G641/531</t>
  </si>
  <si>
    <t>978-7-5697-0796-0</t>
  </si>
  <si>
    <t>新时代高校思想政治教育创新研究</t>
  </si>
  <si>
    <t>谈娅</t>
  </si>
  <si>
    <t>G641/532</t>
  </si>
  <si>
    <t>978-7-300-29894-8</t>
  </si>
  <si>
    <t>思想政治教育理论与实践的探索</t>
  </si>
  <si>
    <t>戴艳军, 王嘉驰</t>
  </si>
  <si>
    <t>G641/533</t>
  </si>
  <si>
    <t>978-7-5201-8677-3</t>
  </si>
  <si>
    <t>大学立德树人以文化人探究录</t>
  </si>
  <si>
    <t>屈哨兵</t>
  </si>
  <si>
    <t>G641/534</t>
  </si>
  <si>
    <t>978-7-5692-9212-1</t>
  </si>
  <si>
    <t>思想政治教育理论与实践研究</t>
  </si>
  <si>
    <t>浙江旅游职业学院马克思主义学院</t>
  </si>
  <si>
    <t>G641/535</t>
  </si>
  <si>
    <t>978-7-5607-7121-2</t>
  </si>
  <si>
    <t>高校理想教育变革研究</t>
  </si>
  <si>
    <t>徐晓霞</t>
  </si>
  <si>
    <t>G641/536</t>
  </si>
  <si>
    <t>978-7-5165-2437-4</t>
  </si>
  <si>
    <t>校园安全教育</t>
  </si>
  <si>
    <t>张新春, 杨帆, 许振华</t>
  </si>
  <si>
    <t>G641/537</t>
  </si>
  <si>
    <t>978-7-5581-8472-7</t>
  </si>
  <si>
    <t>新媒体与大学生思想政治教育研究</t>
  </si>
  <si>
    <t>朱金山</t>
  </si>
  <si>
    <t>G641/538</t>
  </si>
  <si>
    <t>978-7-5201-8998-9</t>
  </si>
  <si>
    <t>思想政治教育者素质论</t>
  </si>
  <si>
    <t>刘五景</t>
  </si>
  <si>
    <t>G641/539</t>
  </si>
  <si>
    <t>978-7-01-023318-5</t>
  </si>
  <si>
    <t>现代信息技术与高校思想政治理论课教育教学深度融合研究</t>
  </si>
  <si>
    <t>李梁</t>
  </si>
  <si>
    <t>G641/540</t>
  </si>
  <si>
    <t>978-7-5581-8445-1</t>
  </si>
  <si>
    <t>社会主义核心价值观与高校思想政治教育研究</t>
  </si>
  <si>
    <t>徐金平</t>
  </si>
  <si>
    <t>G641/541</t>
  </si>
  <si>
    <t>978-7-5504-4833-9</t>
  </si>
  <si>
    <t>高校思想政治教育理念在体育教育中的融入研究</t>
  </si>
  <si>
    <t>李治, 杨远波</t>
  </si>
  <si>
    <t>G641/542</t>
  </si>
  <si>
    <t>978-7-5504-4365-5</t>
  </si>
  <si>
    <t>高校第二课堂思想政治工作载体创新研究</t>
  </si>
  <si>
    <t>周航</t>
  </si>
  <si>
    <t>G641/543</t>
  </si>
  <si>
    <t>978-7-5615-8332-6</t>
  </si>
  <si>
    <t>新时代高校思政课STEMP教学设计模式探究</t>
  </si>
  <si>
    <t>汪广荣</t>
  </si>
  <si>
    <t>G641/544</t>
  </si>
  <si>
    <t>978-7-5639-7607-2</t>
  </si>
  <si>
    <t>全媒体环境下高校思政教育改革创新研究</t>
  </si>
  <si>
    <t>G641/545</t>
  </si>
  <si>
    <t>978-7-01-023580-6</t>
  </si>
  <si>
    <t>走近当代大学生: 有温度的思政教育</t>
  </si>
  <si>
    <t>万明</t>
  </si>
  <si>
    <t>G641/546</t>
  </si>
  <si>
    <t>978-7-5639-7562-4</t>
  </si>
  <si>
    <t>全媒体环境下高校思政教育新探索</t>
  </si>
  <si>
    <t>秦艳姣</t>
  </si>
  <si>
    <t>G641/547</t>
  </si>
  <si>
    <t>978-7-5581-8290-7</t>
  </si>
  <si>
    <t>大学生思想政治教育与校园文化建设</t>
  </si>
  <si>
    <t>史逸君, 朱放敏, 余友情</t>
  </si>
  <si>
    <t>G641/548</t>
  </si>
  <si>
    <t>978-7-5581-6734-8</t>
  </si>
  <si>
    <t>哲学与大学生价值观的关系</t>
  </si>
  <si>
    <t>彭丽, 沈定军</t>
  </si>
  <si>
    <t>G641/549</t>
  </si>
  <si>
    <t>978-7-5581-8309-6</t>
  </si>
  <si>
    <t>高校大学生价值观与思想政治教育创新研究</t>
  </si>
  <si>
    <t>李鹏</t>
  </si>
  <si>
    <t>G641/550</t>
  </si>
  <si>
    <t>978-7-214-26252-3</t>
  </si>
  <si>
    <t>“三进三知”思想政治教育共同体论</t>
  </si>
  <si>
    <t>史国君</t>
  </si>
  <si>
    <t>G641/551</t>
  </si>
  <si>
    <t>978-7-5639-7571-6</t>
  </si>
  <si>
    <t>高校思想政治教育中传统文化的价值研究</t>
  </si>
  <si>
    <t>岳东起</t>
  </si>
  <si>
    <t>G641/552</t>
  </si>
  <si>
    <t>978-7-5648-4275-8</t>
  </si>
  <si>
    <t>新时代独立学院思想政治理论课建设研究</t>
  </si>
  <si>
    <t>禹旭才, 张琳</t>
  </si>
  <si>
    <t>G641/553</t>
  </si>
  <si>
    <t>978-7-5581-8329-4</t>
  </si>
  <si>
    <t>大学生思想教育对策与模式发展研究</t>
  </si>
  <si>
    <t>马军红</t>
  </si>
  <si>
    <t>G641/554</t>
  </si>
  <si>
    <t>978-7-5581-8332-4</t>
  </si>
  <si>
    <t>大数据时代思想政治教育创新发展研究</t>
  </si>
  <si>
    <t>彭晓宽</t>
  </si>
  <si>
    <t>G641/555</t>
  </si>
  <si>
    <t>978-7-01-023057-3</t>
  </si>
  <si>
    <t>价值多元背景下大学生价值观引导研究</t>
  </si>
  <si>
    <t>曹清燕</t>
  </si>
  <si>
    <t>G641/556</t>
  </si>
  <si>
    <t>978-7-206-17723-1</t>
  </si>
  <si>
    <t>高校实践育人研究</t>
  </si>
  <si>
    <t>赵巧玲, 宗晓兰</t>
  </si>
  <si>
    <t>G641/557</t>
  </si>
  <si>
    <t>978-7-5117-3944-5</t>
  </si>
  <si>
    <t>新时代高校思想政治教育及思想政治理论课教学研究</t>
  </si>
  <si>
    <t>韩振峰</t>
  </si>
  <si>
    <t>G641/558</t>
  </si>
  <si>
    <t>978-7-5697-0878-3</t>
  </si>
  <si>
    <t>外语教育中的课程思政探索</t>
  </si>
  <si>
    <t>文旭, 徐天虹</t>
  </si>
  <si>
    <t>G641/559</t>
  </si>
  <si>
    <t>978-7-207-12531-6</t>
  </si>
  <si>
    <t>理论的丰碑: 新时代大学生读马列经典感悟集</t>
  </si>
  <si>
    <t>马松红, 史俊杰, 汪莙霞</t>
  </si>
  <si>
    <t>G641/560</t>
  </si>
  <si>
    <t>978-7-5639-7609-6</t>
  </si>
  <si>
    <t>大数据时代高校思政工作创新研究</t>
  </si>
  <si>
    <t>张锐, 夏鑫</t>
  </si>
  <si>
    <t>G641/561</t>
  </si>
  <si>
    <t>978-7-5581-8467-3</t>
  </si>
  <si>
    <t>高校思想政治教育工作实效与方法研究</t>
  </si>
  <si>
    <t>周静</t>
  </si>
  <si>
    <t>G641/562</t>
  </si>
  <si>
    <t>978-7-5731-0474-8</t>
  </si>
  <si>
    <t>新时代高校思想教育模式多元化构建探究</t>
  </si>
  <si>
    <t>马艳萍, 张大伟, 姜玲玲</t>
  </si>
  <si>
    <t>G641/563</t>
  </si>
  <si>
    <t>978-7-5639-7385-9</t>
  </si>
  <si>
    <t>多媒体时代高校的思政教育研究</t>
  </si>
  <si>
    <t>陈金平</t>
  </si>
  <si>
    <t>G641/564</t>
  </si>
  <si>
    <t>978-7-5504-4526-0</t>
  </si>
  <si>
    <t>当代大学生思想道德教育创新研究</t>
  </si>
  <si>
    <t>刘姣</t>
  </si>
  <si>
    <t>G641/565</t>
  </si>
  <si>
    <t>978-7-5581-8396-6</t>
  </si>
  <si>
    <t>现代大学生思想政治教育多元化发展</t>
  </si>
  <si>
    <t>白月娇, 范林杰</t>
  </si>
  <si>
    <t>G641/566</t>
  </si>
  <si>
    <t>978-7-5647-8458-4</t>
  </si>
  <si>
    <t>课程思政与英语教学研究</t>
  </si>
  <si>
    <t>富婷, 曹景凯, 赵品一</t>
  </si>
  <si>
    <t>G641/567</t>
  </si>
  <si>
    <t>978-7-5615-8354-8</t>
  </si>
  <si>
    <t>高校思想政治工作体系理论与实践</t>
  </si>
  <si>
    <t>何丽新</t>
  </si>
  <si>
    <t>G641/568</t>
  </si>
  <si>
    <t>978-7-214-22792-8</t>
  </si>
  <si>
    <t>大学生理论热点面对面</t>
  </si>
  <si>
    <t>G641/569</t>
  </si>
  <si>
    <t>978-7-5653-3998-1</t>
  </si>
  <si>
    <t>大学生安全教育</t>
  </si>
  <si>
    <t>颜怡</t>
  </si>
  <si>
    <t>G641/570</t>
  </si>
  <si>
    <t>978-7-5650-4957-6</t>
  </si>
  <si>
    <t>大学生第二课堂指南</t>
  </si>
  <si>
    <t>梁樑</t>
  </si>
  <si>
    <t>G641/571</t>
  </si>
  <si>
    <t>978-7-306-07344-0</t>
  </si>
  <si>
    <t>新时期高校“三全育人”改革: 南方医科大学的实践探索</t>
  </si>
  <si>
    <t>陈敏生</t>
  </si>
  <si>
    <t>G641/572</t>
  </si>
  <si>
    <t>978-7-5690-3774-6</t>
  </si>
  <si>
    <t>思想理论教育研究. 第4辑</t>
  </si>
  <si>
    <t>徐海鑫, 纪志耿</t>
  </si>
  <si>
    <t>G641/573/4</t>
  </si>
  <si>
    <t>978-7-5581-8395-9</t>
  </si>
  <si>
    <t>社会主义核心价值观引领下的思政教育新发展</t>
  </si>
  <si>
    <t>王旭, 王鹤, 谢林</t>
  </si>
  <si>
    <t>G641/574</t>
  </si>
  <si>
    <t>978-7-5692-7343-4</t>
  </si>
  <si>
    <t>立德树人: 当代大学生思想政治教育创新研究</t>
  </si>
  <si>
    <t>冯仰生</t>
  </si>
  <si>
    <t>G641/575</t>
  </si>
  <si>
    <t>978-7-307-22371-4</t>
  </si>
  <si>
    <t>高校思政课公选课“三分课堂”建构与实践研究</t>
  </si>
  <si>
    <t>詹全友</t>
  </si>
  <si>
    <t>G641/576</t>
  </si>
  <si>
    <t>978-7-5648-4343-4</t>
  </si>
  <si>
    <t>新时代大学生思想政治教育获得感及其测评研究</t>
  </si>
  <si>
    <t>何旭娟, 周晓阳</t>
  </si>
  <si>
    <t>G641/577</t>
  </si>
  <si>
    <t>978-7-5504-4631-1</t>
  </si>
  <si>
    <t>家国情怀与责任担当: 战“疫”期间的思想政治理论课教学实践</t>
  </si>
  <si>
    <t>李志雄, 刘富胜, 王仕勇</t>
  </si>
  <si>
    <t>G641/578</t>
  </si>
  <si>
    <t>978-7-5517-2190-5</t>
  </si>
  <si>
    <t>优秀传统文化在高校思想政治教育中的实践应用</t>
  </si>
  <si>
    <t>黄惠</t>
  </si>
  <si>
    <t>G641/579</t>
  </si>
  <si>
    <t>978-7-5504-4488-1</t>
  </si>
  <si>
    <t>思想政治教育网络话语建构研究</t>
  </si>
  <si>
    <t>刘波</t>
  </si>
  <si>
    <t>G641-39/4</t>
  </si>
  <si>
    <t>978-7-5578-7878-8</t>
  </si>
  <si>
    <t>高校课程建设与改革发展路径研究</t>
  </si>
  <si>
    <t>李雪征</t>
  </si>
  <si>
    <t>G642.3/20</t>
  </si>
  <si>
    <t>978-7-5692-9708-9</t>
  </si>
  <si>
    <t>智慧课堂背景下混合式教学模式改革研究</t>
  </si>
  <si>
    <t>韩佳伶</t>
  </si>
  <si>
    <t>G642.421/9</t>
  </si>
  <si>
    <t>978-7-5661-3159-1</t>
  </si>
  <si>
    <t>大学生创业基础: 理论、实务与案例</t>
  </si>
  <si>
    <t>王东明, 张春艳</t>
  </si>
  <si>
    <t>G647.38/650</t>
  </si>
  <si>
    <t>978-7-5578-8051-4</t>
  </si>
  <si>
    <t>高校预算支出绩效管理研究</t>
  </si>
  <si>
    <t>邱向英</t>
  </si>
  <si>
    <t>G647.5/33</t>
  </si>
  <si>
    <t>978-7-206-17946-4</t>
  </si>
  <si>
    <t>新形势下高校财务管理与审计监督</t>
  </si>
  <si>
    <t>宋大龙</t>
  </si>
  <si>
    <t>G647.5/34</t>
  </si>
  <si>
    <t>978-7-121-38929-0</t>
  </si>
  <si>
    <t>世界大学排名与中国高水平大学建设</t>
  </si>
  <si>
    <t>郭丛斌</t>
  </si>
  <si>
    <t>G649.1/69</t>
  </si>
  <si>
    <t>978-7-302-57258-9</t>
  </si>
  <si>
    <t>记述与思考: 余寿文工程教育文集</t>
  </si>
  <si>
    <t>余寿文</t>
  </si>
  <si>
    <t>G649.2/155</t>
  </si>
  <si>
    <t>978-7-5681-6634-8</t>
  </si>
  <si>
    <t>教师教育研究新视界</t>
  </si>
  <si>
    <t>G65/2</t>
  </si>
  <si>
    <t>978-7-5681-6641-6</t>
  </si>
  <si>
    <t>教师教育: 基础研究与前沿探索</t>
  </si>
  <si>
    <t>饶从满</t>
  </si>
  <si>
    <t>G65/3</t>
  </si>
  <si>
    <t>978-7-5561-2545-6</t>
  </si>
  <si>
    <t>我们怎样做教师</t>
  </si>
  <si>
    <t>蔡元培, 陶行知, 夏丐尊</t>
  </si>
  <si>
    <t>G65/4</t>
  </si>
  <si>
    <t>978-7-5681-6642-3</t>
  </si>
  <si>
    <t>教师教育: 国际经验与本土实践</t>
  </si>
  <si>
    <t>李广</t>
  </si>
  <si>
    <t>G659.1/2</t>
  </si>
  <si>
    <t>978-7-5639-7723-9</t>
  </si>
  <si>
    <t>体育经营管理理论</t>
  </si>
  <si>
    <t>彭国芳, 闫增印</t>
  </si>
  <si>
    <t>G80-052/4</t>
  </si>
  <si>
    <t>978-7-5504-4378-5</t>
  </si>
  <si>
    <t>国际体育经济学研究热点和发展动态研究</t>
  </si>
  <si>
    <t>刘辛丹</t>
  </si>
  <si>
    <t>G80-052/5</t>
  </si>
  <si>
    <t>978-7-5504-4708-0</t>
  </si>
  <si>
    <t>新编体育经纪人教程</t>
  </si>
  <si>
    <t>范佳音</t>
  </si>
  <si>
    <t>G80-052/6=3D</t>
  </si>
  <si>
    <t>978-7-5009-6035-5</t>
  </si>
  <si>
    <t>体育心理实验指导手册</t>
  </si>
  <si>
    <t>郭玉江, 冯甜, 刘霞非</t>
  </si>
  <si>
    <t>人民体育出版社</t>
  </si>
  <si>
    <t>G804.8/18</t>
  </si>
  <si>
    <t>978-7-5692-6876-8</t>
  </si>
  <si>
    <t>身心潜能理论与激发训练创新研究</t>
  </si>
  <si>
    <t>陈亨明</t>
  </si>
  <si>
    <t>G804.8/19</t>
  </si>
  <si>
    <t>978-7-313-20887-3</t>
  </si>
  <si>
    <t>高水平运动员临场竞技心理状态的面部表情特征研究</t>
  </si>
  <si>
    <t>张松林</t>
  </si>
  <si>
    <t>G804.87/3</t>
  </si>
  <si>
    <t>978-7-5478-4430-4</t>
  </si>
  <si>
    <t>医生的运动笔记</t>
  </si>
  <si>
    <t>朱凌宇</t>
  </si>
  <si>
    <t>G804/11</t>
  </si>
  <si>
    <t>978-7-206-17260-1</t>
  </si>
  <si>
    <t>大学生体育锻炼与户外运动</t>
  </si>
  <si>
    <t>丁霞</t>
  </si>
  <si>
    <t>G806/50</t>
  </si>
  <si>
    <t>978-7-5607-6603-4</t>
  </si>
  <si>
    <t>体适能、体力活动与运动功能评估</t>
  </si>
  <si>
    <t>伊向仁</t>
  </si>
  <si>
    <t>G806/51</t>
  </si>
  <si>
    <t>978-7-5578-7535-0</t>
  </si>
  <si>
    <t>体育健身理论与实践研究</t>
  </si>
  <si>
    <t>王国平</t>
  </si>
  <si>
    <t>G806/52</t>
  </si>
  <si>
    <t>978-7-206-18452-9</t>
  </si>
  <si>
    <t>体育教学改革与创新实践研究</t>
  </si>
  <si>
    <t>杨艳生</t>
  </si>
  <si>
    <t>G807.01/29</t>
  </si>
  <si>
    <t>978-7-5166-5189-6</t>
  </si>
  <si>
    <t>创新教育理念下的体育课程建设与教学管理研究</t>
  </si>
  <si>
    <t>耿剑峰</t>
  </si>
  <si>
    <t>G807.01/30</t>
  </si>
  <si>
    <t>978-7-5639-7156-5</t>
  </si>
  <si>
    <t>体育教学与体育文化融合研究</t>
  </si>
  <si>
    <t>沙茜</t>
  </si>
  <si>
    <t>G807.01/31</t>
  </si>
  <si>
    <t>978-7-5731-0118-1</t>
  </si>
  <si>
    <t>信息技术与高效体育教学模式融合研究</t>
  </si>
  <si>
    <t>胡建文</t>
  </si>
  <si>
    <t>G807.01/32</t>
  </si>
  <si>
    <t>978-7-5639-7150-3</t>
  </si>
  <si>
    <t>我国学校体育教育发展战略与改革思考</t>
  </si>
  <si>
    <t>梁娟</t>
  </si>
  <si>
    <t>G807.01/33</t>
  </si>
  <si>
    <t>978-7-5639-7175-6</t>
  </si>
  <si>
    <t>体育教学理论及实训研究</t>
  </si>
  <si>
    <t>王伟</t>
  </si>
  <si>
    <t>G807.01/34</t>
  </si>
  <si>
    <t>978-7-5692-7692-3</t>
  </si>
  <si>
    <t>德育教育与体育教学应用研究</t>
  </si>
  <si>
    <t>田小静</t>
  </si>
  <si>
    <t>G807.01/35</t>
  </si>
  <si>
    <t>978-7-5009-5924-3</t>
  </si>
  <si>
    <t>体育教学理论研究与设计指导</t>
  </si>
  <si>
    <t>徐兰君</t>
  </si>
  <si>
    <t>G807.01/36</t>
  </si>
  <si>
    <t>978-7-5639-7575-4</t>
  </si>
  <si>
    <t>体育教学改革与发展动态研究</t>
  </si>
  <si>
    <t>李洪芳, 张迎宾</t>
  </si>
  <si>
    <t>G807.01/37</t>
  </si>
  <si>
    <t>978-7-5639-7435-1</t>
  </si>
  <si>
    <t>健康中国背景下学校体育的使命与实践研究</t>
  </si>
  <si>
    <t>沈泉平</t>
  </si>
  <si>
    <t>G807.01/38</t>
  </si>
  <si>
    <t>978-7-5622-9460-3</t>
  </si>
  <si>
    <t>基于成果导向的我国体育教育专业认证指标体系研究</t>
  </si>
  <si>
    <t>凌晨</t>
  </si>
  <si>
    <t>G807.01/39</t>
  </si>
  <si>
    <t>978-7-5692-8732-5</t>
  </si>
  <si>
    <t>大学体育实用教程</t>
  </si>
  <si>
    <t>张孔军</t>
  </si>
  <si>
    <t>G807.4/281</t>
  </si>
  <si>
    <t>978-7-5719-1082-2</t>
  </si>
  <si>
    <t>健康评价与运动处方</t>
  </si>
  <si>
    <t>杜雷, 姜燕, 王继雅</t>
  </si>
  <si>
    <t>G807.4/282</t>
  </si>
  <si>
    <t>978-7-5578-7909-9</t>
  </si>
  <si>
    <t>当代大学生体育与健康教育研究</t>
  </si>
  <si>
    <t>杨圣涛</t>
  </si>
  <si>
    <t>G807.4/283</t>
  </si>
  <si>
    <t>978-7-5639-7371-2</t>
  </si>
  <si>
    <t>高校体育教学与大学生体育实践能力培养研究</t>
  </si>
  <si>
    <t>温正义</t>
  </si>
  <si>
    <t>G807.4/284</t>
  </si>
  <si>
    <t>978-7-5639-7589-1</t>
  </si>
  <si>
    <t>大学体育教育理论与运动实践指导教程</t>
  </si>
  <si>
    <t>陈正江, 华景梅, 杨添朝</t>
  </si>
  <si>
    <t>G807.4/285</t>
  </si>
  <si>
    <t>978-7-5606-5814-8</t>
  </si>
  <si>
    <t>大学生体育与健康</t>
  </si>
  <si>
    <t>李庄, 叶祥文, 王红震</t>
  </si>
  <si>
    <t>西安电子科技大学出版社</t>
  </si>
  <si>
    <t>G807.4/286</t>
  </si>
  <si>
    <t>978-7-206-17128-4</t>
  </si>
  <si>
    <t>高校体育文化建设与大学生体育健康</t>
  </si>
  <si>
    <t>康丹丹, 施悦, 马烨军</t>
  </si>
  <si>
    <t>G807.4/287</t>
  </si>
  <si>
    <t>978-7-206-18388-1</t>
  </si>
  <si>
    <t>高校体育教育创新发展研究</t>
  </si>
  <si>
    <t>王冬梅</t>
  </si>
  <si>
    <t>G807.4/288</t>
  </si>
  <si>
    <t>978-7-5680-5639-7</t>
  </si>
  <si>
    <t>大学体育</t>
  </si>
  <si>
    <t>曹学, 刘鲲</t>
  </si>
  <si>
    <t>G807.4/289=2D</t>
  </si>
  <si>
    <t>978-7-5639-6841-1</t>
  </si>
  <si>
    <t>高校体育文化理论与实践研究</t>
  </si>
  <si>
    <t>董艳芬</t>
  </si>
  <si>
    <t>G807.4/290</t>
  </si>
  <si>
    <t>978-7-5578-7772-9</t>
  </si>
  <si>
    <t>高校体育教学与大学生体能训练</t>
  </si>
  <si>
    <t>张建梅</t>
  </si>
  <si>
    <t>G807.4/291</t>
  </si>
  <si>
    <t>978-7-206-18463-5</t>
  </si>
  <si>
    <t>当代高校体育教育理论与发展探究</t>
  </si>
  <si>
    <t>施小花</t>
  </si>
  <si>
    <t>G807.4/292</t>
  </si>
  <si>
    <t>978-7-206-16947-2</t>
  </si>
  <si>
    <t>“互联网+”时代基于O2O的体育硕士研究生专业理论教学模式研究</t>
  </si>
  <si>
    <t>加金轮</t>
  </si>
  <si>
    <t>G807.4/293</t>
  </si>
  <si>
    <t>978-7-5639-6838-1</t>
  </si>
  <si>
    <t>高校体育教学体系建设研究</t>
  </si>
  <si>
    <t>韩中</t>
  </si>
  <si>
    <t>G807.4/294</t>
  </si>
  <si>
    <t>978-7-5578-7334-9</t>
  </si>
  <si>
    <t>大学体育文化与运动训练研究</t>
  </si>
  <si>
    <t>何巧红</t>
  </si>
  <si>
    <t>G807.4/295</t>
  </si>
  <si>
    <t>978-7-5698-0299-3</t>
  </si>
  <si>
    <t>“互联网+教育”背景下高校体育教学创新思路研究</t>
  </si>
  <si>
    <t>马顺江</t>
  </si>
  <si>
    <t>辽宁大学出版社</t>
  </si>
  <si>
    <t>G807.4/296</t>
  </si>
  <si>
    <t>978-7-5578-7584-8</t>
  </si>
  <si>
    <t>大学体育教学改革与创新</t>
  </si>
  <si>
    <t>张琦, 柴猛</t>
  </si>
  <si>
    <t>G807.4/297</t>
  </si>
  <si>
    <t>978-7-5578-7585-5</t>
  </si>
  <si>
    <t>大学体育有效教学艺术</t>
  </si>
  <si>
    <t>任波, 李广国</t>
  </si>
  <si>
    <t>G807.4/298</t>
  </si>
  <si>
    <t>978-7-5639-7008-7</t>
  </si>
  <si>
    <t>新时期体育教学与改革探索</t>
  </si>
  <si>
    <t>姬红丽</t>
  </si>
  <si>
    <t>G807.4/299</t>
  </si>
  <si>
    <t>978-7-5639-6483-3</t>
  </si>
  <si>
    <t>能力导向视角下体育教育专业教学实践改革与创新</t>
  </si>
  <si>
    <t>何明辉</t>
  </si>
  <si>
    <t>G807.4/300</t>
  </si>
  <si>
    <t>978-7-5487-3400-0</t>
  </si>
  <si>
    <t>体育与健康</t>
  </si>
  <si>
    <t>易龙, 何佳, 何慧玲</t>
  </si>
  <si>
    <t>中南大学出版社</t>
  </si>
  <si>
    <t>G807.4/301</t>
  </si>
  <si>
    <t>978-7-5581-8724-7</t>
  </si>
  <si>
    <t>大学生体育运动与体育文化研究</t>
  </si>
  <si>
    <t>沈竹雅</t>
  </si>
  <si>
    <t>G807.4/302</t>
  </si>
  <si>
    <t>978-7-5690-2282-7</t>
  </si>
  <si>
    <t>学术史视野下的中国体育教学论学科研究</t>
  </si>
  <si>
    <t>赵利</t>
  </si>
  <si>
    <t>G807.4/303</t>
  </si>
  <si>
    <t>978-7-5578-7728-6</t>
  </si>
  <si>
    <t>高校体育文化教育与运动研究</t>
  </si>
  <si>
    <t>张鹏</t>
  </si>
  <si>
    <t>G807.4/304</t>
  </si>
  <si>
    <t>978-7-5639-6894-7</t>
  </si>
  <si>
    <t>新时期体育教学管理与教学质量提高综合研究</t>
  </si>
  <si>
    <t>苑莎</t>
  </si>
  <si>
    <t>G807.4/305</t>
  </si>
  <si>
    <t>978-7-5606-5856-8</t>
  </si>
  <si>
    <t>大学体育与健康教程</t>
  </si>
  <si>
    <t>王德平, 黄朕</t>
  </si>
  <si>
    <t>G807.4/306</t>
  </si>
  <si>
    <t>978-7-206-17144-4</t>
  </si>
  <si>
    <t>现代学校体育教学理论与方法</t>
  </si>
  <si>
    <t>李婷婷, 刘琦, 原宗鑫</t>
  </si>
  <si>
    <t>G807.4/307</t>
  </si>
  <si>
    <t>978-7-206-17039-3</t>
  </si>
  <si>
    <t>我国高校公共体育课程教学的发展与改革探究</t>
  </si>
  <si>
    <t>刘汉平, 朱从庆</t>
  </si>
  <si>
    <t>G807.4/308</t>
  </si>
  <si>
    <t>978-7-5648-3831-7</t>
  </si>
  <si>
    <t>我国体育教师专业标准构建研究</t>
  </si>
  <si>
    <t>王健, 董国永</t>
  </si>
  <si>
    <t>G807/19</t>
  </si>
  <si>
    <t>978-7-5639-7372-9</t>
  </si>
  <si>
    <t>大学生体育训练教学发展</t>
  </si>
  <si>
    <t>韩相伟</t>
  </si>
  <si>
    <t>G808.1/22</t>
  </si>
  <si>
    <t>978-7-5639-7738-3</t>
  </si>
  <si>
    <t>基于体育强国背景的现代运动训练方法研究</t>
  </si>
  <si>
    <t>陶郁, 魏嵩, 范启国</t>
  </si>
  <si>
    <t>G808.1/23</t>
  </si>
  <si>
    <t>978-7-115-52743-1</t>
  </si>
  <si>
    <t>快速伸缩复合训练解剖学: 全彩图解版</t>
  </si>
  <si>
    <t>(英) 德里克·汉森, 史蒂夫·肯内利</t>
  </si>
  <si>
    <t>G808.1/24</t>
  </si>
  <si>
    <t>978-7-115-55637-0</t>
  </si>
  <si>
    <t>高强度训练宝典</t>
  </si>
  <si>
    <t>(美) 丹·特林克</t>
  </si>
  <si>
    <t>G808.1/25=2D</t>
  </si>
  <si>
    <t>978-7-5639-7591-4</t>
  </si>
  <si>
    <t>体育运动理论知识与健身项目科学训练实用教程</t>
  </si>
  <si>
    <t>陈正江, 李韬, 魏星临</t>
  </si>
  <si>
    <t>G808.1/26</t>
  </si>
  <si>
    <t>978-7-5639-7112-1</t>
  </si>
  <si>
    <t>高校体育运动理论与训练方法实践研究</t>
  </si>
  <si>
    <t>于洋</t>
  </si>
  <si>
    <t>G808.1/27</t>
  </si>
  <si>
    <t>978-7-115-52218-4</t>
  </si>
  <si>
    <t>高强度训练的艺术</t>
  </si>
  <si>
    <t>(法) 奥雷利安·布鲁萨尔-德瓦尔, 斯特凡纳·加诺</t>
  </si>
  <si>
    <t>G808.1/28</t>
  </si>
  <si>
    <t>978-7-115-49519-8</t>
  </si>
  <si>
    <t>自由风格训练: 4个基本动作优化运动和生活表现</t>
  </si>
  <si>
    <t>(美) 卡尔·保利, 安东尼·谢邦狄</t>
  </si>
  <si>
    <t>G808.1/29</t>
  </si>
  <si>
    <t>978-7-5576-7396-3</t>
  </si>
  <si>
    <t>大学生体育训练理论与实践</t>
  </si>
  <si>
    <t>张淼</t>
  </si>
  <si>
    <t>G808.1/30</t>
  </si>
  <si>
    <t>978-7-5692-7974-0</t>
  </si>
  <si>
    <t>体能训练理论与方法</t>
  </si>
  <si>
    <t>贺道远</t>
  </si>
  <si>
    <t>G808.14/46</t>
  </si>
  <si>
    <t>978-7-115-55755-1</t>
  </si>
  <si>
    <t>人体运动彩色解剖图谱: 肌肉爆发力训练</t>
  </si>
  <si>
    <t>朱昌宇</t>
  </si>
  <si>
    <t>G808.14/47</t>
  </si>
  <si>
    <t>978-7-5639-6949-4</t>
  </si>
  <si>
    <t>体育运动中的体能训练分析</t>
  </si>
  <si>
    <t>郭庆</t>
  </si>
  <si>
    <t>G808.14/48</t>
  </si>
  <si>
    <t>978-7-115-55475-8</t>
  </si>
  <si>
    <t>人体运动彩色解剖图谱: 肌肉柔韧性训练</t>
  </si>
  <si>
    <t>陈洋</t>
  </si>
  <si>
    <t>G808.14/49</t>
  </si>
  <si>
    <t>978-7-5644-3342-0</t>
  </si>
  <si>
    <t>运动员正念训练手册</t>
  </si>
  <si>
    <t xml:space="preserve">姒刚彦 ...  </t>
  </si>
  <si>
    <t>G808.1-62/1=2D</t>
  </si>
  <si>
    <t>978-7-5615-8236-7</t>
  </si>
  <si>
    <t>实用体育裁判法</t>
  </si>
  <si>
    <t>陈飞渡</t>
  </si>
  <si>
    <t>G811.31/2</t>
  </si>
  <si>
    <t>978-7-5692-6443-2</t>
  </si>
  <si>
    <t>新时代休闲体育的发展探索与科学参与</t>
  </si>
  <si>
    <t>何祥海</t>
  </si>
  <si>
    <t>G811.4/9</t>
  </si>
  <si>
    <t>978-7-5136-6352-6</t>
  </si>
  <si>
    <t>体育产业经营管理理论研究与实践探索</t>
  </si>
  <si>
    <t>许赛赛</t>
  </si>
  <si>
    <t>中国经济出版社</t>
  </si>
  <si>
    <t>G811/19</t>
  </si>
  <si>
    <t>978-7-5710-0358-6</t>
  </si>
  <si>
    <t>我国老年人体育服务社会支持系统研究</t>
  </si>
  <si>
    <t>范成文</t>
  </si>
  <si>
    <t>G812.4/72</t>
  </si>
  <si>
    <t>978-7-5692-6820-1</t>
  </si>
  <si>
    <t>我国公共体育服务表达与供给联动机制研究: 以社会分层为视角</t>
  </si>
  <si>
    <t>部义峰</t>
  </si>
  <si>
    <t>G812.4/73</t>
  </si>
  <si>
    <t>978-7-5639-7108-4</t>
  </si>
  <si>
    <t>新视角下休闲体育运动理论与方法研究</t>
  </si>
  <si>
    <t>房殿生, 蔡友凤</t>
  </si>
  <si>
    <t>G812.4/74</t>
  </si>
  <si>
    <t>978-7-5692-7883-5</t>
  </si>
  <si>
    <t>创新驱动发展战略下公共体育服务对口支援机制研究</t>
  </si>
  <si>
    <t>王丽萍</t>
  </si>
  <si>
    <t>G812.4/75</t>
  </si>
  <si>
    <t>978-7-5692-8778-3</t>
  </si>
  <si>
    <t>新时代地方高校创新人才培养体系研究: 以体育专业为例</t>
  </si>
  <si>
    <t>张红玲, 叶倩</t>
  </si>
  <si>
    <t>G812.5/6</t>
  </si>
  <si>
    <t>978-7-5668-2813-2</t>
  </si>
  <si>
    <t>近代以来粤侨与广东体育发展研究</t>
  </si>
  <si>
    <t>钮力书</t>
  </si>
  <si>
    <t>G812.7/2</t>
  </si>
  <si>
    <t>978-7-5217-0996-4</t>
  </si>
  <si>
    <t>体育消费: 发展趋势与政策导向</t>
  </si>
  <si>
    <t>江小涓</t>
  </si>
  <si>
    <t>G812/37</t>
  </si>
  <si>
    <t>978-7-206-17583-1</t>
  </si>
  <si>
    <t>田径训练中教与学的系统实践研究</t>
  </si>
  <si>
    <t>谭政, 杨战广, 郑佳</t>
  </si>
  <si>
    <t>G820.2/4</t>
  </si>
  <si>
    <t>978-7-5639-5976-1</t>
  </si>
  <si>
    <t>高校田径运动理论与实践述论</t>
  </si>
  <si>
    <t>曹晓明</t>
  </si>
  <si>
    <t>G820.2/5</t>
  </si>
  <si>
    <t>978-7-5578-7782-8</t>
  </si>
  <si>
    <t>科学跑步: 实用体能训练方法</t>
  </si>
  <si>
    <t>马波</t>
  </si>
  <si>
    <t>G822.02/6</t>
  </si>
  <si>
    <t>978-7-5349-9914-7</t>
  </si>
  <si>
    <t>骨骼跑步法: 适合亚洲人的跑步方法</t>
  </si>
  <si>
    <t>(日) 铃木清和</t>
  </si>
  <si>
    <t>河南科学技术出版社</t>
  </si>
  <si>
    <t>G822/30</t>
  </si>
  <si>
    <t>978-7-206-18478-9</t>
  </si>
  <si>
    <t>定向运动技能训练与教学实践</t>
  </si>
  <si>
    <t>许庆忠</t>
  </si>
  <si>
    <t>G826/7</t>
  </si>
  <si>
    <t>978-7-111-62985-6</t>
  </si>
  <si>
    <t>定向越野</t>
  </si>
  <si>
    <t>张晓威</t>
  </si>
  <si>
    <t>G826/8</t>
  </si>
  <si>
    <t>978-7-5714-1649-2</t>
  </si>
  <si>
    <t>克服重力: 专业自重训练的系统性方法</t>
  </si>
  <si>
    <t>(美) 史蒂芬·洛</t>
  </si>
  <si>
    <t>G83/13</t>
  </si>
  <si>
    <t>978-7-5165-2441-1</t>
  </si>
  <si>
    <t>形体训练</t>
  </si>
  <si>
    <t>尹菲</t>
  </si>
  <si>
    <t>G831.3/135=2D</t>
  </si>
  <si>
    <t>978-7-5581-7967-9</t>
  </si>
  <si>
    <t>健美操</t>
  </si>
  <si>
    <t>张颖</t>
  </si>
  <si>
    <t>G831.3/136</t>
  </si>
  <si>
    <t>978-7-5581-2519-5</t>
  </si>
  <si>
    <t>健美操与体育舞蹈的形体训练研究</t>
  </si>
  <si>
    <t>石犇</t>
  </si>
  <si>
    <t>G831.3/137</t>
  </si>
  <si>
    <t>978-7-5692-6748-8</t>
  </si>
  <si>
    <t>健美操教学应用训练及推广模式研究</t>
  </si>
  <si>
    <t>李雅茹</t>
  </si>
  <si>
    <t>G831.32/17</t>
  </si>
  <si>
    <t>978-7-5612-6905-3</t>
  </si>
  <si>
    <t>健美操运动训练及创编教学探索</t>
  </si>
  <si>
    <t>王旭瑞</t>
  </si>
  <si>
    <t>G831.32/18</t>
  </si>
  <si>
    <t>978-7-5639-6804-6</t>
  </si>
  <si>
    <t>新形势下健美操教学与训练研究</t>
  </si>
  <si>
    <t>刘瑛</t>
  </si>
  <si>
    <t>G831.32/19</t>
  </si>
  <si>
    <t>978-7-206-18404-8</t>
  </si>
  <si>
    <t>健美操发展创新思考与技能训练研究</t>
  </si>
  <si>
    <t>张锦锦</t>
  </si>
  <si>
    <t>G831.32/20</t>
  </si>
  <si>
    <t>978-7-5692-7035-8</t>
  </si>
  <si>
    <t>高校健身舞教学理论与方法指导</t>
  </si>
  <si>
    <t>陈永婷</t>
  </si>
  <si>
    <t>G831.32/21</t>
  </si>
  <si>
    <t>978-7-5639-6845-9</t>
  </si>
  <si>
    <t>改革、实践与发展: 高校健美操教学研究</t>
  </si>
  <si>
    <t>李启娥, 王善根</t>
  </si>
  <si>
    <t>G831.32/22</t>
  </si>
  <si>
    <t>978-7-5639-7180-0</t>
  </si>
  <si>
    <t>竞技体操高级成套动作教学与实践研究</t>
  </si>
  <si>
    <t>刘二侠</t>
  </si>
  <si>
    <t>G832.02/2</t>
  </si>
  <si>
    <t>978-7-5581-7963-1</t>
  </si>
  <si>
    <t>扇子舞</t>
  </si>
  <si>
    <t>G834/4</t>
  </si>
  <si>
    <t>978-7-201-17147-0</t>
  </si>
  <si>
    <t>校园球类运动开展的理论与实践</t>
  </si>
  <si>
    <t>何晨阳</t>
  </si>
  <si>
    <t>G84/16</t>
  </si>
  <si>
    <t>978-7-5692-6937-6</t>
  </si>
  <si>
    <t>篮球运动弹跳素质的研究</t>
  </si>
  <si>
    <t>邱红武</t>
  </si>
  <si>
    <t>G841.2/33</t>
  </si>
  <si>
    <t>978-7-5166-5211-4</t>
  </si>
  <si>
    <t>高校篮球教学创新模式研究</t>
  </si>
  <si>
    <t>G841.2/34</t>
  </si>
  <si>
    <t>978-7-5201-9120-3</t>
  </si>
  <si>
    <t>中国篮球运动发展报告. 2021. 总体特征与多元价值认知</t>
  </si>
  <si>
    <t>中国篮球运动发展研究课题组</t>
  </si>
  <si>
    <t>G841/38/2021</t>
  </si>
  <si>
    <t>978-7-5377-6087-4</t>
  </si>
  <si>
    <t>篮球轻松学</t>
  </si>
  <si>
    <t>朱平生, 王晓田</t>
  </si>
  <si>
    <t>山西科学技术出版社</t>
  </si>
  <si>
    <t>G841/39</t>
  </si>
  <si>
    <t>978-7-5581-7966-2</t>
  </si>
  <si>
    <t>排球</t>
  </si>
  <si>
    <t>G842/28</t>
  </si>
  <si>
    <t>978-7-5639-7192-3</t>
  </si>
  <si>
    <t>高校足球运动教学与系统训练研究</t>
  </si>
  <si>
    <t>蔡春娣</t>
  </si>
  <si>
    <t>G843.2/26</t>
  </si>
  <si>
    <t>978-7-5639-7017-9</t>
  </si>
  <si>
    <t>高校足球教学与训练创新设计研究</t>
  </si>
  <si>
    <t>闫强</t>
  </si>
  <si>
    <t>G843.2/27</t>
  </si>
  <si>
    <t>978-7-5639-7592-1</t>
  </si>
  <si>
    <t>高校足球教学与科学训练研究</t>
  </si>
  <si>
    <t>朱永振</t>
  </si>
  <si>
    <t>G843.2/28</t>
  </si>
  <si>
    <t>978-7-206-17794-1</t>
  </si>
  <si>
    <t>足球运动训练方法与技巧精要</t>
  </si>
  <si>
    <t>杨京</t>
  </si>
  <si>
    <t>G843.2/29</t>
  </si>
  <si>
    <t>978-7-5714-0955-5</t>
  </si>
  <si>
    <t>足球体能周期训练设计</t>
  </si>
  <si>
    <t>(西) 哈维尔·马略</t>
  </si>
  <si>
    <t>G843.2/30</t>
  </si>
  <si>
    <t>978-7-5692-8074-6</t>
  </si>
  <si>
    <t>高校足球教学设计与训练研究</t>
  </si>
  <si>
    <t>陈恒兴</t>
  </si>
  <si>
    <t>G843.2/31</t>
  </si>
  <si>
    <t>978-7-5517-2660-3</t>
  </si>
  <si>
    <t>近代广东足球文化发展历史研究</t>
  </si>
  <si>
    <t>莫凯敏</t>
  </si>
  <si>
    <t>G843.92/11</t>
  </si>
  <si>
    <t>978-7-5581-7959-4</t>
  </si>
  <si>
    <t>足球</t>
  </si>
  <si>
    <t>G843/44</t>
  </si>
  <si>
    <t>978-7-5692-6246-9</t>
  </si>
  <si>
    <t>现代足球运动的文化解析与多元化发展研究</t>
  </si>
  <si>
    <t>齐红梅</t>
  </si>
  <si>
    <t>G843/45</t>
  </si>
  <si>
    <t>978-7-312-04783-1</t>
  </si>
  <si>
    <t>高校校园足球一本通</t>
  </si>
  <si>
    <t>林秋菊, 项和平</t>
  </si>
  <si>
    <t>中国科学技术大学出版社</t>
  </si>
  <si>
    <t>G843/46</t>
  </si>
  <si>
    <t>978-7-5692-6186-8</t>
  </si>
  <si>
    <t>高校网球运动文化建设与技能教学研究</t>
  </si>
  <si>
    <t>张雨刚</t>
  </si>
  <si>
    <t>G845.2/4</t>
  </si>
  <si>
    <t>978-7-5692-6779-2</t>
  </si>
  <si>
    <t>高校网球运动教学理论分析与方法创新研究</t>
  </si>
  <si>
    <t>杜宾</t>
  </si>
  <si>
    <t>G845.2/5</t>
  </si>
  <si>
    <t>978-7-5692-7068-6</t>
  </si>
  <si>
    <t>网球技战术教学及体能训练</t>
  </si>
  <si>
    <t>张娜</t>
  </si>
  <si>
    <t>G845.2/6</t>
  </si>
  <si>
    <t>978-7-115-55041-5</t>
  </si>
  <si>
    <t>网球运动解剖学</t>
  </si>
  <si>
    <t>(美) E. 保罗·勒特尔, 马克S. 科瓦奇</t>
  </si>
  <si>
    <t>G845/25</t>
  </si>
  <si>
    <t>978-7-5581-7953-2</t>
  </si>
  <si>
    <t>网球</t>
  </si>
  <si>
    <t>G845/26</t>
  </si>
  <si>
    <t>978-7-5689-2387-3</t>
  </si>
  <si>
    <t>好好玩网球: 网球小百科</t>
  </si>
  <si>
    <t>(英) 马克·霍奇金森</t>
  </si>
  <si>
    <t>G845/27</t>
  </si>
  <si>
    <t>978-7-5639-6906-7</t>
  </si>
  <si>
    <t>高校乒乓球基础与实战技术分析</t>
  </si>
  <si>
    <t>贺语</t>
  </si>
  <si>
    <t>G846.2/4</t>
  </si>
  <si>
    <t>978-7-206-18439-0</t>
  </si>
  <si>
    <t>乒乓球文化发展与运动教学研究</t>
  </si>
  <si>
    <t>张天羽, 周文龙</t>
  </si>
  <si>
    <t>G846/21</t>
  </si>
  <si>
    <t>978-7-03-069984-8</t>
  </si>
  <si>
    <t>乒乓球机器人辅助教学与训练</t>
  </si>
  <si>
    <t>张琴, 佘竞妍</t>
  </si>
  <si>
    <t>G846/22</t>
  </si>
  <si>
    <t>978-7-5581-7957-0</t>
  </si>
  <si>
    <t>乒乓球</t>
  </si>
  <si>
    <t>G846/23</t>
  </si>
  <si>
    <t>978-7-5009-6041-6</t>
  </si>
  <si>
    <t>羽毛球运动创新教学与训练研究</t>
  </si>
  <si>
    <t>周涛</t>
  </si>
  <si>
    <t>G847.2/6</t>
  </si>
  <si>
    <t>978-7-5009-6075-1</t>
  </si>
  <si>
    <t>高校羽毛球运动教学研究</t>
  </si>
  <si>
    <t>雷小明</t>
  </si>
  <si>
    <t>G847.2/7</t>
  </si>
  <si>
    <t>978-7-5581-7960-0</t>
  </si>
  <si>
    <t>羽毛球</t>
  </si>
  <si>
    <t>G847/18</t>
  </si>
  <si>
    <t>978-7-5581-7958-7</t>
  </si>
  <si>
    <t>毽球</t>
  </si>
  <si>
    <t>G849.9/17</t>
  </si>
  <si>
    <t>978-7-5621-9642-6</t>
  </si>
  <si>
    <t>体育运动中的科学</t>
  </si>
  <si>
    <t>覃朝玲, 付道领</t>
  </si>
  <si>
    <t>G8-49/12</t>
  </si>
  <si>
    <t>978-7-5692-6791-4</t>
  </si>
  <si>
    <t>高校武术教学的价值分析与优化研究</t>
  </si>
  <si>
    <t>於世海</t>
  </si>
  <si>
    <t>G852.02/5</t>
  </si>
  <si>
    <t>978-7-5639-7343-9</t>
  </si>
  <si>
    <t>武术与武术文化教学</t>
  </si>
  <si>
    <t>王磊</t>
  </si>
  <si>
    <t>G852.02/6</t>
  </si>
  <si>
    <t>978-7-5639-7097-1</t>
  </si>
  <si>
    <t>高校武术运动传承与发展研究</t>
  </si>
  <si>
    <t>吴雪琴, 武兴东, 李万友</t>
  </si>
  <si>
    <t>G852.02/7</t>
  </si>
  <si>
    <t>978-7-5714-0914-2</t>
  </si>
  <si>
    <t>说手. 壹. 承道篇: 太极拳静思录</t>
  </si>
  <si>
    <t>赵泽仁, 张云</t>
  </si>
  <si>
    <t>G852.11/60/1</t>
  </si>
  <si>
    <t>说手. 贰. 躬行篇: 太极拳静思录</t>
  </si>
  <si>
    <t>G852.11/60/2</t>
  </si>
  <si>
    <t>说手. 肆. 诚修篇: 太极拳静思录</t>
  </si>
  <si>
    <t>G852.11/60/4</t>
  </si>
  <si>
    <t>978-7-5439-7989-5</t>
  </si>
  <si>
    <t>太极颐养图解</t>
  </si>
  <si>
    <t>施维, 才颖, 黄缨</t>
  </si>
  <si>
    <t>G852.11/61</t>
  </si>
  <si>
    <t>978-7-5349-9158-5</t>
  </si>
  <si>
    <t>二十四式太极拳</t>
  </si>
  <si>
    <t>侯雯</t>
  </si>
  <si>
    <t>G852.11/62</t>
  </si>
  <si>
    <t>978-7-5714-1259-3</t>
  </si>
  <si>
    <t>马国兴释读太极拳论</t>
  </si>
  <si>
    <t>马国兴注释</t>
  </si>
  <si>
    <t>G852.11/63</t>
  </si>
  <si>
    <t>978-7-5714-1249-4</t>
  </si>
  <si>
    <t>孙式太极拳心解: 三十年道功修习体悟</t>
  </si>
  <si>
    <t>张大辉</t>
  </si>
  <si>
    <t>G852.11/64</t>
  </si>
  <si>
    <t>978-7-5009-6024-9</t>
  </si>
  <si>
    <t>新时代高校太极拳文化传承创新研究</t>
  </si>
  <si>
    <t>吕云龙, 王永胜, 许荣梅</t>
  </si>
  <si>
    <t>G852.11/65</t>
  </si>
  <si>
    <t>978-7-5478-4224-9</t>
  </si>
  <si>
    <t>推手进阶</t>
  </si>
  <si>
    <t>黄仁良</t>
  </si>
  <si>
    <t>G852.111.9/7</t>
  </si>
  <si>
    <t>978-7-5714-0886-2</t>
  </si>
  <si>
    <t>借力: 太极拳劲力图解</t>
  </si>
  <si>
    <t>戴君强</t>
  </si>
  <si>
    <t>G852.111.9/8</t>
  </si>
  <si>
    <t>978-7-5690-2714-3</t>
  </si>
  <si>
    <t>杨氏太极拳24式图解</t>
  </si>
  <si>
    <t>王翀</t>
  </si>
  <si>
    <t>G852.111/8</t>
  </si>
  <si>
    <t>978-7-5581-7970-9</t>
  </si>
  <si>
    <t>长拳</t>
  </si>
  <si>
    <t>G852.12/3</t>
  </si>
  <si>
    <t>978-7-115-50088-5</t>
  </si>
  <si>
    <t>看图学太极剑</t>
  </si>
  <si>
    <t>高崇, 灌木体育辑组</t>
  </si>
  <si>
    <t>G852.24/18</t>
  </si>
  <si>
    <t>978-7-5581-7964-8</t>
  </si>
  <si>
    <t>散打</t>
  </si>
  <si>
    <t>G852.4/37</t>
  </si>
  <si>
    <t>978-7-313-25051-3</t>
  </si>
  <si>
    <t>社会转型期我国传统体育文化的价值体系与实现路径研究</t>
  </si>
  <si>
    <t>白真</t>
  </si>
  <si>
    <t>G852.9/36</t>
  </si>
  <si>
    <t>978-7-5639-7530-3</t>
  </si>
  <si>
    <t>中华武术文化理念与教育研究</t>
  </si>
  <si>
    <t>冯锦华</t>
  </si>
  <si>
    <t>G852/120</t>
  </si>
  <si>
    <t>978-7-5692-6066-3</t>
  </si>
  <si>
    <t>武术文化传承与健身推广研究</t>
  </si>
  <si>
    <t>陈辉</t>
  </si>
  <si>
    <t>G852/121</t>
  </si>
  <si>
    <t>978-7-5680-7315-8</t>
  </si>
  <si>
    <t>中国武术文化与旅游</t>
  </si>
  <si>
    <t xml:space="preserve">潘晓波 ... </t>
  </si>
  <si>
    <t>G852/122</t>
  </si>
  <si>
    <t>978-7-206-17601-2</t>
  </si>
  <si>
    <t>中国武术发展传播及文化传承探究</t>
  </si>
  <si>
    <t>高源, 刘根发</t>
  </si>
  <si>
    <t>G852/123</t>
  </si>
  <si>
    <t>978-7-5009-5957-1</t>
  </si>
  <si>
    <t>当代民间武术家口述史</t>
  </si>
  <si>
    <t>候胜川</t>
  </si>
  <si>
    <t>G852/124</t>
  </si>
  <si>
    <t>978-7-5009-5907-6</t>
  </si>
  <si>
    <t>武术舞台表演发展研究</t>
  </si>
  <si>
    <t>李娅楠</t>
  </si>
  <si>
    <t>G852/125</t>
  </si>
  <si>
    <t>978-7-117-32663-6</t>
  </si>
  <si>
    <t>漫画冰雪运动损伤防护与急救</t>
  </si>
  <si>
    <t>王鹏程, 马圣奎</t>
  </si>
  <si>
    <t>人民卫生出版社</t>
  </si>
  <si>
    <t>G862/4</t>
  </si>
  <si>
    <t>978-7-115-55878-7</t>
  </si>
  <si>
    <t>打造完美身材: 减脂塑形、增肌健体的动作与训练计划</t>
  </si>
  <si>
    <t>(美) 尼克·图米内洛</t>
  </si>
  <si>
    <t>G883.2/9</t>
  </si>
  <si>
    <t>978-7-115-56059-9</t>
  </si>
  <si>
    <t>弹力带抗阻训练: 力量提升与减脂塑形指南</t>
  </si>
  <si>
    <t>郑文伯</t>
  </si>
  <si>
    <t>G883/77</t>
  </si>
  <si>
    <t>978-7-5639-7217-3</t>
  </si>
  <si>
    <t>“互联网+”器械健身练教指南</t>
  </si>
  <si>
    <t>张亚平, 叶梦馨</t>
  </si>
  <si>
    <t>G883/78</t>
  </si>
  <si>
    <t>978-7-5725-0413-6</t>
  </si>
  <si>
    <t>筋膜导向的普拉提</t>
  </si>
  <si>
    <t>伊丽莎白·拉卡姆</t>
  </si>
  <si>
    <t>G883/79</t>
  </si>
  <si>
    <t>978-7-5692-6620-7</t>
  </si>
  <si>
    <t>大学生围棋技艺</t>
  </si>
  <si>
    <t>周刚</t>
  </si>
  <si>
    <t>G891.3/143</t>
  </si>
  <si>
    <t>978-7-5349-9938-3</t>
  </si>
  <si>
    <t>手筋的基本</t>
  </si>
  <si>
    <t>(日) 高尾绅路</t>
  </si>
  <si>
    <t>G891.3/144</t>
  </si>
  <si>
    <t>978-7-5349-9941-3</t>
  </si>
  <si>
    <t>定式的基本</t>
  </si>
  <si>
    <t>G891.3/145</t>
  </si>
  <si>
    <t>978-7-01-021534-1</t>
  </si>
  <si>
    <t>网络游戏价值导向研究</t>
  </si>
  <si>
    <t>张东</t>
  </si>
  <si>
    <t>G898.3/34</t>
  </si>
  <si>
    <t>序号</t>
  </si>
  <si>
    <t>ISBN</t>
  </si>
  <si>
    <t>题名</t>
  </si>
  <si>
    <t>责任者</t>
  </si>
  <si>
    <t>出版社</t>
  </si>
  <si>
    <t>索取号</t>
  </si>
  <si>
    <t>978-7-5689-2600-3</t>
  </si>
  <si>
    <t>话语分析导论: 理论与方法</t>
  </si>
  <si>
    <t>(美) 詹姆斯·保罗·吉</t>
  </si>
  <si>
    <t>H0/458</t>
  </si>
  <si>
    <t>978-7-300-29984-6</t>
  </si>
  <si>
    <t>露丝·沃达克政治话语分析的学术思想研究</t>
  </si>
  <si>
    <t>杨敏</t>
  </si>
  <si>
    <t>H0/459</t>
  </si>
  <si>
    <t>978-7-5581-7432-2</t>
  </si>
  <si>
    <t>语言学与跨文化互动研究</t>
  </si>
  <si>
    <t>于洪亚, 曾剑</t>
  </si>
  <si>
    <t>H0/460</t>
  </si>
  <si>
    <t>978-7-5001-6365-7</t>
  </si>
  <si>
    <t>语言的奥秘: 一场语言历史的发现之旅</t>
  </si>
  <si>
    <t>(英) 西蒙·普林</t>
  </si>
  <si>
    <t>H0/461</t>
  </si>
  <si>
    <t>978-7-03-070421-4</t>
  </si>
  <si>
    <t>鲜活的语言: 语言人类学导论</t>
  </si>
  <si>
    <t>(美) 劳拉·M. 阿亨</t>
  </si>
  <si>
    <t>H0/462</t>
  </si>
  <si>
    <t>978-7-5068-8067-1</t>
  </si>
  <si>
    <t>瞿秋白与中国现代语言规划</t>
  </si>
  <si>
    <t>汪禄应</t>
  </si>
  <si>
    <t>H002/18</t>
  </si>
  <si>
    <t>978-7-01-023721-3</t>
  </si>
  <si>
    <t>语言政策与二语习得研究</t>
  </si>
  <si>
    <t>戴曼纯</t>
  </si>
  <si>
    <t>H002/19</t>
  </si>
  <si>
    <t>978-7-5166-5348-7</t>
  </si>
  <si>
    <t>社会文化理论与二语习得研究</t>
  </si>
  <si>
    <t>林明东</t>
  </si>
  <si>
    <t>H003/50</t>
  </si>
  <si>
    <t>978-7-5698-0268-9</t>
  </si>
  <si>
    <t>语言文化与外语教学研究</t>
  </si>
  <si>
    <t>江利华</t>
  </si>
  <si>
    <t>H0-05/62</t>
  </si>
  <si>
    <t>978-7-313-23825-2</t>
  </si>
  <si>
    <t>教育语言学研究. 2020年</t>
  </si>
  <si>
    <t>赖良涛</t>
  </si>
  <si>
    <t>H0-05/63/2020</t>
  </si>
  <si>
    <t>978-7-01-023682-7</t>
  </si>
  <si>
    <t>语言与文化之间</t>
  </si>
  <si>
    <t>王克非</t>
  </si>
  <si>
    <t>H0-05/64</t>
  </si>
  <si>
    <t>978-7-5169-1550-9</t>
  </si>
  <si>
    <t>文化概念的现代阐释</t>
  </si>
  <si>
    <t>谢伦灿</t>
  </si>
  <si>
    <t>H0-05/65</t>
  </si>
  <si>
    <t>978-7-5598-3327-3</t>
  </si>
  <si>
    <t>理论语言学纲要和方法论: 语言心理学</t>
  </si>
  <si>
    <t>(瑞士) 阿·薛施蔼</t>
  </si>
  <si>
    <t>H0-09/18</t>
  </si>
  <si>
    <t>978-7-5192-8259-2</t>
  </si>
  <si>
    <t>揭开语言学史之谜: 基于语言知识库重建历史的21世纪使命</t>
  </si>
  <si>
    <t xml:space="preserve">李葆嘉 ... </t>
  </si>
  <si>
    <t>H0-09/19</t>
  </si>
  <si>
    <t>978-7-5208-1619-9</t>
  </si>
  <si>
    <t>即兴演讲</t>
  </si>
  <si>
    <t>杜赢</t>
  </si>
  <si>
    <t>H019/749</t>
  </si>
  <si>
    <t>978-7-5068-7702-2</t>
  </si>
  <si>
    <t>言语交际的关联优选模式及其应用</t>
  </si>
  <si>
    <t>杨子</t>
  </si>
  <si>
    <t>H019/750</t>
  </si>
  <si>
    <t>978-7-5047-7162-9</t>
  </si>
  <si>
    <t>演讲的魔力</t>
  </si>
  <si>
    <t>闫伟, 闫晗</t>
  </si>
  <si>
    <t>H019/751</t>
  </si>
  <si>
    <t>978-7-5639-7818-2</t>
  </si>
  <si>
    <t>演讲口才与辩论艺术研究</t>
  </si>
  <si>
    <t>高华昭, 杨娟</t>
  </si>
  <si>
    <t>H019/752</t>
  </si>
  <si>
    <t>978-7-5096-7263-1</t>
  </si>
  <si>
    <t>完美口才进阶: 三极表达力</t>
  </si>
  <si>
    <t>沈红伟</t>
  </si>
  <si>
    <t>H019/753</t>
  </si>
  <si>
    <t>978-7-5020-7429-6</t>
  </si>
  <si>
    <t>脱口秀: 随机应变的艺术</t>
  </si>
  <si>
    <t>龚俊</t>
  </si>
  <si>
    <t>应急管理出版社</t>
  </si>
  <si>
    <t>H019/754</t>
  </si>
  <si>
    <t>978-7-5117-2930-9</t>
  </si>
  <si>
    <t>古希腊演说研究</t>
  </si>
  <si>
    <t>蒋保</t>
  </si>
  <si>
    <t>H019/755</t>
  </si>
  <si>
    <t>978-7-5689-2637-9</t>
  </si>
  <si>
    <t>能说会道: 语言表达能力训练</t>
  </si>
  <si>
    <t>周劼</t>
  </si>
  <si>
    <t>H019/756</t>
  </si>
  <si>
    <t>978-7-5699-4232-3</t>
  </si>
  <si>
    <t>高情商交流的48个技巧</t>
  </si>
  <si>
    <t>(日) 伊庭正康</t>
  </si>
  <si>
    <t>H019/757</t>
  </si>
  <si>
    <t>978-7-222-19512-7</t>
  </si>
  <si>
    <t>辩论技法与辩论口才</t>
  </si>
  <si>
    <t>滕龙江</t>
  </si>
  <si>
    <t>云南人民出版社</t>
  </si>
  <si>
    <t>H019/758</t>
  </si>
  <si>
    <t>978-7-5484-5997-2</t>
  </si>
  <si>
    <t>怎样有逻辑地说服别人</t>
  </si>
  <si>
    <t>泰歌, 罗胜辉</t>
  </si>
  <si>
    <t>H019-49/412</t>
  </si>
  <si>
    <t>978-7-5713-1553-5</t>
  </si>
  <si>
    <t>即兴表达</t>
  </si>
  <si>
    <t>(日) 渡边龙太</t>
  </si>
  <si>
    <t>H019-49/413</t>
  </si>
  <si>
    <t>978-7-5075-5471-7</t>
  </si>
  <si>
    <t>人类文字简史</t>
  </si>
  <si>
    <t>(英) 爱德华·克劳德</t>
  </si>
  <si>
    <t>H02/14</t>
  </si>
  <si>
    <t>978-7-5731-0163-1</t>
  </si>
  <si>
    <t>语用功能与话语研究</t>
  </si>
  <si>
    <t>包磊</t>
  </si>
  <si>
    <t>H030/62</t>
  </si>
  <si>
    <t>978-7-115-56467-2</t>
  </si>
  <si>
    <t>卡片笔记写作法: 如何实现从阅读到写作</t>
  </si>
  <si>
    <t>(德) 申克·阿伦斯</t>
  </si>
  <si>
    <t>H052/32</t>
  </si>
  <si>
    <t>978-7-115-55488-8</t>
  </si>
  <si>
    <t>写作的逻辑: 从清晰表达到高效沟通</t>
  </si>
  <si>
    <t>(日) 仓岛保美</t>
  </si>
  <si>
    <t>H052/33</t>
  </si>
  <si>
    <t>978-7-5446-6693-0</t>
  </si>
  <si>
    <t>中国文体学的成长与发展: 第六届文体学国际研讨会暨第十届全国文体学研讨会文选</t>
  </si>
  <si>
    <t>尚晓明</t>
  </si>
  <si>
    <t>H052/34</t>
  </si>
  <si>
    <t>978-7-5692-7381-6</t>
  </si>
  <si>
    <t>尼古拉·克鲁舍夫斯基语言学选集</t>
  </si>
  <si>
    <t>(波) 尼古拉·克鲁舍夫斯基</t>
  </si>
  <si>
    <t>H0-53/41</t>
  </si>
  <si>
    <t>978-7-5078-4599-0</t>
  </si>
  <si>
    <t>翻译学的多维研究视角</t>
  </si>
  <si>
    <t>姜海清</t>
  </si>
  <si>
    <t>中国国际广播出版社</t>
  </si>
  <si>
    <t>H059/243</t>
  </si>
  <si>
    <t>978-7-5731-0362-8</t>
  </si>
  <si>
    <t>语用翻译研究: 理论与实践</t>
  </si>
  <si>
    <t>马腾</t>
  </si>
  <si>
    <t>H059/244</t>
  </si>
  <si>
    <t>978-7-5446-6563-6</t>
  </si>
  <si>
    <t>翻译学研究的方法与途径</t>
  </si>
  <si>
    <t>穆雷</t>
  </si>
  <si>
    <t>H059/245</t>
  </si>
  <si>
    <t>978-7-5446-6702-9</t>
  </si>
  <si>
    <t>翻译学: 一个建构主义的视角</t>
  </si>
  <si>
    <t>吕俊, 侯向群</t>
  </si>
  <si>
    <t>H059/246</t>
  </si>
  <si>
    <t>978-7-300-27451-5</t>
  </si>
  <si>
    <t>口译焦虑认知研究</t>
  </si>
  <si>
    <t>H059/247</t>
  </si>
  <si>
    <t>978-7-5001-6412-8</t>
  </si>
  <si>
    <t>意义与翻译</t>
  </si>
  <si>
    <t>张政, 刘晗</t>
  </si>
  <si>
    <t>H059/248</t>
  </si>
  <si>
    <t>978-7-5001-6655-9</t>
  </si>
  <si>
    <t>基于语料库的译者文体研究: 汉学家马瑞志与翻译家杨宪益、戴乃迭译文比较</t>
  </si>
  <si>
    <t>于红</t>
  </si>
  <si>
    <t>H059/249</t>
  </si>
  <si>
    <t>978-7-5001-6391-6</t>
  </si>
  <si>
    <t>从新手到高手: 口译实战案例30讲</t>
  </si>
  <si>
    <t>姚斌, 朱玉犇</t>
  </si>
  <si>
    <t>H059/250</t>
  </si>
  <si>
    <t>978-7-206-16799-7</t>
  </si>
  <si>
    <t>中外文化翻译教学与实践研究</t>
  </si>
  <si>
    <t>阮榕榕</t>
  </si>
  <si>
    <t>H059/251</t>
  </si>
  <si>
    <t>978-7-5610-9423-5</t>
  </si>
  <si>
    <t>功能主义视角下译文的忠实性研究</t>
  </si>
  <si>
    <t>H059/252</t>
  </si>
  <si>
    <t>978-7-206-17832-0</t>
  </si>
  <si>
    <t>生态翻译学理论与应用研究</t>
  </si>
  <si>
    <t>H059/253</t>
  </si>
  <si>
    <t>978-7-5225-0107-9</t>
  </si>
  <si>
    <t>探秘之旅: 走进翻译世界</t>
  </si>
  <si>
    <t>胡琰琪</t>
  </si>
  <si>
    <t>H059/254</t>
  </si>
  <si>
    <t>978-7-307-22470-4</t>
  </si>
  <si>
    <t>翻译测评理论与实践研究</t>
  </si>
  <si>
    <t>赵护林</t>
  </si>
  <si>
    <t>H059/255</t>
  </si>
  <si>
    <t>978-7-308-19821-9</t>
  </si>
  <si>
    <t>译道无疆</t>
  </si>
  <si>
    <t>金圣华</t>
  </si>
  <si>
    <t>H059/256</t>
  </si>
  <si>
    <t>978-7-5068-7693-3</t>
  </si>
  <si>
    <t>译学术语研究: 译学中旅行的概念和术语的形成</t>
  </si>
  <si>
    <t>王一多</t>
  </si>
  <si>
    <t>H059/257</t>
  </si>
  <si>
    <t>978-7-5447-8614-0</t>
  </si>
  <si>
    <t>翻译学概论</t>
  </si>
  <si>
    <t>许钧, 穆雷</t>
  </si>
  <si>
    <t>译林出版社</t>
  </si>
  <si>
    <t>H059/258</t>
  </si>
  <si>
    <t>978-7-224-14149-8</t>
  </si>
  <si>
    <t>新世纪国内外应用语言学研究现状与发展的历时研究: 兼谈我国应用语言学国际化发展</t>
  </si>
  <si>
    <t>林琳</t>
  </si>
  <si>
    <t>H08/32</t>
  </si>
  <si>
    <t>978-7-310-05767-2</t>
  </si>
  <si>
    <t>技术多模态语境下的话语研究: 微课视频语篇的整体意义构建</t>
  </si>
  <si>
    <t>张青妹</t>
  </si>
  <si>
    <t>H09/159</t>
  </si>
  <si>
    <t>978-7-5096-8274-6</t>
  </si>
  <si>
    <t>数字化时代的山东外语生活</t>
  </si>
  <si>
    <t>沈红伟, 姜海霞</t>
  </si>
  <si>
    <t>H09/160</t>
  </si>
  <si>
    <t>978-7-5472-8040-9</t>
  </si>
  <si>
    <t>认知语言学与二语教学探索</t>
  </si>
  <si>
    <t>刘锋</t>
  </si>
  <si>
    <t>H09/161</t>
  </si>
  <si>
    <t>978-7-5692-6566-8</t>
  </si>
  <si>
    <t>新思维下外语教学方法与策略研究分析</t>
  </si>
  <si>
    <t>王佳</t>
  </si>
  <si>
    <t>H09/162</t>
  </si>
  <si>
    <t>978-7-5487-4276-0</t>
  </si>
  <si>
    <t>外语教学新思路: 心理语言学视角</t>
  </si>
  <si>
    <t>欧阳偶春, 雷淑华</t>
  </si>
  <si>
    <t>H09/163</t>
  </si>
  <si>
    <t>978-7-5130-6613-6</t>
  </si>
  <si>
    <t>法商话语与外语教学研究论文集. 2020</t>
  </si>
  <si>
    <t>刘红艳, 刘明宇</t>
  </si>
  <si>
    <t>H09/164/2020</t>
  </si>
  <si>
    <t>978-7-305-24818-4</t>
  </si>
  <si>
    <t>外国语文研究: 语言与传播</t>
  </si>
  <si>
    <t>H09/165</t>
  </si>
  <si>
    <t>978-7-5096-7845-9</t>
  </si>
  <si>
    <t>高校英语教师身份认同与自主性研究</t>
  </si>
  <si>
    <t>龙娜娜</t>
  </si>
  <si>
    <t>H09/166</t>
  </si>
  <si>
    <t>978-7-5639-6925-8</t>
  </si>
  <si>
    <t>“一带一路”背景下外语专业跨文化交际教学与实践研究</t>
  </si>
  <si>
    <t>车春英</t>
  </si>
  <si>
    <t>H09/167</t>
  </si>
  <si>
    <t>978-7-100-11959-7</t>
  </si>
  <si>
    <t>汉语避讳研究</t>
  </si>
  <si>
    <t>向熹</t>
  </si>
  <si>
    <t>H1/287</t>
  </si>
  <si>
    <t>978-7-5439-8098-3</t>
  </si>
  <si>
    <t>言文对照古文笔法百篇</t>
  </si>
  <si>
    <t>胡怀琛</t>
  </si>
  <si>
    <t>H109.2/68-2</t>
  </si>
  <si>
    <t>978-7-5194-5995-6</t>
  </si>
  <si>
    <t>中国音韵学: 第二十届国际学术研讨会论文集 (西安2018)</t>
  </si>
  <si>
    <t>乔全生, 胡安顺</t>
  </si>
  <si>
    <t>H11/46</t>
  </si>
  <si>
    <t>978-7-313-24511-3</t>
  </si>
  <si>
    <t>泛域认知过程与现代汉语宾语的多重论元实现</t>
  </si>
  <si>
    <t>董粤章</t>
  </si>
  <si>
    <t>H146.3/83</t>
  </si>
  <si>
    <t>978-7-115-57163-2</t>
  </si>
  <si>
    <t>财经应用文写作</t>
  </si>
  <si>
    <t>陈承欢</t>
  </si>
  <si>
    <t>H152.3/902=2D</t>
  </si>
  <si>
    <t>978-7-5487-3401-7</t>
  </si>
  <si>
    <t>应用文写作</t>
  </si>
  <si>
    <t>谭苏, 冯泽仙</t>
  </si>
  <si>
    <t>H152.3/903</t>
  </si>
  <si>
    <t>978-7-5108-9504-3</t>
  </si>
  <si>
    <t>语文名师教学技艺九讲</t>
  </si>
  <si>
    <t>徐向阳</t>
  </si>
  <si>
    <t>H19/90</t>
  </si>
  <si>
    <t>978-7-5621-9926-7</t>
  </si>
  <si>
    <t>语文课程与教学论</t>
  </si>
  <si>
    <t>薛猛</t>
  </si>
  <si>
    <t>H19/91</t>
  </si>
  <si>
    <t>978-7-5692-8926-8</t>
  </si>
  <si>
    <t>“表达语文”: 习得言意相称的表达智慧</t>
  </si>
  <si>
    <t>侯红宝</t>
  </si>
  <si>
    <t>H19/92</t>
  </si>
  <si>
    <t>978-7-5488-4277-4</t>
  </si>
  <si>
    <t>新中国70年语文教育回顾与展望</t>
  </si>
  <si>
    <t>任翔</t>
  </si>
  <si>
    <t>济南出版社</t>
  </si>
  <si>
    <t>H19/93</t>
  </si>
  <si>
    <t>978-7-5692-8639-7</t>
  </si>
  <si>
    <t>语文朗读教学的有效实施</t>
  </si>
  <si>
    <t>杨杏红</t>
  </si>
  <si>
    <t>H19/94</t>
  </si>
  <si>
    <t>978-7-5120-4666-5</t>
  </si>
  <si>
    <t>基于汉语口语测试语料的多视角应用研究</t>
  </si>
  <si>
    <t>赵琪凤</t>
  </si>
  <si>
    <t>线装书局</t>
  </si>
  <si>
    <t>H193.2/40</t>
  </si>
  <si>
    <t>978-7-5671-4297-8</t>
  </si>
  <si>
    <t>汉语口语基础教程</t>
  </si>
  <si>
    <t>张少云</t>
  </si>
  <si>
    <t>H193.2/41</t>
  </si>
  <si>
    <t>978-7-305-24700-2</t>
  </si>
  <si>
    <t>教师口语技能</t>
  </si>
  <si>
    <t>张颖炜, 翟方曙</t>
  </si>
  <si>
    <t>H193.2/42</t>
  </si>
  <si>
    <t>978-7-312-04697-1</t>
  </si>
  <si>
    <t>普通话口语教程</t>
  </si>
  <si>
    <t>胡霞</t>
  </si>
  <si>
    <t>H193.2/43</t>
  </si>
  <si>
    <t>978-7-5664-2250-7</t>
  </si>
  <si>
    <t>中文写作教程</t>
  </si>
  <si>
    <t>金松林</t>
  </si>
  <si>
    <t>H193.6/40</t>
  </si>
  <si>
    <t>978-7-115-57730-6</t>
  </si>
  <si>
    <t>应用文写作技能与规范</t>
  </si>
  <si>
    <t>王用源</t>
  </si>
  <si>
    <t>H193.6/41</t>
  </si>
  <si>
    <t>978-7-213-09757-7</t>
  </si>
  <si>
    <t>李欣频的文案课</t>
  </si>
  <si>
    <t>李欣频</t>
  </si>
  <si>
    <t>H193.6/42</t>
  </si>
  <si>
    <t>978-7-5603-9203-5</t>
  </si>
  <si>
    <t>应用汉语</t>
  </si>
  <si>
    <t>景鑫</t>
  </si>
  <si>
    <t>H193.9/45</t>
  </si>
  <si>
    <t>978-7-301-31315-2</t>
  </si>
  <si>
    <t>大学语文</t>
  </si>
  <si>
    <t>黄美玲</t>
  </si>
  <si>
    <t>H193.9/46=4D</t>
  </si>
  <si>
    <t>978-7-5687-0424-3</t>
  </si>
  <si>
    <t>汉语基础</t>
  </si>
  <si>
    <t>姜珍婷, 罗主宾</t>
  </si>
  <si>
    <t>H193.9/47</t>
  </si>
  <si>
    <t>978-7-5672-3491-8</t>
  </si>
  <si>
    <t>大学应用语文</t>
  </si>
  <si>
    <t>刘志庆</t>
  </si>
  <si>
    <t>H193.9/48</t>
  </si>
  <si>
    <t>978-7-308-21241-0</t>
  </si>
  <si>
    <t>大学生读写说教程</t>
  </si>
  <si>
    <t>陈恩黎</t>
  </si>
  <si>
    <t>H193.9/49</t>
  </si>
  <si>
    <t>978-7-5194-6045-7</t>
  </si>
  <si>
    <t>高校语文教育教学新论</t>
  </si>
  <si>
    <t>阿布都外力·克热木</t>
  </si>
  <si>
    <t>H193.9/50</t>
  </si>
  <si>
    <t>978-7-300-30018-4</t>
  </si>
  <si>
    <t>语文科课程论基础: 2021版</t>
  </si>
  <si>
    <t>王荣生</t>
  </si>
  <si>
    <t>H193/16/2021</t>
  </si>
  <si>
    <t>978-7-5130-6990-8</t>
  </si>
  <si>
    <t>《弟子规》译介: 基于人类世生态诗学视角</t>
  </si>
  <si>
    <t>(清) 李毓秀, 贾存仁</t>
  </si>
  <si>
    <t>H194.1/261</t>
  </si>
  <si>
    <t>978-7-5139-1956-2</t>
  </si>
  <si>
    <t>古文观止. 上册</t>
  </si>
  <si>
    <t>(清) 吴楚材, (清) 吴调侯</t>
  </si>
  <si>
    <t>民主与建设出版社有限责任公司</t>
  </si>
  <si>
    <t>H194.1/262/1</t>
  </si>
  <si>
    <t>古文观止. 下册</t>
  </si>
  <si>
    <t>H194.1/262/2</t>
  </si>
  <si>
    <t>978-7-100-20472-9</t>
  </si>
  <si>
    <t>以汉语教学为背景的语篇衔接成分研究</t>
  </si>
  <si>
    <t>周利芳</t>
  </si>
  <si>
    <t>H195.1/49</t>
  </si>
  <si>
    <t>978-7-5671-4063-9</t>
  </si>
  <si>
    <t>“一带一路”背景下的汉语国际教育. 第二辑</t>
  </si>
  <si>
    <t>姚喜明</t>
  </si>
  <si>
    <t>H195.3/138/2</t>
  </si>
  <si>
    <t>978-7-5672-3143-6</t>
  </si>
  <si>
    <t>基于教学行为分析的体演文化教学法理论与实证的研究</t>
  </si>
  <si>
    <t>姜晓</t>
  </si>
  <si>
    <t>H195.3/162</t>
  </si>
  <si>
    <t>978-7-206-17638-8</t>
  </si>
  <si>
    <t>基于跨文化适应性的对外汉语教学研究</t>
  </si>
  <si>
    <t>胡晓晏</t>
  </si>
  <si>
    <t>H195.3/163</t>
  </si>
  <si>
    <t>978-7-5671-4276-3</t>
  </si>
  <si>
    <t>汉语词汇化语法化例释</t>
  </si>
  <si>
    <t>吴卸耀, 李文韬</t>
  </si>
  <si>
    <t>H195.3/164</t>
  </si>
  <si>
    <t>978-7-225-06091-0</t>
  </si>
  <si>
    <t>汉语强化培训教材编写使用研究</t>
  </si>
  <si>
    <t>白玉波</t>
  </si>
  <si>
    <t>H195.3/165</t>
  </si>
  <si>
    <t>978-7-5690-5007-3</t>
  </si>
  <si>
    <t>国际中文教师训诂学素养培养研究</t>
  </si>
  <si>
    <t>郑莉娟, 丘雅, 游甜</t>
  </si>
  <si>
    <t>H195.3/166</t>
  </si>
  <si>
    <t>978-7-5486-1554-5</t>
  </si>
  <si>
    <t>基于语序类型学的汉语介词和介词框架习得研究</t>
  </si>
  <si>
    <t>高顺全</t>
  </si>
  <si>
    <t>学林出版社</t>
  </si>
  <si>
    <t>H195.3/167</t>
  </si>
  <si>
    <t>978-7-5068-7668-1</t>
  </si>
  <si>
    <t>国际汉语教学案例理论与实践</t>
  </si>
  <si>
    <t>王巍, 李洪波</t>
  </si>
  <si>
    <t>H195.3/168</t>
  </si>
  <si>
    <t>978-7-5117-3788-5</t>
  </si>
  <si>
    <t>汉语交际得体性研究</t>
  </si>
  <si>
    <t>瞿麦生</t>
  </si>
  <si>
    <t>H195.3/169</t>
  </si>
  <si>
    <t>978-7-03-070782-6</t>
  </si>
  <si>
    <t>汉语国际教育可持续发展研究</t>
  </si>
  <si>
    <t>苏文兰</t>
  </si>
  <si>
    <t>H195.3/170</t>
  </si>
  <si>
    <t>978-7-206-18137-5</t>
  </si>
  <si>
    <t>高校汉语国际教育探索</t>
  </si>
  <si>
    <t>何建</t>
  </si>
  <si>
    <t>H195.3/171</t>
  </si>
  <si>
    <t>978-7-5690-2300-8</t>
  </si>
  <si>
    <t>贝宁汉语教学研究</t>
  </si>
  <si>
    <t>漆亿, 唐娟, 沈林</t>
  </si>
  <si>
    <t>H195.3/172</t>
  </si>
  <si>
    <t>978-7-5619-5642-7</t>
  </si>
  <si>
    <t>速通汉语. 4. 中级</t>
  </si>
  <si>
    <t>胡文华, 吴中伟, 许金生</t>
  </si>
  <si>
    <t>北京语言大学出版社</t>
  </si>
  <si>
    <t>H195.4/705/2:4</t>
  </si>
  <si>
    <t>978-7-5619-5665-6</t>
  </si>
  <si>
    <t>速通汉语. 1. 高级</t>
  </si>
  <si>
    <t>吴中伟, 许金生, 胡文华</t>
  </si>
  <si>
    <t>H195.4/705/3:1</t>
  </si>
  <si>
    <t>978-7-5619-5700-4</t>
  </si>
  <si>
    <t>速通汉语. 2. 高级</t>
  </si>
  <si>
    <t>H195.4/705/3:2</t>
  </si>
  <si>
    <t>978-7-5619-5717-2</t>
  </si>
  <si>
    <t>速通汉语. 3. 高级</t>
  </si>
  <si>
    <t>H195.4/705/3:3</t>
  </si>
  <si>
    <t>978-7-5619-5661-8</t>
  </si>
  <si>
    <t>速通汉语. 4. 高级</t>
  </si>
  <si>
    <t>H195.4/705/3:4</t>
  </si>
  <si>
    <t>978-7-5619-5735-6</t>
  </si>
  <si>
    <t>汉语基本知识: 汉字篇</t>
  </si>
  <si>
    <t>施春宏, 王伟超</t>
  </si>
  <si>
    <t>H195.4/749</t>
  </si>
  <si>
    <t>978-7-307-22235-9</t>
  </si>
  <si>
    <t>语言学概论</t>
  </si>
  <si>
    <t>李孝娴</t>
  </si>
  <si>
    <t>H195.4/751</t>
  </si>
  <si>
    <t>978-7-5446-6678-7</t>
  </si>
  <si>
    <t>新编科技汉语 中级阅读教程</t>
  </si>
  <si>
    <t>安然, 单韵鸣</t>
  </si>
  <si>
    <t>H195.4/752</t>
  </si>
  <si>
    <t>978-7-5615-5254-4</t>
  </si>
  <si>
    <t>汉语高级教程</t>
  </si>
  <si>
    <t>严越, 朱芳华</t>
  </si>
  <si>
    <t>H195.4/753</t>
  </si>
  <si>
    <t>978-7-302-51674-3</t>
  </si>
  <si>
    <t>经纬神州: 中国国情概览</t>
  </si>
  <si>
    <t>郭剑波</t>
  </si>
  <si>
    <t>H195.4/754</t>
  </si>
  <si>
    <t>978-7-307-22579-4</t>
  </si>
  <si>
    <t>科技汉语</t>
  </si>
  <si>
    <t>冀芳</t>
  </si>
  <si>
    <t>H195.4/755</t>
  </si>
  <si>
    <t>978-7-5619-5763-9</t>
  </si>
  <si>
    <t>汉字书写助学手册</t>
  </si>
  <si>
    <t>鲁健骥</t>
  </si>
  <si>
    <t>H195.4/756</t>
  </si>
  <si>
    <t>978-7-5619-5595-6</t>
  </si>
  <si>
    <t>汉语听力教程. 第二册</t>
  </si>
  <si>
    <t>胡波, 杨雪梅</t>
  </si>
  <si>
    <t>H195.5/49=3D/2</t>
  </si>
  <si>
    <t>H195.5/49=3D-2/2</t>
  </si>
  <si>
    <t>978-7-5178-4501-0</t>
  </si>
  <si>
    <t>“汉语+”人才培养模式改革与教学研究</t>
  </si>
  <si>
    <t>刘家思, 孙永红</t>
  </si>
  <si>
    <t>H195/81</t>
  </si>
  <si>
    <t>978-7-5537-9864-6</t>
  </si>
  <si>
    <t>一辈子够用的职场英语大全集</t>
  </si>
  <si>
    <t>(美) 克里斯汀, 金姆, 李文昊</t>
  </si>
  <si>
    <t>H31/1920-2</t>
  </si>
  <si>
    <t>978-7-5654-4133-2</t>
  </si>
  <si>
    <t>会计专业英语教程</t>
  </si>
  <si>
    <t>马建威</t>
  </si>
  <si>
    <t>H31/2161=4D</t>
  </si>
  <si>
    <t>978-7-5639-7528-0</t>
  </si>
  <si>
    <t>英汉语言的对比研究</t>
  </si>
  <si>
    <t>侯娟娟</t>
  </si>
  <si>
    <t>H31/2167</t>
  </si>
  <si>
    <t>978-7-5581-8435-2</t>
  </si>
  <si>
    <t>英语语言学与英语翻译理论研究</t>
  </si>
  <si>
    <t>刘爱玲, 魏冰, 吴继琴</t>
  </si>
  <si>
    <t>H31/2168</t>
  </si>
  <si>
    <t>978-7-5692-6071-7</t>
  </si>
  <si>
    <t>多元文化碰撞下的英汉对比及翻译问题研究</t>
  </si>
  <si>
    <t>范洁</t>
  </si>
  <si>
    <t>H31/2169</t>
  </si>
  <si>
    <t>978-7-5639-7091-9</t>
  </si>
  <si>
    <t>当代英语语言学理论多维视角研究</t>
  </si>
  <si>
    <t>张利</t>
  </si>
  <si>
    <t>H31/2170</t>
  </si>
  <si>
    <t>978-7-5130-7496-4</t>
  </si>
  <si>
    <t>英语语言文学与学科教学研究</t>
  </si>
  <si>
    <t>杨岸青, 李淑琼</t>
  </si>
  <si>
    <t>H31/2171</t>
  </si>
  <si>
    <t>978-7-5435-8724-3</t>
  </si>
  <si>
    <t>基础教育英语教材国际比较研究</t>
  </si>
  <si>
    <t>邹为诚</t>
  </si>
  <si>
    <t>广西教育出版社</t>
  </si>
  <si>
    <t>H31/2172</t>
  </si>
  <si>
    <t>978-7-5731-0361-1</t>
  </si>
  <si>
    <t>英语语言学基本理论及多维视角探索</t>
  </si>
  <si>
    <t>吴森</t>
  </si>
  <si>
    <t>H31/2173</t>
  </si>
  <si>
    <t>978-7-5068-7826-5</t>
  </si>
  <si>
    <t>衔接理论视角下英语政治演讲语篇的连贯性研究</t>
  </si>
  <si>
    <t>陈曦</t>
  </si>
  <si>
    <t>H31/2174</t>
  </si>
  <si>
    <t>978-7-5612-6906-0</t>
  </si>
  <si>
    <t>英语语言文学与文化理论研究</t>
  </si>
  <si>
    <t>史小兰</t>
  </si>
  <si>
    <t>H31/2175</t>
  </si>
  <si>
    <t>978-7-5639-7063-6</t>
  </si>
  <si>
    <t>英汉语言对比与翻译研究</t>
  </si>
  <si>
    <t>郭惠琴</t>
  </si>
  <si>
    <t>H31/2176</t>
  </si>
  <si>
    <t>978-7-5692-6567-5</t>
  </si>
  <si>
    <t>文化领域下的英汉语言比较研究</t>
  </si>
  <si>
    <t>贠玮</t>
  </si>
  <si>
    <t>H31/2177</t>
  </si>
  <si>
    <t>978-7-5690-3992-4</t>
  </si>
  <si>
    <t>英语语境下中国留学生英语口头学术语篇的社会化研究</t>
  </si>
  <si>
    <t>左红珊</t>
  </si>
  <si>
    <t>H31/2178</t>
  </si>
  <si>
    <t>978-7-5685-2924-2</t>
  </si>
  <si>
    <t>50天攻克BEC中级: 写作篇: 10天</t>
  </si>
  <si>
    <t>宋文玲, 郭佳佳</t>
  </si>
  <si>
    <t>H31:F/76=2D/1</t>
  </si>
  <si>
    <t>978-7-5685-2923-5</t>
  </si>
  <si>
    <t>50天攻克BEC中级: 口语篇: 12天</t>
  </si>
  <si>
    <t>H31:F/76=2D/2</t>
  </si>
  <si>
    <t>978-7-5685-2919-8</t>
  </si>
  <si>
    <t>英语专业4级语言知识: 语法精讲 词汇技巧 模拟训练</t>
  </si>
  <si>
    <t>陈婵娟, 郑媛媛</t>
  </si>
  <si>
    <t>H310.421/75</t>
  </si>
  <si>
    <t>978-7-5165-2063-5</t>
  </si>
  <si>
    <t>英语演讲技巧研究</t>
  </si>
  <si>
    <t>张春敏</t>
  </si>
  <si>
    <t>H311.9/44</t>
  </si>
  <si>
    <t>978-7-111-66833-6</t>
  </si>
  <si>
    <t>英语发音绿宝书</t>
  </si>
  <si>
    <t>斯密</t>
  </si>
  <si>
    <t>H311/112</t>
  </si>
  <si>
    <t>978-7-5108-9078-9</t>
  </si>
  <si>
    <t>英语语音课堂教学技能与实践</t>
  </si>
  <si>
    <t>H311/113</t>
  </si>
  <si>
    <t>978-7-5680-7495-7</t>
  </si>
  <si>
    <t>英语语音Do Re Mi</t>
  </si>
  <si>
    <t>董爱国, 黄建敏</t>
  </si>
  <si>
    <t>H311/114</t>
  </si>
  <si>
    <t>978-7-5699-3332-1</t>
  </si>
  <si>
    <t>思维导图英语单词快速记忆法</t>
  </si>
  <si>
    <t>懒鬼子英日语辑群</t>
  </si>
  <si>
    <t>H313.1/1128</t>
  </si>
  <si>
    <t>978-7-5713-1799-7</t>
  </si>
  <si>
    <t>用思维导图串联秒记英语单词</t>
  </si>
  <si>
    <t>(韩) 崔国韶</t>
  </si>
  <si>
    <t>H313.1/1129</t>
  </si>
  <si>
    <t>978-7-5713-1801-7</t>
  </si>
  <si>
    <t>用思维导图瞬间熟记英语单词</t>
  </si>
  <si>
    <t>H313.1/1130</t>
  </si>
  <si>
    <t>978-7-5068-7710-7</t>
  </si>
  <si>
    <t>英语词汇的多维研究与应用</t>
  </si>
  <si>
    <t>李健民</t>
  </si>
  <si>
    <t>H313.1/1131</t>
  </si>
  <si>
    <t>978-7-5713-2390-5</t>
  </si>
  <si>
    <t>不用背单词也能学好英文</t>
  </si>
  <si>
    <t>钟亚捷</t>
  </si>
  <si>
    <t>H313.1/1132</t>
  </si>
  <si>
    <t>978-7-5130-7623-4</t>
  </si>
  <si>
    <t>格词穷理: 英语词汇探源</t>
  </si>
  <si>
    <t>刘泽华</t>
  </si>
  <si>
    <t>知识产权出版社有限责任公司</t>
  </si>
  <si>
    <t>H313.1/1133</t>
  </si>
  <si>
    <t>978-7-5713-0150-7</t>
  </si>
  <si>
    <t>常用英语单词王: 提升篇</t>
  </si>
  <si>
    <t>董春磊</t>
  </si>
  <si>
    <t>H313.1/1134/1</t>
  </si>
  <si>
    <t>978-7-5537-9926-1</t>
  </si>
  <si>
    <t>常用英语单词王: 实战篇</t>
  </si>
  <si>
    <t>H313.1/1134/2</t>
  </si>
  <si>
    <t>978-7-5537-8118-1</t>
  </si>
  <si>
    <t>必备单词15000, 学完就会用</t>
  </si>
  <si>
    <t>(韩) 金东穆</t>
  </si>
  <si>
    <t>H313.1/1135</t>
  </si>
  <si>
    <t>978-7-5692-6673-3</t>
  </si>
  <si>
    <t>英语词汇记忆研究</t>
  </si>
  <si>
    <t>李庆新</t>
  </si>
  <si>
    <t>H313.1/1136</t>
  </si>
  <si>
    <t>978-7-201-15377-3</t>
  </si>
  <si>
    <t>单词的力量</t>
  </si>
  <si>
    <t>付志宽</t>
  </si>
  <si>
    <t>H313.1/1137</t>
  </si>
  <si>
    <t>978-7-5713-0624-3</t>
  </si>
  <si>
    <t>看图学会3000英语单词</t>
  </si>
  <si>
    <t>李文昊</t>
  </si>
  <si>
    <t>H313.1/1138</t>
  </si>
  <si>
    <t>978-7-5713-0625-0</t>
  </si>
  <si>
    <t>快速记忆英语单词口袋书</t>
  </si>
  <si>
    <t>H313.1/1139</t>
  </si>
  <si>
    <t>978-7-5713-1773-7</t>
  </si>
  <si>
    <t>用思维导图超强速记英语单词</t>
  </si>
  <si>
    <t>H313.1/1140</t>
  </si>
  <si>
    <t>978-7-5713-0420-1</t>
  </si>
  <si>
    <t>英语单词不必多背: 2000词搞定日常会话</t>
  </si>
  <si>
    <t>郑莹芳英语教学团队</t>
  </si>
  <si>
    <t>H313.1/1141</t>
  </si>
  <si>
    <t>978-7-5713-0348-8</t>
  </si>
  <si>
    <t>图解英语单词记忆大串联</t>
  </si>
  <si>
    <t>吴荣欣</t>
  </si>
  <si>
    <t>H313.1/1142</t>
  </si>
  <si>
    <t>978-7-5068-8053-4</t>
  </si>
  <si>
    <t>何必死记硬背: 英语单词轻松学</t>
  </si>
  <si>
    <t>侯曲萍</t>
  </si>
  <si>
    <t>H313.1/1143</t>
  </si>
  <si>
    <t>978-7-307-22589-3</t>
  </si>
  <si>
    <t>英汉复合称谓的人际意义研究</t>
  </si>
  <si>
    <t>曾文华</t>
  </si>
  <si>
    <t>H313.1/1144</t>
  </si>
  <si>
    <t>978-7-5648-4042-6</t>
  </si>
  <si>
    <t>英语同义及近义动词词义详析</t>
  </si>
  <si>
    <t>彭其昌</t>
  </si>
  <si>
    <t>H313.2/16</t>
  </si>
  <si>
    <t>978-7-5682-9777-6</t>
  </si>
  <si>
    <t>认知语义视角下的英汉习语对比研究: 兼论教学应用</t>
  </si>
  <si>
    <t>贺阿丽</t>
  </si>
  <si>
    <t>H313.3/66</t>
  </si>
  <si>
    <t>978-7-5713-0424-9</t>
  </si>
  <si>
    <t>分情境 轻松学好易误读短语</t>
  </si>
  <si>
    <t>H314.3/113</t>
  </si>
  <si>
    <t>978-7-5713-1895-6</t>
  </si>
  <si>
    <t>每天10分钟, 零基础学英语句型</t>
  </si>
  <si>
    <t>(韩) 克里斯·徐</t>
  </si>
  <si>
    <t>H314.3/114</t>
  </si>
  <si>
    <t>978-7-5713-1144-5</t>
  </si>
  <si>
    <t>英语句型就要这样学</t>
  </si>
  <si>
    <t>曾婷郁</t>
  </si>
  <si>
    <t>H314.3/115</t>
  </si>
  <si>
    <t>978-7-5713-1878-9</t>
  </si>
  <si>
    <t>快速学会英语核心句型</t>
  </si>
  <si>
    <t>H314.3/116</t>
  </si>
  <si>
    <t>978-7-5713-1793-5</t>
  </si>
  <si>
    <t>快速学会英语基础句型</t>
  </si>
  <si>
    <t>H314.3/117</t>
  </si>
  <si>
    <t>978-7-122-37902-3</t>
  </si>
  <si>
    <t>用思维导图学KET核心语法</t>
  </si>
  <si>
    <t>金利</t>
  </si>
  <si>
    <t>化学工业出版社</t>
  </si>
  <si>
    <t>H314/303</t>
  </si>
  <si>
    <t>用思维导图学KET核心语法练习册</t>
  </si>
  <si>
    <t>H314/303-2</t>
  </si>
  <si>
    <t>978-7-5692-8310-5</t>
  </si>
  <si>
    <t>英语语法研究</t>
  </si>
  <si>
    <t>H314/304</t>
  </si>
  <si>
    <t>978-7-5689-1919-7</t>
  </si>
  <si>
    <t>新编英语语法教程</t>
  </si>
  <si>
    <t>许鹏云, 刘鲲鹏, 朱晓博</t>
  </si>
  <si>
    <t>H314/305</t>
  </si>
  <si>
    <t>978-7-5713-0726-4</t>
  </si>
  <si>
    <t>超简单口诀式英语语法学习书</t>
  </si>
  <si>
    <t>曾韦婕</t>
  </si>
  <si>
    <t>H314/306</t>
  </si>
  <si>
    <t>978-7-5713-0421-8</t>
  </si>
  <si>
    <t>维尼的神奇语法书</t>
  </si>
  <si>
    <t>(韩) 朴鲁薇</t>
  </si>
  <si>
    <t>H314/307</t>
  </si>
  <si>
    <t>978-7-5692-8309-9</t>
  </si>
  <si>
    <t>新视野实战英语语法</t>
  </si>
  <si>
    <t>覃桂泉, 覃露曦</t>
  </si>
  <si>
    <t>H314/308</t>
  </si>
  <si>
    <t>978-7-307-17486-3</t>
  </si>
  <si>
    <t>全世界都在用的英语语法圣经</t>
  </si>
  <si>
    <t>苏秦</t>
  </si>
  <si>
    <t>H314/309</t>
  </si>
  <si>
    <t>978-7-108-07294-8</t>
  </si>
  <si>
    <t>跨语际实践: 文学, 民族文化与被译介的现代性</t>
  </si>
  <si>
    <t>刘禾</t>
  </si>
  <si>
    <t>H315.9/652=D</t>
  </si>
  <si>
    <t>978-7-5612-7550-4</t>
  </si>
  <si>
    <t>英语翻译理论与实用文体翻译研究</t>
  </si>
  <si>
    <t>H315.9/663</t>
  </si>
  <si>
    <t>978-7-5581-8296-9</t>
  </si>
  <si>
    <t>英语翻译与英语教学研究</t>
  </si>
  <si>
    <t>许东阳, 周晓扬, 王宁</t>
  </si>
  <si>
    <t>H315.9/664</t>
  </si>
  <si>
    <t>978-7-5001-6392-3</t>
  </si>
  <si>
    <t>中华翻译文摘. 2011-2015</t>
  </si>
  <si>
    <t>罗选民</t>
  </si>
  <si>
    <t>H315.9/665</t>
  </si>
  <si>
    <t>978-7-5639-6864-0</t>
  </si>
  <si>
    <t>多维视角下英语翻译理论创新研究</t>
  </si>
  <si>
    <t>肖艳梅, 王秀俊</t>
  </si>
  <si>
    <t>H315.9/666</t>
  </si>
  <si>
    <t>978-7-5674-1979-7</t>
  </si>
  <si>
    <t>英汉音译研究</t>
  </si>
  <si>
    <t>朱桂花</t>
  </si>
  <si>
    <t>东北林业大学出版社</t>
  </si>
  <si>
    <t>H315.9/667</t>
  </si>
  <si>
    <t>978-7-5658-4449-2</t>
  </si>
  <si>
    <t>中国文学英译: 实践与教学</t>
  </si>
  <si>
    <t>梁颖</t>
  </si>
  <si>
    <t>汕头大学出版社</t>
  </si>
  <si>
    <t>H315.9/668</t>
  </si>
  <si>
    <t>978-7-5068-8792-2</t>
  </si>
  <si>
    <t>汉英笔译教程</t>
  </si>
  <si>
    <t>马建丽, 李平</t>
  </si>
  <si>
    <t>H315.9/669</t>
  </si>
  <si>
    <t>978-7-5639-7038-4</t>
  </si>
  <si>
    <t>语言文化视野下的翻译实践研究</t>
  </si>
  <si>
    <t>王薇</t>
  </si>
  <si>
    <t>H315.9/670</t>
  </si>
  <si>
    <t>978-7-206-17582-4</t>
  </si>
  <si>
    <t>功能翻译理论下的英语翻译研究</t>
  </si>
  <si>
    <t>王珍珠</t>
  </si>
  <si>
    <t>H315.9/671</t>
  </si>
  <si>
    <t>978-7-206-17273-1</t>
  </si>
  <si>
    <t>生态翻译视角下文学翻译教学研究</t>
  </si>
  <si>
    <t>魏婉</t>
  </si>
  <si>
    <t>H315.9/672</t>
  </si>
  <si>
    <t>978-7-5692-6065-6</t>
  </si>
  <si>
    <t>基于语言与文化对比的英汉翻译研究</t>
  </si>
  <si>
    <t>朱静</t>
  </si>
  <si>
    <t>H315.9/673</t>
  </si>
  <si>
    <t>978-7-5581-6745-4</t>
  </si>
  <si>
    <t>英语翻译理论与教学研究</t>
  </si>
  <si>
    <t>罗海燕, 王湛, 宋玉芳</t>
  </si>
  <si>
    <t>H315.9/674</t>
  </si>
  <si>
    <t>978-7-5576-8233-0</t>
  </si>
  <si>
    <t>跨文化视域下英语翻译的解读</t>
  </si>
  <si>
    <t>欧敏鸿</t>
  </si>
  <si>
    <t>H315.9/675</t>
  </si>
  <si>
    <t>978-7-5672-3589-2</t>
  </si>
  <si>
    <t>中国历史典籍英译: 案例、教学与研究</t>
  </si>
  <si>
    <t>吴国向</t>
  </si>
  <si>
    <t>H315.9/676</t>
  </si>
  <si>
    <t>978-7-206-17411-7</t>
  </si>
  <si>
    <t>翻译理论与英汉翻译教学</t>
  </si>
  <si>
    <t>H315.9/677</t>
  </si>
  <si>
    <t>978-7-5639-7107-7</t>
  </si>
  <si>
    <t>文化融合背景下英语翻译理论与技法研究</t>
  </si>
  <si>
    <t>王亚丽</t>
  </si>
  <si>
    <t>H315.9/678</t>
  </si>
  <si>
    <t>978-7-5639-7583-9</t>
  </si>
  <si>
    <t>跨文化视角下英语翻译障碍及对策研究</t>
  </si>
  <si>
    <t>戚燕丽</t>
  </si>
  <si>
    <t>H315.9/679</t>
  </si>
  <si>
    <t>978-7-5194-6056-3</t>
  </si>
  <si>
    <t>高校教师自建翻译案例库教学运用示例</t>
  </si>
  <si>
    <t>汤君</t>
  </si>
  <si>
    <t>H315.9/680</t>
  </si>
  <si>
    <t>978-7-5628-6200-0</t>
  </si>
  <si>
    <t>英语CATTI三级笔译实务强化训练</t>
  </si>
  <si>
    <t>李凌波, 林世宋, 谢亮亮</t>
  </si>
  <si>
    <t>华东理工大学出版社</t>
  </si>
  <si>
    <t>H315.9/681</t>
  </si>
  <si>
    <t>978-7-5504-4916-9</t>
  </si>
  <si>
    <t>财经英语翻译研究</t>
  </si>
  <si>
    <t xml:space="preserve">罗志高 ...  </t>
  </si>
  <si>
    <t>H315.9/682</t>
  </si>
  <si>
    <t>978-7-5731-0240-9</t>
  </si>
  <si>
    <t>英汉翻译技巧与教学创新研究</t>
  </si>
  <si>
    <t>龚一凡, 王丽莎, 高志英</t>
  </si>
  <si>
    <t>H315.9/683</t>
  </si>
  <si>
    <t>978-7-5639-7685-0</t>
  </si>
  <si>
    <t>实用商务英语翻译</t>
  </si>
  <si>
    <t>陈红光</t>
  </si>
  <si>
    <t>H315.9/684</t>
  </si>
  <si>
    <t>978-7-5639-6874-9</t>
  </si>
  <si>
    <t>多元文化视角下英汉翻译策略研究</t>
  </si>
  <si>
    <t>王怡</t>
  </si>
  <si>
    <t>H315.9/685</t>
  </si>
  <si>
    <t>978-7-5068-8119-7</t>
  </si>
  <si>
    <t>当代英语翻译基本问题研究及多维透视</t>
  </si>
  <si>
    <t>龚金霞, 刘海林, 韩淑俊</t>
  </si>
  <si>
    <t>H315.9/686</t>
  </si>
  <si>
    <t>978-7-5117-3959-9</t>
  </si>
  <si>
    <t>英语习语文化探源及翻译研究</t>
  </si>
  <si>
    <t>林丽霞</t>
  </si>
  <si>
    <t>H315.9/687</t>
  </si>
  <si>
    <t>978-7-5648-4066-2</t>
  </si>
  <si>
    <t>英汉口译实战与实用技术教程: 学生用书</t>
  </si>
  <si>
    <t>蒋莉华</t>
  </si>
  <si>
    <t>H315.9/688</t>
  </si>
  <si>
    <t>978-7-5612-6864-3</t>
  </si>
  <si>
    <t>英汉互译策略在教学中的应用与探究</t>
  </si>
  <si>
    <t>侯卫霞</t>
  </si>
  <si>
    <t>H315.9/689</t>
  </si>
  <si>
    <t>978-7-5639-7019-3</t>
  </si>
  <si>
    <t>高校英语翻译教学研究</t>
  </si>
  <si>
    <t>阿日贵</t>
  </si>
  <si>
    <t>H315.9/690</t>
  </si>
  <si>
    <t>978-7-5639-7089-6</t>
  </si>
  <si>
    <t>当代英语翻译与教学实践创新研究</t>
  </si>
  <si>
    <t>刘锦芳</t>
  </si>
  <si>
    <t>H315.9/691</t>
  </si>
  <si>
    <t>978-7-5639-7582-2</t>
  </si>
  <si>
    <t>跨文化背景下的英语翻译探索</t>
  </si>
  <si>
    <t>吕晓红</t>
  </si>
  <si>
    <t>H315.9/692</t>
  </si>
  <si>
    <t>978-7-5167-3903-7</t>
  </si>
  <si>
    <t>人社领域热词英译掌中宝</t>
  </si>
  <si>
    <t>郝斌</t>
  </si>
  <si>
    <t>中国劳动社会保障出版社</t>
  </si>
  <si>
    <t>H315.9/694</t>
  </si>
  <si>
    <t>978-7-5639-7171-8</t>
  </si>
  <si>
    <t>新编大学英语学术写作</t>
  </si>
  <si>
    <t>马宇</t>
  </si>
  <si>
    <t>H315/811</t>
  </si>
  <si>
    <t>978-7-5713-0722-6</t>
  </si>
  <si>
    <t>英文E-mail实用大全</t>
  </si>
  <si>
    <t>张慈庭英语研发团队</t>
  </si>
  <si>
    <t>H315/812=D</t>
  </si>
  <si>
    <t>978-7-5369-8223-9</t>
  </si>
  <si>
    <t>英语增强和夸张类修辞格概论</t>
  </si>
  <si>
    <t>韩仲谦</t>
  </si>
  <si>
    <t>陕西科学技术出版社</t>
  </si>
  <si>
    <t>H315/813</t>
  </si>
  <si>
    <t>978-7-300-29473-5</t>
  </si>
  <si>
    <t>徐冬一托福写作满分直达. 1</t>
  </si>
  <si>
    <t>徐冬一</t>
  </si>
  <si>
    <t>H315/814/1</t>
  </si>
  <si>
    <t>978-7-306-07210-8</t>
  </si>
  <si>
    <t>雅思小作文之TID写作模型</t>
  </si>
  <si>
    <t>李玚, 马晓丽</t>
  </si>
  <si>
    <t>H315/815</t>
  </si>
  <si>
    <t>978-7-111-67343-9</t>
  </si>
  <si>
    <t>雅思写作提分进阶</t>
  </si>
  <si>
    <t>本书李鹏, 谢鹏</t>
  </si>
  <si>
    <t>H315/816</t>
  </si>
  <si>
    <t>978-7-111-67020-9</t>
  </si>
  <si>
    <t>一本书改掉托福写作顽疾: 60篇学生习作精批</t>
  </si>
  <si>
    <t>刘仁谦</t>
  </si>
  <si>
    <t>H315/817</t>
  </si>
  <si>
    <t>978-7-305-23986-1</t>
  </si>
  <si>
    <t>英汉学习词典名物词条目的深度描写</t>
  </si>
  <si>
    <t>乔丽婷</t>
  </si>
  <si>
    <t>H316/290</t>
  </si>
  <si>
    <t>978-7-5581-6742-3</t>
  </si>
  <si>
    <t>基于教学改革的大学英语教学实践</t>
  </si>
  <si>
    <t>杨照</t>
  </si>
  <si>
    <t>H319.1/18</t>
  </si>
  <si>
    <t>978-7-5639-6891-6</t>
  </si>
  <si>
    <t>现代大学英语课程教学改革的多元探索</t>
  </si>
  <si>
    <t>杨晶, 刘云飞</t>
  </si>
  <si>
    <t>H319.1/19</t>
  </si>
  <si>
    <t>978-7-5692-6070-0</t>
  </si>
  <si>
    <t>大学英语课程教学改革新向度研究</t>
  </si>
  <si>
    <t>黄佳乐</t>
  </si>
  <si>
    <t>H319.1/20</t>
  </si>
  <si>
    <t>978-7-5581-7438-4</t>
  </si>
  <si>
    <t>大学英语教学改革与创新实践</t>
  </si>
  <si>
    <t>刘政元</t>
  </si>
  <si>
    <t>H319.1/21</t>
  </si>
  <si>
    <t>978-7-5068-8388-7</t>
  </si>
  <si>
    <t>语言学理论观照下的英语教学改革研究</t>
  </si>
  <si>
    <t>王今, 武妍, 陈霞</t>
  </si>
  <si>
    <t>H319.1/22</t>
  </si>
  <si>
    <t>978-7-5639-7172-5</t>
  </si>
  <si>
    <t>基于翻译能力培养的高校英语教学改革研究</t>
  </si>
  <si>
    <t>胡亚辉</t>
  </si>
  <si>
    <t>H319.1/23</t>
  </si>
  <si>
    <t>978-7-5692-8642-7</t>
  </si>
  <si>
    <t>大学英语混合式智慧教育理论研究与实践. 2</t>
  </si>
  <si>
    <t>蒙岚</t>
  </si>
  <si>
    <t>H319.1-53/3/2</t>
  </si>
  <si>
    <t>978-7-5612-7425-5</t>
  </si>
  <si>
    <t>大学英语个性化教学的策略分析与系统设计</t>
  </si>
  <si>
    <t>滑少枫</t>
  </si>
  <si>
    <t>H319.3/300</t>
  </si>
  <si>
    <t>978-7-5639-7356-9</t>
  </si>
  <si>
    <t>多元社会文化与大学英语教学研究</t>
  </si>
  <si>
    <t>郑春伶</t>
  </si>
  <si>
    <t>H319.3/301</t>
  </si>
  <si>
    <t>978-7-5130-6824-6</t>
  </si>
  <si>
    <t>大学英语课堂同伴互动中的学习者投入研究</t>
  </si>
  <si>
    <t>范玉梅</t>
  </si>
  <si>
    <t>H319.3/302</t>
  </si>
  <si>
    <t>978-7-209-12584-0</t>
  </si>
  <si>
    <t>学习、创新、外语应用能力训练</t>
  </si>
  <si>
    <t>姜立, 韩雪涛</t>
  </si>
  <si>
    <t>H319.3/303</t>
  </si>
  <si>
    <t>978-7-5639-7190-9</t>
  </si>
  <si>
    <t>高校英语教学模式创新与发展研究</t>
  </si>
  <si>
    <t>杜羽洁, 史红霞</t>
  </si>
  <si>
    <t>H319.3/304</t>
  </si>
  <si>
    <t>978-7-5639-6859-6</t>
  </si>
  <si>
    <t>创新发展视阈下英语教学与翻译研究</t>
  </si>
  <si>
    <t>范丽君, 徐霞</t>
  </si>
  <si>
    <t>H319.3/305</t>
  </si>
  <si>
    <t>978-7-206-17387-5</t>
  </si>
  <si>
    <t>英语课程体系构建与教学改革研究</t>
  </si>
  <si>
    <t>刘广宇, 王运华</t>
  </si>
  <si>
    <t>H319.3/306</t>
  </si>
  <si>
    <t>978-7-5639-7007-0</t>
  </si>
  <si>
    <t>信息化背景下大学英语教学研究与实践</t>
  </si>
  <si>
    <t>吴白兰</t>
  </si>
  <si>
    <t>H319.3/307</t>
  </si>
  <si>
    <t>978-7-5692-6178-3</t>
  </si>
  <si>
    <t>中国环境下的创造性英语教学探索</t>
  </si>
  <si>
    <t>段平华</t>
  </si>
  <si>
    <t>H319.3/308</t>
  </si>
  <si>
    <t>978-7-5581-3659-7</t>
  </si>
  <si>
    <t>基于移动学习的大学英语课程设计研究</t>
  </si>
  <si>
    <t>谭宗燕</t>
  </si>
  <si>
    <t>H319.3/309</t>
  </si>
  <si>
    <t>978-7-5577-0711-8</t>
  </si>
  <si>
    <t>融合与渗透: 跨文化交际中的大学英语教学研究与优化</t>
  </si>
  <si>
    <t>武黎</t>
  </si>
  <si>
    <t>H319.3/310</t>
  </si>
  <si>
    <t>978-7-5576-7771-8</t>
  </si>
  <si>
    <t>跨文化视野下英语教学研究</t>
  </si>
  <si>
    <t>曲琳琳</t>
  </si>
  <si>
    <t>H319.3/311</t>
  </si>
  <si>
    <t>978-7-5731-0244-7</t>
  </si>
  <si>
    <t>高校英语教学的研究热点: 英语教师专业发展研究</t>
  </si>
  <si>
    <t>刘菲</t>
  </si>
  <si>
    <t>H319.3/312</t>
  </si>
  <si>
    <t>978-7-5731-0365-9</t>
  </si>
  <si>
    <t>教育生态化视角下高校英语教学创新研究</t>
  </si>
  <si>
    <t>刘蕊</t>
  </si>
  <si>
    <t>H319.3/313</t>
  </si>
  <si>
    <t>978-7-5731-0356-7</t>
  </si>
  <si>
    <t>信息时代背景下大学英语教学方法整合新探</t>
  </si>
  <si>
    <t>张墨</t>
  </si>
  <si>
    <t>H319.3/314</t>
  </si>
  <si>
    <t>978-7-5731-0364-2</t>
  </si>
  <si>
    <t>基于跨文化交际的英语教学研究</t>
  </si>
  <si>
    <t>陈夺</t>
  </si>
  <si>
    <t>H319.3/315</t>
  </si>
  <si>
    <t>978-7-5731-0363-5</t>
  </si>
  <si>
    <t>大学英语教学创新与实践研究</t>
  </si>
  <si>
    <t>段茂超</t>
  </si>
  <si>
    <t>H319.3/316</t>
  </si>
  <si>
    <t>978-7-5688-6956-0</t>
  </si>
  <si>
    <t>高校英语语言实践活动创新策略</t>
  </si>
  <si>
    <t>崔淑娟, 吕波, 王明洋</t>
  </si>
  <si>
    <t>延边大学出版社</t>
  </si>
  <si>
    <t>H319.3/317</t>
  </si>
  <si>
    <t>978-7-5639-6820-6</t>
  </si>
  <si>
    <t>信息时代大学英语教育现状与教学模式探究</t>
  </si>
  <si>
    <t>张玉洁</t>
  </si>
  <si>
    <t>H319.3/318</t>
  </si>
  <si>
    <t>978-7-5068-8056-5</t>
  </si>
  <si>
    <t>“互联网+”视域下大学英语教学新模式的研究</t>
  </si>
  <si>
    <t>蒋春丽</t>
  </si>
  <si>
    <t>H319.3/319</t>
  </si>
  <si>
    <t>978-7-5692-6758-7</t>
  </si>
  <si>
    <t>新时代大学英语教学研究</t>
  </si>
  <si>
    <t>冯建平</t>
  </si>
  <si>
    <t>H319.3/320</t>
  </si>
  <si>
    <t>978-7-5639-7505-1</t>
  </si>
  <si>
    <t>英美文学与英语教学融合研究</t>
  </si>
  <si>
    <t>王晗, 张丹, 蔡路平</t>
  </si>
  <si>
    <t>H319.3/321</t>
  </si>
  <si>
    <t>978-7-5639-7713-0</t>
  </si>
  <si>
    <t>现代英语教学设计与模式创新</t>
  </si>
  <si>
    <t>李骠, 常继林, 陈波</t>
  </si>
  <si>
    <t>H319.3/322</t>
  </si>
  <si>
    <t>978-7-5731-0242-3</t>
  </si>
  <si>
    <t>语言学视角下的高校英语专业教学研究</t>
  </si>
  <si>
    <t>王艳梅, 刘鹏伟, 刘晓玲</t>
  </si>
  <si>
    <t>H319.3/323</t>
  </si>
  <si>
    <t>978-7-5692-6162-2</t>
  </si>
  <si>
    <t>新思维视角下大学英语教学及改革研究</t>
  </si>
  <si>
    <t>全斌, 崔伟慧</t>
  </si>
  <si>
    <t>H319.3/324</t>
  </si>
  <si>
    <t>978-7-5576-6807-5</t>
  </si>
  <si>
    <t>信息技术环境下的英语教学研究</t>
  </si>
  <si>
    <t>赵晓峰</t>
  </si>
  <si>
    <t>H319.3/325</t>
  </si>
  <si>
    <t>978-7-5484-5801-2</t>
  </si>
  <si>
    <t>现代英语教学方法研究</t>
  </si>
  <si>
    <t>王坤邦</t>
  </si>
  <si>
    <t>H319.3/326</t>
  </si>
  <si>
    <t>978-7-5639-7642-3</t>
  </si>
  <si>
    <t>实用英语教学论</t>
  </si>
  <si>
    <t>曹睿</t>
  </si>
  <si>
    <t>H319.3/327</t>
  </si>
  <si>
    <t>978-7-5639-7080-3</t>
  </si>
  <si>
    <t>英语教学中隐喻意识培养研究</t>
  </si>
  <si>
    <t>贾晓娟</t>
  </si>
  <si>
    <t>H319.3/328</t>
  </si>
  <si>
    <t>978-7-5639-6861-9</t>
  </si>
  <si>
    <t>多媒体网络环境下英语教学变革与发展研究</t>
  </si>
  <si>
    <t>杜庆凤</t>
  </si>
  <si>
    <t>H319.3/329</t>
  </si>
  <si>
    <t>978-7-5731-0162-4</t>
  </si>
  <si>
    <t>英语教学方法新探索</t>
  </si>
  <si>
    <t>张景</t>
  </si>
  <si>
    <t>H319.3/330</t>
  </si>
  <si>
    <t>978-7-5709-1272-8</t>
  </si>
  <si>
    <t>现代多元化大学英语教学</t>
  </si>
  <si>
    <t>王萍, 曲元芬</t>
  </si>
  <si>
    <t>黑龙江教育出版社</t>
  </si>
  <si>
    <t>H319.3/331</t>
  </si>
  <si>
    <t>978-7-5639-7581-5</t>
  </si>
  <si>
    <t>基于教学改革的大学英语国际化发展教学实践</t>
  </si>
  <si>
    <t>刘季陶, 雷丹</t>
  </si>
  <si>
    <t>H319.3/332</t>
  </si>
  <si>
    <t>978-7-206-17630-2</t>
  </si>
  <si>
    <t>跨文化视角下的英语教学理论与方法探究</t>
  </si>
  <si>
    <t>唐旻丽, 崔国东, 盛园</t>
  </si>
  <si>
    <t>H319.3/333</t>
  </si>
  <si>
    <t>978-7-5581-3675-7</t>
  </si>
  <si>
    <t>改革与创新: 英语教学的跨文化转型与渗透</t>
  </si>
  <si>
    <t>宋晶</t>
  </si>
  <si>
    <t>H319.3/334</t>
  </si>
  <si>
    <t>978-7-5581-9897-7</t>
  </si>
  <si>
    <t>大学英语高效课堂创建研究</t>
  </si>
  <si>
    <t>岳娜</t>
  </si>
  <si>
    <t>H319.3/335</t>
  </si>
  <si>
    <t>978-7-5130-7002-7</t>
  </si>
  <si>
    <t>语言形式聚焦研究: 以中国大学英语课堂小组互动为例</t>
  </si>
  <si>
    <t>刘芳</t>
  </si>
  <si>
    <t>H319.3/336</t>
  </si>
  <si>
    <t>978-7-5130-7666-1</t>
  </si>
  <si>
    <t>基于教育生态化的英语教育教学实践</t>
  </si>
  <si>
    <t>尹平</t>
  </si>
  <si>
    <t>H319.3/337</t>
  </si>
  <si>
    <t>978-7-5068-8153-1</t>
  </si>
  <si>
    <t>英语教学法: 带你提升教学魅力</t>
  </si>
  <si>
    <t>李革菊</t>
  </si>
  <si>
    <t>H319.3/338</t>
  </si>
  <si>
    <t>978-7-5103-3294-4</t>
  </si>
  <si>
    <t>大学英语教学中的教师自我表露研究</t>
  </si>
  <si>
    <t>郭思含</t>
  </si>
  <si>
    <t>H319.3/339</t>
  </si>
  <si>
    <t>978-7-5581-9401-6</t>
  </si>
  <si>
    <t>互联网+英语理论与教学研究</t>
  </si>
  <si>
    <t>张宁宁</t>
  </si>
  <si>
    <t>H319.3/340</t>
  </si>
  <si>
    <t>978-7-5639-7743-7</t>
  </si>
  <si>
    <t>隐喻理论视阈下大学英语教学与学生隐喻能力培养</t>
  </si>
  <si>
    <t>莫振银</t>
  </si>
  <si>
    <t>H319.3/341</t>
  </si>
  <si>
    <t>978-7-5096-8191-6</t>
  </si>
  <si>
    <t>探索与革新: 大学英语教育发展与人才管理研究</t>
  </si>
  <si>
    <t>杨培</t>
  </si>
  <si>
    <t>H319.3/342</t>
  </si>
  <si>
    <t>978-7-5692-6955-0</t>
  </si>
  <si>
    <t>跨文化交际视阈下大学英语教学理论构建与创新路径</t>
  </si>
  <si>
    <t>张鑫, 张波, 胡小燕</t>
  </si>
  <si>
    <t>H319.3/343</t>
  </si>
  <si>
    <t>978-7-5639-7749-9</t>
  </si>
  <si>
    <t>英语教学与文化融合</t>
  </si>
  <si>
    <t>臧庆</t>
  </si>
  <si>
    <t>H319.3/344</t>
  </si>
  <si>
    <t>978-7-5108-9493-0</t>
  </si>
  <si>
    <t>文化自信视角下英语教学中跨文化交际能力培养路径探索</t>
  </si>
  <si>
    <t>张雪莉</t>
  </si>
  <si>
    <t>H319.3/345</t>
  </si>
  <si>
    <t>978-7-5576-7612-4</t>
  </si>
  <si>
    <t>英语教学研究</t>
  </si>
  <si>
    <t>杨淑玲, 李卉琼, 高绪华</t>
  </si>
  <si>
    <t>H319.3/346</t>
  </si>
  <si>
    <t>978-7-5581-8383-6</t>
  </si>
  <si>
    <t>大学英语教学研究</t>
  </si>
  <si>
    <t>沈黎</t>
  </si>
  <si>
    <t>H319.3/347</t>
  </si>
  <si>
    <t>978-7-5639-7148-0</t>
  </si>
  <si>
    <t>高校英语教育模式创新研究</t>
  </si>
  <si>
    <t>王峥, 王佩</t>
  </si>
  <si>
    <t>H319.3/348</t>
  </si>
  <si>
    <t>978-7-5578-5494-2</t>
  </si>
  <si>
    <t>大学英语教学的跨文化教育探析</t>
  </si>
  <si>
    <t>H319.3/349</t>
  </si>
  <si>
    <t>978-7-5692-7051-8</t>
  </si>
  <si>
    <t>互联网教育背景下大学英语教学体系的反思与重建</t>
  </si>
  <si>
    <t>曹海霞</t>
  </si>
  <si>
    <t>H319.3/350</t>
  </si>
  <si>
    <t>978-7-206-18181-8</t>
  </si>
  <si>
    <t>大学英语教学模式的革新与发展研究</t>
  </si>
  <si>
    <t>陈细竹, 苏远芸</t>
  </si>
  <si>
    <t>H319.3/351</t>
  </si>
  <si>
    <t>978-7-5225-0045-4</t>
  </si>
  <si>
    <t>当代大学英语教育背景下中国EFL学习者文化自信培育研究</t>
  </si>
  <si>
    <t>苏芹</t>
  </si>
  <si>
    <t>H319.3/352</t>
  </si>
  <si>
    <t>978-7-5692-7529-2</t>
  </si>
  <si>
    <t>现代英语教学新发展的多维透视</t>
  </si>
  <si>
    <t>张春子</t>
  </si>
  <si>
    <t>H319.3/353</t>
  </si>
  <si>
    <t>978-7-5639-7013-1</t>
  </si>
  <si>
    <t>新时代高校英语教学研究</t>
  </si>
  <si>
    <t>刘媛</t>
  </si>
  <si>
    <t>H319.3/354</t>
  </si>
  <si>
    <t>978-7-5670-2574-5</t>
  </si>
  <si>
    <t>大学英语教学新模式背景下的情感教学研究</t>
  </si>
  <si>
    <t>秦磊</t>
  </si>
  <si>
    <t>H319.3/355</t>
  </si>
  <si>
    <t>978-7-5639-7644-7</t>
  </si>
  <si>
    <t>大学英语阅读与教学研究</t>
  </si>
  <si>
    <t>王进</t>
  </si>
  <si>
    <t>H319.3/356</t>
  </si>
  <si>
    <t>978-7-5639-6851-0</t>
  </si>
  <si>
    <t>当代高校英语教学与二语习得研究</t>
  </si>
  <si>
    <t>薛丽</t>
  </si>
  <si>
    <t>H319.3/357</t>
  </si>
  <si>
    <t>978-7-5108-9956-0</t>
  </si>
  <si>
    <t>互动与融合: 跨文化与英语教学</t>
  </si>
  <si>
    <t>丁燕</t>
  </si>
  <si>
    <t>H319.3/358</t>
  </si>
  <si>
    <t>978-7-5692-5066-4</t>
  </si>
  <si>
    <t>英语教学基础理论诠释及创新视角研究</t>
  </si>
  <si>
    <t>吴秀英</t>
  </si>
  <si>
    <t>H319.3/359</t>
  </si>
  <si>
    <t>978-7-5615-6661-9</t>
  </si>
  <si>
    <t>动态系统理论视域下的大学英语课堂互动机制另解</t>
  </si>
  <si>
    <t>吴敏</t>
  </si>
  <si>
    <t>H319.3/360</t>
  </si>
  <si>
    <t>978-7-206-16457-6</t>
  </si>
  <si>
    <t>基于移动学习系统的大学英语教学研究</t>
  </si>
  <si>
    <t>任彦卿</t>
  </si>
  <si>
    <t>H319.3/361</t>
  </si>
  <si>
    <t>978-7-5194-6065-5</t>
  </si>
  <si>
    <t>英语教学方法论: 基于过程哲学之经验的个体体验性</t>
  </si>
  <si>
    <t>谢邦秀</t>
  </si>
  <si>
    <t>H319.3/362</t>
  </si>
  <si>
    <t>978-7-5194-6092-1</t>
  </si>
  <si>
    <t>混合学习空间视域下的大学英语教学研究</t>
  </si>
  <si>
    <t>潘孝泉</t>
  </si>
  <si>
    <t>H319.3/363</t>
  </si>
  <si>
    <t>978-7-5194-5349-7</t>
  </si>
  <si>
    <t>预科英语教学探索与实践</t>
  </si>
  <si>
    <t>托娅, 夏增艳</t>
  </si>
  <si>
    <t>H319.3/364</t>
  </si>
  <si>
    <t>978-7-5068-8118-0</t>
  </si>
  <si>
    <t>大学英语教学方法理论与实践新探</t>
  </si>
  <si>
    <t>张朝霞, 周晓琴, 杨丽娟</t>
  </si>
  <si>
    <t>H319.3/365</t>
  </si>
  <si>
    <t>978-7-5068-8052-7</t>
  </si>
  <si>
    <t>基于自主学习的大学英语教学理论与改革研究</t>
  </si>
  <si>
    <t>刘永莉</t>
  </si>
  <si>
    <t>H319.3/366</t>
  </si>
  <si>
    <t>978-7-5692-8616-8</t>
  </si>
  <si>
    <t>基于动态系统理论的英语专业学习者学术能力发展研究</t>
  </si>
  <si>
    <t>蒋苏琴</t>
  </si>
  <si>
    <t>H319.3/367</t>
  </si>
  <si>
    <t>978-7-5641-9732-2</t>
  </si>
  <si>
    <t>外语课程“三全育人”的理论与实践研究</t>
  </si>
  <si>
    <t>胡永辉, 李霄翔</t>
  </si>
  <si>
    <t>H319.3/368</t>
  </si>
  <si>
    <t>978-7-5578-7494-0</t>
  </si>
  <si>
    <t>英语教学与翻译研究</t>
  </si>
  <si>
    <t>李成华</t>
  </si>
  <si>
    <t>H319.3/369</t>
  </si>
  <si>
    <t>978-7-5639-7248-7</t>
  </si>
  <si>
    <t>新时代高校英语教学模式创新研究</t>
  </si>
  <si>
    <t>徐琴</t>
  </si>
  <si>
    <t>H319.3/370</t>
  </si>
  <si>
    <t>978-7-5692-6564-4</t>
  </si>
  <si>
    <t>大学英语教学体系构建与创新性研究</t>
  </si>
  <si>
    <t>韩楠</t>
  </si>
  <si>
    <t>H319.3/371</t>
  </si>
  <si>
    <t>978-7-5689-2031-5</t>
  </si>
  <si>
    <t>语料库在英语教学中的应用研究</t>
  </si>
  <si>
    <t>侯静</t>
  </si>
  <si>
    <t>H319.3/372</t>
  </si>
  <si>
    <t>978-7-5692-6235-3</t>
  </si>
  <si>
    <t>二语习得理论视阈下的高校英语教学策略研究</t>
  </si>
  <si>
    <t>单士坤, 王敏</t>
  </si>
  <si>
    <t>H319.3/373</t>
  </si>
  <si>
    <t>978-7-5068-8155-5</t>
  </si>
  <si>
    <t>自主学习能力培养下的英语教学法改革新思路</t>
  </si>
  <si>
    <t>许江艳, 宋晓丽</t>
  </si>
  <si>
    <t>H319.3/374</t>
  </si>
  <si>
    <t>978-7-5068-8127-2</t>
  </si>
  <si>
    <t>信息化背景下高校英语混合式教学模式探索与应用</t>
  </si>
  <si>
    <t>康洁平</t>
  </si>
  <si>
    <t>H319.3/375</t>
  </si>
  <si>
    <t>978-7-5581-8564-9</t>
  </si>
  <si>
    <t>大学英语多模式课堂教学研究</t>
  </si>
  <si>
    <t>王艳霞</t>
  </si>
  <si>
    <t>H319.3/376</t>
  </si>
  <si>
    <t>978-7-206-17143-7</t>
  </si>
  <si>
    <t>大学英语教学及其媒体融合视角探索</t>
  </si>
  <si>
    <t>胡宇涵</t>
  </si>
  <si>
    <t>H319.3/377</t>
  </si>
  <si>
    <t>978-7-5639-7401-6</t>
  </si>
  <si>
    <t>跨文化视角下的大学英语教学创新研究</t>
  </si>
  <si>
    <t>李攀攀, 郝可欣</t>
  </si>
  <si>
    <t>H319.3/378</t>
  </si>
  <si>
    <t>978-7-5689-1888-6</t>
  </si>
  <si>
    <t>逗号女王的自白: 编辑的自我修养</t>
  </si>
  <si>
    <t>(美) 玛丽·诺里斯</t>
  </si>
  <si>
    <t>H319.3/379</t>
  </si>
  <si>
    <t>978-7-5158-3149-7</t>
  </si>
  <si>
    <t>多模态英语教学理论与实践</t>
  </si>
  <si>
    <t>苏一凡</t>
  </si>
  <si>
    <t>H319.3/380</t>
  </si>
  <si>
    <t>978-7-206-17245-8</t>
  </si>
  <si>
    <t>互联网背景下高校英语教育的创新发展</t>
  </si>
  <si>
    <t>赵丽</t>
  </si>
  <si>
    <t>H319.3/381</t>
  </si>
  <si>
    <t>978-7-5692-6960-4</t>
  </si>
  <si>
    <t>网络环境下大学英语教学的多维发展与创新探究</t>
  </si>
  <si>
    <t>孙懿超</t>
  </si>
  <si>
    <t>H319.3/382</t>
  </si>
  <si>
    <t>978-7-5692-6573-6</t>
  </si>
  <si>
    <t>大学英语文化教学理论阐释及创新视角研究</t>
  </si>
  <si>
    <t>蔺蕴洲, 史丽红</t>
  </si>
  <si>
    <t>H319.3/383</t>
  </si>
  <si>
    <t>978-7-5639-7249-4</t>
  </si>
  <si>
    <t>英语教学中跨文化交际能力培养研究</t>
  </si>
  <si>
    <t>慕爱静</t>
  </si>
  <si>
    <t>H319.3/384</t>
  </si>
  <si>
    <t>978-7-5639-6896-1</t>
  </si>
  <si>
    <t>英语课堂形成性评价与大学生自主学习策略研究</t>
  </si>
  <si>
    <t>喻秀华</t>
  </si>
  <si>
    <t>H319.3/385</t>
  </si>
  <si>
    <t>978-7-200-13629-6</t>
  </si>
  <si>
    <t>英语学习</t>
  </si>
  <si>
    <t>李赋宁</t>
  </si>
  <si>
    <t>H319.3/386</t>
  </si>
  <si>
    <t>978-7-5670-2666-7</t>
  </si>
  <si>
    <t>现代大学英语教学新理念与课堂教学实施</t>
  </si>
  <si>
    <t>慈建华</t>
  </si>
  <si>
    <t>H319.3/387</t>
  </si>
  <si>
    <t>978-7-206-17282-3</t>
  </si>
  <si>
    <t>高校英语教学设计优化与模式改革研究</t>
  </si>
  <si>
    <t>张金焕</t>
  </si>
  <si>
    <t>H319.3/388</t>
  </si>
  <si>
    <t>978-7-5068-8382-5</t>
  </si>
  <si>
    <t>“互联网+”背景下的大学英语教学优化与转向</t>
  </si>
  <si>
    <t>石磊</t>
  </si>
  <si>
    <t>H319.3/389</t>
  </si>
  <si>
    <t>978-7-5068-8016-9</t>
  </si>
  <si>
    <t>大学英语教学的跨文化转型与创新路径</t>
  </si>
  <si>
    <t>杜芳, 王磊</t>
  </si>
  <si>
    <t>H319.3/390</t>
  </si>
  <si>
    <t>978-7-5068-8298-9</t>
  </si>
  <si>
    <t>文化自信视域下大学英语教学的策略与路径</t>
  </si>
  <si>
    <t>秦盼泓</t>
  </si>
  <si>
    <t>H319.3/391</t>
  </si>
  <si>
    <t>978-7-5688-7191-4</t>
  </si>
  <si>
    <t>英语口语教学理论与实践</t>
  </si>
  <si>
    <t>刘翊, 许清然, 嵩贺</t>
  </si>
  <si>
    <t>H319.32/16</t>
  </si>
  <si>
    <t>978-7-5690-3337-3</t>
  </si>
  <si>
    <t>英语语音教学论文集</t>
  </si>
  <si>
    <t>张凤桐</t>
  </si>
  <si>
    <t>H319.32/17</t>
  </si>
  <si>
    <t>978-7-307-22555-8</t>
  </si>
  <si>
    <t>基于语料库的英语词根词缀习得问题研究: 词根篇</t>
  </si>
  <si>
    <t>姚鸿琨</t>
  </si>
  <si>
    <t>H319.35/29</t>
  </si>
  <si>
    <t>978-7-5692-8900-8</t>
  </si>
  <si>
    <t>大学英语写作教学: 以“产出导向法”为视角</t>
  </si>
  <si>
    <t>张冬梅</t>
  </si>
  <si>
    <t>H319.36/81</t>
  </si>
  <si>
    <t>978-7-313-22912-0</t>
  </si>
  <si>
    <t>全新大学英语写作教程</t>
  </si>
  <si>
    <t>卢小军, 江妍, 李端阳</t>
  </si>
  <si>
    <t>H319.36/82</t>
  </si>
  <si>
    <t>978-7-5692-7290-1</t>
  </si>
  <si>
    <t>高校英语写作中的声音构建研究</t>
  </si>
  <si>
    <t>刘秋成</t>
  </si>
  <si>
    <t>H319.36/83</t>
  </si>
  <si>
    <t>978-7-5639-6900-5</t>
  </si>
  <si>
    <t>英语写作教学理论与实践研究</t>
  </si>
  <si>
    <t>陆春霞</t>
  </si>
  <si>
    <t>H319.36/84</t>
  </si>
  <si>
    <t>978-7-302-59341-6</t>
  </si>
  <si>
    <t>考研英语作文考点20篇</t>
  </si>
  <si>
    <t>屠皓民, 张培</t>
  </si>
  <si>
    <t>H319.36/85</t>
  </si>
  <si>
    <t>978-7-5682-9852-0</t>
  </si>
  <si>
    <t>新时代大学英语阅读. 1</t>
  </si>
  <si>
    <t>刘建达</t>
  </si>
  <si>
    <t>H319.37/163/1</t>
  </si>
  <si>
    <t>978-7-5682-9853-7</t>
  </si>
  <si>
    <t>新时代大学英语阅读. 2</t>
  </si>
  <si>
    <t>H319.37/163/2</t>
  </si>
  <si>
    <t>978-7-5581-9072-8</t>
  </si>
  <si>
    <t>高校英语阅读理论研究与教学模式新论</t>
  </si>
  <si>
    <t>丁小航</t>
  </si>
  <si>
    <t>H319.37/164</t>
  </si>
  <si>
    <t>978-7-5658-4332-7</t>
  </si>
  <si>
    <t>英语读写结合教学理论与翻译研究</t>
  </si>
  <si>
    <t>彭兵雄, 肖陶, 亢连连</t>
  </si>
  <si>
    <t>H319.37/165</t>
  </si>
  <si>
    <t>978-7-5658-4398-3</t>
  </si>
  <si>
    <t>英语应用能力与阅读写作教学</t>
  </si>
  <si>
    <t>程莲, 华鸿燕, 谢素云</t>
  </si>
  <si>
    <t>H319.37/166</t>
  </si>
  <si>
    <t>978-7-5639-7121-3</t>
  </si>
  <si>
    <t>英语阅读与教学研究</t>
  </si>
  <si>
    <t>朱晓云, 李艳, 张彭杰</t>
  </si>
  <si>
    <t>H319.37/167</t>
  </si>
  <si>
    <t>978-7-5451-5319-4</t>
  </si>
  <si>
    <t>英语阅读教学与学生认知能力的培养研究</t>
  </si>
  <si>
    <t>演欣荣</t>
  </si>
  <si>
    <t>辽海出版社</t>
  </si>
  <si>
    <t>H319.37/168</t>
  </si>
  <si>
    <t>978-7-5648-4235-2</t>
  </si>
  <si>
    <t>英语阅读. 一. 英语阅读策略、技巧与实践</t>
  </si>
  <si>
    <t>罗辉, 陈敏哲</t>
  </si>
  <si>
    <t>H319.37/169/1</t>
  </si>
  <si>
    <t>978-7-5682-8584-1</t>
  </si>
  <si>
    <t>大学英语实训教材. 上册</t>
  </si>
  <si>
    <t>总战秀琴</t>
  </si>
  <si>
    <t>H319.39/126/1</t>
  </si>
  <si>
    <t>978-7-5682-8585-8</t>
  </si>
  <si>
    <t>大学英语实训教材. 下册</t>
  </si>
  <si>
    <t>H319.39/126/2</t>
  </si>
  <si>
    <t>978-7-5682-9464-5</t>
  </si>
  <si>
    <t>大学实用英语综合教程</t>
  </si>
  <si>
    <t>马海旭, 邢舫, 韩芳</t>
  </si>
  <si>
    <t>H319.39/127</t>
  </si>
  <si>
    <t>978-7-5689-1959-3</t>
  </si>
  <si>
    <t>新时代大学互动英语. 1. 教师用书</t>
  </si>
  <si>
    <t>总石坚, 向前进</t>
  </si>
  <si>
    <t>H319.39/128/1</t>
  </si>
  <si>
    <t>978-7-5689-2204-3</t>
  </si>
  <si>
    <t>新时代大学互动英语. 2. 教师用书</t>
  </si>
  <si>
    <t>H319.39/128/2</t>
  </si>
  <si>
    <t>978-7-5672-3330-0</t>
  </si>
  <si>
    <t>新融通大学英语. 第4册</t>
  </si>
  <si>
    <t>韩静, 许兰娟</t>
  </si>
  <si>
    <t>H319.39/129/4</t>
  </si>
  <si>
    <t>978-7-5096-7233-4</t>
  </si>
  <si>
    <t>高级英语阅读教程</t>
  </si>
  <si>
    <t>丁静辉</t>
  </si>
  <si>
    <t>H319.4/1837</t>
  </si>
  <si>
    <t>978-7-5581-8457-4</t>
  </si>
  <si>
    <t>实用英语美文精选</t>
  </si>
  <si>
    <t>秦东红, 路潇潇, 李雨潇</t>
  </si>
  <si>
    <t>H319.4/1838</t>
  </si>
  <si>
    <t>978-7-5327-8830-9</t>
  </si>
  <si>
    <t>新工具</t>
  </si>
  <si>
    <t>(英) 弗朗西斯·培根(Francis Bacon)</t>
  </si>
  <si>
    <t>H319.4:B/70-2</t>
  </si>
  <si>
    <t>978-7-302-59006-4</t>
  </si>
  <si>
    <t>艺术的二十二个遐想</t>
  </si>
  <si>
    <t>李睦</t>
  </si>
  <si>
    <t>H319.4:G/549</t>
  </si>
  <si>
    <t>978-7-5682-9491-1</t>
  </si>
  <si>
    <t>堂吉诃德</t>
  </si>
  <si>
    <t>(西) 米格尔·塞万提斯</t>
  </si>
  <si>
    <t>H319.4:I/1348-2</t>
  </si>
  <si>
    <t>978-7-5682-9191-0</t>
  </si>
  <si>
    <t>红与黑</t>
  </si>
  <si>
    <t>(法) 司汤达</t>
  </si>
  <si>
    <t>H319.4:I/1650-2</t>
  </si>
  <si>
    <t>978-7-5682-9317-4</t>
  </si>
  <si>
    <t>歌剧魅影</t>
  </si>
  <si>
    <t>(法) 卡斯顿·勒胡</t>
  </si>
  <si>
    <t>H319.4:I/1653-2</t>
  </si>
  <si>
    <t>978-7-5682-9190-3</t>
  </si>
  <si>
    <t>呼啸山庄</t>
  </si>
  <si>
    <t>(英) 艾米莉·勃朗特</t>
  </si>
  <si>
    <t>H319.4:I/1747-2</t>
  </si>
  <si>
    <t>978-7-5104-6280-1</t>
  </si>
  <si>
    <t>不朽的美. 第二辑. 云想衣裳花想容: 许渊冲经典英译诗词</t>
  </si>
  <si>
    <t>许渊冲</t>
  </si>
  <si>
    <t>H319.4:I/1995/2</t>
  </si>
  <si>
    <t>978-7-5104-6281-8</t>
  </si>
  <si>
    <t>不朽的美. 第三辑. 似曾相识燕归来: 许渊冲经典英译诗词</t>
  </si>
  <si>
    <t>H319.4:I/1995/3</t>
  </si>
  <si>
    <t>978-7-5693-1714-5</t>
  </si>
  <si>
    <t>美国文学史及作品选读</t>
  </si>
  <si>
    <t>杜丽霞</t>
  </si>
  <si>
    <t>H319.4:I/1996</t>
  </si>
  <si>
    <t>978-7-5682-9580-2</t>
  </si>
  <si>
    <t>女房客</t>
  </si>
  <si>
    <t>(英) 安妮·勃朗特</t>
  </si>
  <si>
    <t>H319.4:I/1997</t>
  </si>
  <si>
    <t>978-7-5682-9720-2</t>
  </si>
  <si>
    <t>秘密特工</t>
  </si>
  <si>
    <t>(英) 约瑟夫·康拉德</t>
  </si>
  <si>
    <t>H319.4:I/1998</t>
  </si>
  <si>
    <t>978-7-5001-6442-5</t>
  </si>
  <si>
    <t>许渊冲译元曲三百首</t>
  </si>
  <si>
    <t>H319.4:I/1999</t>
  </si>
  <si>
    <t>978-7-5682-8432-5</t>
  </si>
  <si>
    <t>罗马故事</t>
  </si>
  <si>
    <t>(希腊) 普卢塔克</t>
  </si>
  <si>
    <t>H319.4:I/221-2</t>
  </si>
  <si>
    <t>978-7-5682-9367-9</t>
  </si>
  <si>
    <t>弗兰肯斯坦</t>
  </si>
  <si>
    <t>(英) 玛丽·雪莱</t>
  </si>
  <si>
    <t>H319.4:I/52-4</t>
  </si>
  <si>
    <t>978-7-300-28530-6</t>
  </si>
  <si>
    <t>中国文化概况</t>
  </si>
  <si>
    <t>符存, 王倩, 张玲</t>
  </si>
  <si>
    <t>H319.4:K/303</t>
  </si>
  <si>
    <t>978-7-5194-6228-4</t>
  </si>
  <si>
    <t>图说英美国家概况</t>
  </si>
  <si>
    <t>杨秀萍</t>
  </si>
  <si>
    <t>H319.4:K/304</t>
  </si>
  <si>
    <t>978-7-5537-9862-2</t>
  </si>
  <si>
    <t>英语会话看这本就够了大全集</t>
  </si>
  <si>
    <t>H319.9/1799-2</t>
  </si>
  <si>
    <t>978-7-300-29665-4</t>
  </si>
  <si>
    <t>雅思王听力真题语料库: 机考笔试第二版</t>
  </si>
  <si>
    <t>王陆</t>
  </si>
  <si>
    <t>H319.9/1944=5D</t>
  </si>
  <si>
    <t>978-7-300-28714-0</t>
  </si>
  <si>
    <t>托福黄金口语120</t>
  </si>
  <si>
    <t>王力, 曾艺超</t>
  </si>
  <si>
    <t>H319.9/1978=2D</t>
  </si>
  <si>
    <t>978-7-5713-0270-2</t>
  </si>
  <si>
    <t>会说中文就会说英文: 零基础学会说英语</t>
  </si>
  <si>
    <t>H319.9/2199</t>
  </si>
  <si>
    <t>978-7-5713-0448-5</t>
  </si>
  <si>
    <t>用161个句型轻松学会英语口语</t>
  </si>
  <si>
    <t>H319.9/2200</t>
  </si>
  <si>
    <t>978-7-5537-7494-7</t>
  </si>
  <si>
    <t>每天3分钟速学生活英语</t>
  </si>
  <si>
    <t>(泰) 普拉派·彭甘丞, 泰国MIS辑部</t>
  </si>
  <si>
    <t>H319.9/2201</t>
  </si>
  <si>
    <t>978-7-5689-2857-1</t>
  </si>
  <si>
    <t>大学英语视听进阶教程</t>
  </si>
  <si>
    <t>何欣忆, 王旭</t>
  </si>
  <si>
    <t>H319.9/2202</t>
  </si>
  <si>
    <t>978-7-300-29405-6</t>
  </si>
  <si>
    <t>托福听力实战方法突破</t>
  </si>
  <si>
    <t>徐云磊</t>
  </si>
  <si>
    <t>H319.9/2203</t>
  </si>
  <si>
    <t>978-7-5689-2728-4</t>
  </si>
  <si>
    <t>新时代大学英语口语教程: 实用交际</t>
  </si>
  <si>
    <t>黄丽君, 夏婉璐</t>
  </si>
  <si>
    <t>H319.9/2204</t>
  </si>
  <si>
    <t>978-7-5713-1151-3</t>
  </si>
  <si>
    <t>超实用商务英语大全集</t>
  </si>
  <si>
    <t>H319.9/2205</t>
  </si>
  <si>
    <t>978-7-5689-2856-4</t>
  </si>
  <si>
    <t>大学英语视听初阶教程</t>
  </si>
  <si>
    <t>周梅, 刘世平</t>
  </si>
  <si>
    <t>H319.9/2206</t>
  </si>
  <si>
    <t>978-7-5664-2059-6</t>
  </si>
  <si>
    <t>实用大学英语口语教程. 上</t>
  </si>
  <si>
    <t>方秀才, 郑晓行</t>
  </si>
  <si>
    <t>H319.9/2207/1</t>
  </si>
  <si>
    <t>实用大学英语口语教程. 下</t>
  </si>
  <si>
    <t>H319.9/2207/2</t>
  </si>
  <si>
    <t>978-7-5537-9141-8</t>
  </si>
  <si>
    <t>每天10分钟, 零基础学英语表达</t>
  </si>
  <si>
    <t>(韩) 克里斯·徐, 河仑我</t>
  </si>
  <si>
    <t>H319.9/2208</t>
  </si>
  <si>
    <t>978-7-5139-2995-0</t>
  </si>
  <si>
    <t>速查速用日常英语口语</t>
  </si>
  <si>
    <t>H319.9/2209</t>
  </si>
  <si>
    <t>978-7-300-30008-5</t>
  </si>
  <si>
    <t>雅思口语: 杨帅教你900句</t>
  </si>
  <si>
    <t>杨帅</t>
  </si>
  <si>
    <t>H319.9/2210</t>
  </si>
  <si>
    <t>978-7-5713-1832-1</t>
  </si>
  <si>
    <t>英语表达看这本就够了: 说得动听、写得优美, 英语表达一次就搞定</t>
  </si>
  <si>
    <t>王洛媛</t>
  </si>
  <si>
    <t>H319.9/2211</t>
  </si>
  <si>
    <t>978-7-5713-0425-6</t>
  </si>
  <si>
    <t>地道英文就该这样说</t>
  </si>
  <si>
    <t>H319.9/2212</t>
  </si>
  <si>
    <t>978-7-5713-1861-1</t>
  </si>
  <si>
    <t>实用英语会话表达3000句</t>
  </si>
  <si>
    <t>H319.9/2213</t>
  </si>
  <si>
    <t>978-7-313-25677-5</t>
  </si>
  <si>
    <t>魅力光影: 英语影视剧台词聚焦</t>
  </si>
  <si>
    <t>余玉清</t>
  </si>
  <si>
    <t>H319.9/2214</t>
  </si>
  <si>
    <t>978-7-5536-6968-7</t>
  </si>
  <si>
    <t>万用英语口语张口就来: 家庭篇</t>
  </si>
  <si>
    <t>耿小辉</t>
  </si>
  <si>
    <t>H319.9/2215</t>
  </si>
  <si>
    <t>978-7-5520-2598-9</t>
  </si>
  <si>
    <t>全彩图解零基础会中文就会说英文口语大全. 一. 自学篇</t>
  </si>
  <si>
    <t>丁迪星, 王莉丽, 常波</t>
  </si>
  <si>
    <t>H319.9/2216/1</t>
  </si>
  <si>
    <t>全彩图解零基础会中文就会说英文口语大全. 二. 交际篇</t>
  </si>
  <si>
    <t>H319.9/2216/2</t>
  </si>
  <si>
    <t>全彩图解零基础会中文就会说英文口语大全. 三. 外出篇</t>
  </si>
  <si>
    <t>H319.9/2216/3</t>
  </si>
  <si>
    <t>978-7-5207-0834-0</t>
  </si>
  <si>
    <t>一本搞定雅思听力: 自然听力法9分全解</t>
  </si>
  <si>
    <t>杨程</t>
  </si>
  <si>
    <t>H319.9/2217</t>
  </si>
  <si>
    <t>一本搞定雅思听力: 原文翻译及考点精讲</t>
  </si>
  <si>
    <t>H319.9/2217-2</t>
  </si>
  <si>
    <t>978-7-5624-9430-0</t>
  </si>
  <si>
    <t>连接主义视阈下英语专业学生创新型思辨能力研究</t>
  </si>
  <si>
    <t>胡洁</t>
  </si>
  <si>
    <t>H319/101</t>
  </si>
  <si>
    <t>978-7-5203-6001-2</t>
  </si>
  <si>
    <t>大学英语立体化教材研究: 理论与实践</t>
  </si>
  <si>
    <t>杨港</t>
  </si>
  <si>
    <t>H319/102</t>
  </si>
  <si>
    <t>978-7-312-05274-3</t>
  </si>
  <si>
    <t>法语词汇、语法与逻辑</t>
  </si>
  <si>
    <t>朱利安·苏利耶</t>
  </si>
  <si>
    <t>H323.1/24</t>
  </si>
  <si>
    <t>978-7-5603-8779-6</t>
  </si>
  <si>
    <t>新编初级日本语. 上</t>
  </si>
  <si>
    <t>杨荫</t>
  </si>
  <si>
    <t>H36/277/1</t>
  </si>
  <si>
    <t>新编初级日本语. 下</t>
  </si>
  <si>
    <t>H36/277/2</t>
  </si>
  <si>
    <t>978-7-5628-6563-6</t>
  </si>
  <si>
    <t>考研日语精讲精练: 阅读+翻译+作文</t>
  </si>
  <si>
    <t>唐晓红, 莜蕾</t>
  </si>
  <si>
    <t>H360.421/4</t>
  </si>
  <si>
    <t>978-7-01-023461-8</t>
  </si>
  <si>
    <t>汉字汉文在日本: 明治时期日本文字语言文体改良研究</t>
  </si>
  <si>
    <t>曹雯</t>
  </si>
  <si>
    <t>H362/9</t>
  </si>
  <si>
    <t>978-7-5713-1817-8</t>
  </si>
  <si>
    <t>看图快学600核心日语惯用语</t>
  </si>
  <si>
    <t>(日) 尾崎达治</t>
  </si>
  <si>
    <t>H363.3/9</t>
  </si>
  <si>
    <t>978-7-5713-1823-9</t>
  </si>
  <si>
    <t>看图快学300核心日语拟声拟态词</t>
  </si>
  <si>
    <t>H364.2/50</t>
  </si>
  <si>
    <t>978-7-5685-2697-5</t>
  </si>
  <si>
    <t>标准日语助词·助动词</t>
  </si>
  <si>
    <t>范业红</t>
  </si>
  <si>
    <t>H364.2/51</t>
  </si>
  <si>
    <t>978-7-5658-4107-1</t>
  </si>
  <si>
    <t>日语授受句式研究</t>
  </si>
  <si>
    <t>H364.3/51</t>
  </si>
  <si>
    <t>978-7-5692-6813-3</t>
  </si>
  <si>
    <t>日语条件表达的语用视角研究</t>
  </si>
  <si>
    <t>徐秀姿</t>
  </si>
  <si>
    <t>H364/106</t>
  </si>
  <si>
    <t>978-7-5672-3525-0</t>
  </si>
  <si>
    <t>新编基础日语写作</t>
  </si>
  <si>
    <t>川野宏平, 王磊, 黄周</t>
  </si>
  <si>
    <t>H365/36</t>
  </si>
  <si>
    <t>978-7-5672-3263-1</t>
  </si>
  <si>
    <t>日语写作: 新思维与新方法</t>
  </si>
  <si>
    <t>吴扬, 丁世理</t>
  </si>
  <si>
    <t>H365/37</t>
  </si>
  <si>
    <t>978-7-5731-0357-4</t>
  </si>
  <si>
    <t>跨文化交际视角下的高校日语教学策略探究</t>
  </si>
  <si>
    <t>孟红淼</t>
  </si>
  <si>
    <t>H369.3/15</t>
  </si>
  <si>
    <t>978-7-5639-6535-9</t>
  </si>
  <si>
    <t>日语语境与互动教学研究</t>
  </si>
  <si>
    <t>毕泽慧</t>
  </si>
  <si>
    <t>H369.3/16</t>
  </si>
  <si>
    <t>978-7-5581-9961-5</t>
  </si>
  <si>
    <t>现代高校日语教学与跨文化交际融合研究</t>
  </si>
  <si>
    <t>王珏, 胡雅楠, 张研</t>
  </si>
  <si>
    <t>H369.3/17</t>
  </si>
  <si>
    <t>978-7-5639-7183-1</t>
  </si>
  <si>
    <t>翻转课堂趋势下的日语互动教学研究</t>
  </si>
  <si>
    <t>冯莉</t>
  </si>
  <si>
    <t>H369.3/18</t>
  </si>
  <si>
    <t>978-7-5692-9047-9</t>
  </si>
  <si>
    <t>大数据视域下网络平台介入日语教学的研究</t>
  </si>
  <si>
    <t>李晓丹</t>
  </si>
  <si>
    <t>H369.3/19</t>
  </si>
  <si>
    <t>978-7-5639-7512-9</t>
  </si>
  <si>
    <t>日语文化教学研究</t>
  </si>
  <si>
    <t>李星</t>
  </si>
  <si>
    <t>H369.3/20</t>
  </si>
  <si>
    <t>978-7-5639-6882-4</t>
  </si>
  <si>
    <t>日本语教学与研究</t>
  </si>
  <si>
    <t>姜述锋</t>
  </si>
  <si>
    <t>H369.3/21</t>
  </si>
  <si>
    <t>978-7-5068-8075-6</t>
  </si>
  <si>
    <t>基于产出导向日语专业基础阶段混合式培养模式的建构与实践研究</t>
  </si>
  <si>
    <t>郝卓</t>
  </si>
  <si>
    <t>H369.3/22</t>
  </si>
  <si>
    <t>978-7-5639-6971-5</t>
  </si>
  <si>
    <t>日语教学策略与创新思维探究</t>
  </si>
  <si>
    <t>王宁</t>
  </si>
  <si>
    <t>H369.3/23</t>
  </si>
  <si>
    <t>978-7-5690-4083-8</t>
  </si>
  <si>
    <t>日语古典语法详解与练习</t>
  </si>
  <si>
    <t>张丽花, 谭盈盈</t>
  </si>
  <si>
    <t>H369.35/10</t>
  </si>
  <si>
    <t>978-7-5446-6571-1</t>
  </si>
  <si>
    <t>职场日语</t>
  </si>
  <si>
    <t>张文碧</t>
  </si>
  <si>
    <t>H369.39/24</t>
  </si>
  <si>
    <t>978-7-5192-8229-5</t>
  </si>
  <si>
    <t>千曲川风情: 有声版</t>
  </si>
  <si>
    <t>(日) 岛崎藤村</t>
  </si>
  <si>
    <t>上海世界图书出版公司</t>
  </si>
  <si>
    <t>H369.4:I/57</t>
  </si>
  <si>
    <t>978-7-5596-5214-0</t>
  </si>
  <si>
    <t>良宽歌句集</t>
  </si>
  <si>
    <t>(日) 良宽</t>
  </si>
  <si>
    <t>H369.4:I/58</t>
  </si>
  <si>
    <t>978-7-5713-0374-7</t>
  </si>
  <si>
    <t>轻松快学10倍速日语会话3000句</t>
  </si>
  <si>
    <t>夏花</t>
  </si>
  <si>
    <t>H369.9/282</t>
  </si>
  <si>
    <t>978-7-5672-3599-1</t>
  </si>
  <si>
    <t>中日反馈语及听话者会话策略研究</t>
  </si>
  <si>
    <t>熊红芝</t>
  </si>
  <si>
    <t>H369.9/283</t>
  </si>
  <si>
    <t>978-7-100-19892-9</t>
  </si>
  <si>
    <t>汉葡词典</t>
  </si>
  <si>
    <t>刘焕卿</t>
  </si>
  <si>
    <t>H773.6/2</t>
  </si>
  <si>
    <t>978-7-301-32221-5</t>
  </si>
  <si>
    <t>比较文学研究</t>
  </si>
  <si>
    <t>严绍璗</t>
  </si>
  <si>
    <t>I0-03/66</t>
  </si>
  <si>
    <t>978-7-100-20077-6</t>
  </si>
  <si>
    <t>老舍谈写作与阅读</t>
  </si>
  <si>
    <t>老舍</t>
  </si>
  <si>
    <t>I04/75</t>
  </si>
  <si>
    <t>978-7-5511-5956-2</t>
  </si>
  <si>
    <t>编剧</t>
  </si>
  <si>
    <t>(美) 威廉·戈德曼</t>
  </si>
  <si>
    <t>I053/16</t>
  </si>
  <si>
    <t>978-7-305-24750-7</t>
  </si>
  <si>
    <t>文学批评: 一部简明政治史</t>
  </si>
  <si>
    <t>(美) 约瑟夫·诺思</t>
  </si>
  <si>
    <t>I106/358</t>
  </si>
  <si>
    <t>978-7-5356-9447-8</t>
  </si>
  <si>
    <t>达达与超现实主义</t>
  </si>
  <si>
    <t>(英) 马修·盖尔</t>
  </si>
  <si>
    <t>湖南美术出版社</t>
  </si>
  <si>
    <t>I109.9/54</t>
  </si>
  <si>
    <t>978-7-100-03877-5</t>
  </si>
  <si>
    <t>吴宓诗话</t>
  </si>
  <si>
    <t>吴宓</t>
  </si>
  <si>
    <t>I207.22/660</t>
  </si>
  <si>
    <t>978-7-100-20065-3</t>
  </si>
  <si>
    <t>唐诗品读: 佳人情爱篇</t>
  </si>
  <si>
    <t>李敬一, 李承原</t>
  </si>
  <si>
    <t>I207.22/661</t>
  </si>
  <si>
    <t>978-7-5207-2279-7</t>
  </si>
  <si>
    <t>《诗经》文学的贵族时代: 厉宣之际的诗篇研究</t>
  </si>
  <si>
    <t>赵运涛</t>
  </si>
  <si>
    <t>I207.222/268</t>
  </si>
  <si>
    <t>978-7-5596-3617-1</t>
  </si>
  <si>
    <t>流沙河讲诗经</t>
  </si>
  <si>
    <t>流沙河</t>
  </si>
  <si>
    <t>I207.222/269</t>
  </si>
  <si>
    <t>978-7-200-11987-9</t>
  </si>
  <si>
    <t>唐诗杂论</t>
  </si>
  <si>
    <t>闻一多</t>
  </si>
  <si>
    <t>I207.227.42/104</t>
  </si>
  <si>
    <t>978-7-200-12091-2</t>
  </si>
  <si>
    <t>唐诗纵横谈</t>
  </si>
  <si>
    <t>周勋初</t>
  </si>
  <si>
    <t>I207.227.42/105</t>
  </si>
  <si>
    <t>978-7-305-24846-7</t>
  </si>
  <si>
    <t>再见那闪耀的群星: 唐诗二十家</t>
  </si>
  <si>
    <t>景凯旋</t>
  </si>
  <si>
    <t>I207.227.42/106</t>
  </si>
  <si>
    <t>978-7-5528-1186-5</t>
  </si>
  <si>
    <t>南唐词的传播与接受研究</t>
  </si>
  <si>
    <t>袁晓聪</t>
  </si>
  <si>
    <t>天津古籍出版社</t>
  </si>
  <si>
    <t>I207.23/506</t>
  </si>
  <si>
    <t>978-7-301-32685-5</t>
  </si>
  <si>
    <t>20世纪中国科幻小说史</t>
  </si>
  <si>
    <t>吴岩</t>
  </si>
  <si>
    <t>I207.409/42</t>
  </si>
  <si>
    <t>978-7-200-12189-6</t>
  </si>
  <si>
    <t>历代笔记概述</t>
  </si>
  <si>
    <t>I207.41/210</t>
  </si>
  <si>
    <t>978-7-214-03880-7</t>
  </si>
  <si>
    <t>竞争的话语: 明清小说中的正统性、本真性及所生成之意义</t>
  </si>
  <si>
    <t>(美) 艾梅兰</t>
  </si>
  <si>
    <t>I207.41/211</t>
  </si>
  <si>
    <t>978-7-5317-5358-2</t>
  </si>
  <si>
    <t>从《红楼梦》看教育</t>
  </si>
  <si>
    <t>高兰生</t>
  </si>
  <si>
    <t>北方文艺出版社</t>
  </si>
  <si>
    <t>I207.411/366</t>
  </si>
  <si>
    <t>978-7-5594-3922-2</t>
  </si>
  <si>
    <t>轻叩红门</t>
  </si>
  <si>
    <t>唐启意</t>
  </si>
  <si>
    <t>I207.411/367</t>
  </si>
  <si>
    <t>978-7-200-12076-9</t>
  </si>
  <si>
    <t>论三国人物</t>
  </si>
  <si>
    <t>方诗铭</t>
  </si>
  <si>
    <t>I207.413/87</t>
  </si>
  <si>
    <t>978-7-5445-6438-0</t>
  </si>
  <si>
    <t>中文时序之觉新. 上册: 中国现代文学述往</t>
  </si>
  <si>
    <t>谭鸿</t>
  </si>
  <si>
    <t>长春出版社</t>
  </si>
  <si>
    <t>I209.6/135/1</t>
  </si>
  <si>
    <t>中文时序之觉新. 下册: 中国现代文学述往</t>
  </si>
  <si>
    <t>I209.6/135/2</t>
  </si>
  <si>
    <t>978-7-200-11971-8</t>
  </si>
  <si>
    <t>中国文学史导论</t>
  </si>
  <si>
    <t>罗庸</t>
  </si>
  <si>
    <t>I209/177</t>
  </si>
  <si>
    <t>978-7-200-13084-3</t>
  </si>
  <si>
    <t>鲁迅作品细读</t>
  </si>
  <si>
    <t>钱理群</t>
  </si>
  <si>
    <t>I210.97/72</t>
  </si>
  <si>
    <t>978-7-5090-1638-1</t>
  </si>
  <si>
    <t>钱理群讲鲁迅</t>
  </si>
  <si>
    <t>I210.97/73</t>
  </si>
  <si>
    <t>978-7-100-20370-8</t>
  </si>
  <si>
    <t>鲁迅研究笔记</t>
  </si>
  <si>
    <t>王得后</t>
  </si>
  <si>
    <t>I210/23</t>
  </si>
  <si>
    <t>978-7-301-32432-5</t>
  </si>
  <si>
    <t>中国现代文学经典. 上: 1915-2021</t>
  </si>
  <si>
    <t>朱栋霖</t>
  </si>
  <si>
    <t>I216.1/47/1</t>
  </si>
  <si>
    <t>978-7-5387-5967-9</t>
  </si>
  <si>
    <t>东风里有歌</t>
  </si>
  <si>
    <t>徐强</t>
  </si>
  <si>
    <t>时代文艺出版社</t>
  </si>
  <si>
    <t>I217.61/361</t>
  </si>
  <si>
    <t>978-7-5594-3067-0</t>
  </si>
  <si>
    <t>孙家玉文集. 上册</t>
  </si>
  <si>
    <t>孙家玉</t>
  </si>
  <si>
    <t>I217.62/515/1</t>
  </si>
  <si>
    <t>孙家玉文集. 中册</t>
  </si>
  <si>
    <t>I217.62/515/2</t>
  </si>
  <si>
    <t>孙家玉文集. 下册</t>
  </si>
  <si>
    <t>I217.62/515/3</t>
  </si>
  <si>
    <t>978-7-5550-2657-0</t>
  </si>
  <si>
    <t>数绵羊</t>
  </si>
  <si>
    <t>张铃</t>
  </si>
  <si>
    <t>海峡文艺出版社</t>
  </si>
  <si>
    <t>I217.62/516</t>
  </si>
  <si>
    <t>978-7-5594-3064-9</t>
  </si>
  <si>
    <t>徐兆淮文集. 上册</t>
  </si>
  <si>
    <t>徐兆淮</t>
  </si>
  <si>
    <t>I217.62/517/1</t>
  </si>
  <si>
    <t>徐兆淮文集. 中册</t>
  </si>
  <si>
    <t>I217.62/517/2</t>
  </si>
  <si>
    <t>徐兆淮文集. 下册</t>
  </si>
  <si>
    <t>I217.62/517/3</t>
  </si>
  <si>
    <t>978-7-5325-9963-9</t>
  </si>
  <si>
    <t>诗经译注. 上册</t>
  </si>
  <si>
    <t>程俊英</t>
  </si>
  <si>
    <t>上海古籍出版社</t>
  </si>
  <si>
    <t>I222.2/96-2/1</t>
  </si>
  <si>
    <t>诗经译注. 下册</t>
  </si>
  <si>
    <t>I222.2/96-2/2</t>
  </si>
  <si>
    <t>978-7-5762-2009-4</t>
  </si>
  <si>
    <t>心往心驿: 李代广诗词集</t>
  </si>
  <si>
    <t>李代广</t>
  </si>
  <si>
    <t>I227/2376</t>
  </si>
  <si>
    <t>978-7-5550-2574-0</t>
  </si>
  <si>
    <t>木兰溪</t>
  </si>
  <si>
    <t>倪伟李</t>
  </si>
  <si>
    <t>I227/2377</t>
  </si>
  <si>
    <t>978-7-5477-3413-1</t>
  </si>
  <si>
    <t>飞花令里读诗词: 风</t>
  </si>
  <si>
    <t>宫浩奇, 杨美芳</t>
  </si>
  <si>
    <t>I227/2378/1</t>
  </si>
  <si>
    <t>飞花令里读诗词: 花</t>
  </si>
  <si>
    <t>I227/2378/2</t>
  </si>
  <si>
    <t>飞花令里读诗词: 雪</t>
  </si>
  <si>
    <t>I227/2378/3</t>
  </si>
  <si>
    <t>飞花令里读诗词: 月</t>
  </si>
  <si>
    <t>I227/2378/4</t>
  </si>
  <si>
    <t>978-7-5207-2039-7</t>
  </si>
  <si>
    <t>白云悠悠: 达万明诗词集</t>
  </si>
  <si>
    <t>达万明</t>
  </si>
  <si>
    <t>I227/2379</t>
  </si>
  <si>
    <t>978-7-5574-1279-1</t>
  </si>
  <si>
    <t>半条皮带: 向中国共产党建党100周年献礼</t>
  </si>
  <si>
    <t>齐英华</t>
  </si>
  <si>
    <t>新疆生产建设兵团出版社</t>
  </si>
  <si>
    <t>I227/2380</t>
  </si>
  <si>
    <t>978-7-101-14777-3</t>
  </si>
  <si>
    <t>西京雜記校注</t>
  </si>
  <si>
    <t>(晉) 葛洪撰</t>
  </si>
  <si>
    <t>I242.1/331</t>
  </si>
  <si>
    <t>978-7-5387-5780-4</t>
  </si>
  <si>
    <t>狼刀</t>
  </si>
  <si>
    <t>宋曙春</t>
  </si>
  <si>
    <t>I247.52/529</t>
  </si>
  <si>
    <t>978-7-5550-2582-5</t>
  </si>
  <si>
    <t>剑胆琴心: 张纬荣传</t>
  </si>
  <si>
    <t>冯秉瑞</t>
  </si>
  <si>
    <t>I247.53/1112</t>
  </si>
  <si>
    <t>978-7-5387-6494-9</t>
  </si>
  <si>
    <t>大步向前</t>
  </si>
  <si>
    <t>修瑞</t>
  </si>
  <si>
    <t>I247.57/11085</t>
  </si>
  <si>
    <t>978-7-5387-5799-6</t>
  </si>
  <si>
    <t>各行其道</t>
  </si>
  <si>
    <t>刘显龙</t>
  </si>
  <si>
    <t>I247.57/11086</t>
  </si>
  <si>
    <t>978-7-5594-3920-8</t>
  </si>
  <si>
    <t>阡陌</t>
  </si>
  <si>
    <t>I247.57/11087</t>
  </si>
  <si>
    <t>978-7-5492-7618-9</t>
  </si>
  <si>
    <t>设计师. 2</t>
  </si>
  <si>
    <t>常叁思</t>
  </si>
  <si>
    <t>长江出版社</t>
  </si>
  <si>
    <t>I247.57/11088/2</t>
  </si>
  <si>
    <t>978-7-5378-6465-7</t>
  </si>
  <si>
    <t>无花季节</t>
  </si>
  <si>
    <t>北岳文艺出版社</t>
  </si>
  <si>
    <t>I247.57/11089</t>
  </si>
  <si>
    <t>978-7-5399-9556-4</t>
  </si>
  <si>
    <t>月亮湾往事</t>
  </si>
  <si>
    <t>周德彬</t>
  </si>
  <si>
    <t>I247.57/11090</t>
  </si>
  <si>
    <t>978-7-5212-1196-2</t>
  </si>
  <si>
    <t>乡思三部曲: 残荷</t>
  </si>
  <si>
    <t>陈占敏</t>
  </si>
  <si>
    <t>作家出版社</t>
  </si>
  <si>
    <t>I247.57/11091/1</t>
  </si>
  <si>
    <t>乡思三部曲: 大水</t>
  </si>
  <si>
    <t>I247.57/11091/2</t>
  </si>
  <si>
    <t>乡思三部曲: 棉花糖</t>
  </si>
  <si>
    <t>I247.57/11091/3</t>
  </si>
  <si>
    <t>978-7-02-010473-4</t>
  </si>
  <si>
    <t>野狐岭</t>
  </si>
  <si>
    <t>雪漠</t>
  </si>
  <si>
    <t>I247.59/2162</t>
  </si>
  <si>
    <t>978-7-5108-9373-5</t>
  </si>
  <si>
    <t>防风林的外边</t>
  </si>
  <si>
    <t>黄启泰</t>
  </si>
  <si>
    <t>I247.7/2617</t>
  </si>
  <si>
    <t>978-7-5594-6178-0</t>
  </si>
  <si>
    <t>风信子旅馆</t>
  </si>
  <si>
    <t>梁莉</t>
  </si>
  <si>
    <t>I247.7/2618</t>
  </si>
  <si>
    <t>978-7-5594-3184-4</t>
  </si>
  <si>
    <t>生活没有说明书</t>
  </si>
  <si>
    <t>屠瑞</t>
  </si>
  <si>
    <t>I247.7/2619</t>
  </si>
  <si>
    <t>978-7-5594-6320-3</t>
  </si>
  <si>
    <t>青草</t>
  </si>
  <si>
    <t>易康</t>
  </si>
  <si>
    <t>I247.7/2620</t>
  </si>
  <si>
    <t>978-7-5594-6330-2</t>
  </si>
  <si>
    <t>缸中人</t>
  </si>
  <si>
    <t>王锐</t>
  </si>
  <si>
    <t>I247.7/2621</t>
  </si>
  <si>
    <t>寻找张三</t>
  </si>
  <si>
    <t>汤成难</t>
  </si>
  <si>
    <t>I247.7/2622</t>
  </si>
  <si>
    <t>不做孤独的灵魂</t>
  </si>
  <si>
    <t>王忆</t>
  </si>
  <si>
    <t>I247.7/2623</t>
  </si>
  <si>
    <t>潘神与迷宫</t>
  </si>
  <si>
    <t>陆秀荔</t>
  </si>
  <si>
    <t>I247.7/2624</t>
  </si>
  <si>
    <t>978-7-5207-2352-7</t>
  </si>
  <si>
    <t>界首创业者</t>
  </si>
  <si>
    <t>韩新东</t>
  </si>
  <si>
    <t>I247.81/393</t>
  </si>
  <si>
    <t>978-7-5401-5293-2</t>
  </si>
  <si>
    <t>国瓷之光: 李国桢传</t>
  </si>
  <si>
    <t>萧根胜</t>
  </si>
  <si>
    <t>河南美术出版社</t>
  </si>
  <si>
    <t>I253.7/481</t>
  </si>
  <si>
    <t>978-7-5387-6377-5</t>
  </si>
  <si>
    <t>危情</t>
  </si>
  <si>
    <t>代韧飞</t>
  </si>
  <si>
    <t>I253/758</t>
  </si>
  <si>
    <t>978-7-5217-1773-0</t>
  </si>
  <si>
    <t>美人图</t>
  </si>
  <si>
    <t>孟晖</t>
  </si>
  <si>
    <t>I267.1/2793</t>
  </si>
  <si>
    <t>978-7-02-016204-8</t>
  </si>
  <si>
    <t>带你去远方</t>
  </si>
  <si>
    <t>I267.1/2794</t>
  </si>
  <si>
    <t>978-7-302-58535-0</t>
  </si>
  <si>
    <t>平路易行: 人类极简史 地理小发现</t>
  </si>
  <si>
    <t>张迈</t>
  </si>
  <si>
    <t>I267.1/2795</t>
  </si>
  <si>
    <t>978-7-5447-8836-6</t>
  </si>
  <si>
    <t>我爱问连岳. 7</t>
  </si>
  <si>
    <t>连岳</t>
  </si>
  <si>
    <t>I267.5/263/7</t>
  </si>
  <si>
    <t>978-7-5596-3836-6</t>
  </si>
  <si>
    <t>中国文脉</t>
  </si>
  <si>
    <t>I267/3419-2</t>
  </si>
  <si>
    <t>978-7-5577-0838-2</t>
  </si>
  <si>
    <t>高城望断</t>
  </si>
  <si>
    <t>丁鹤军</t>
  </si>
  <si>
    <t>I267/6694</t>
  </si>
  <si>
    <t>978-7-5710-1066-9</t>
  </si>
  <si>
    <t>不亦说乎: 心灵演讲作品鉴赏</t>
  </si>
  <si>
    <t>蒋维</t>
  </si>
  <si>
    <t>I267/6695</t>
  </si>
  <si>
    <t>978-7-5068-8702-1</t>
  </si>
  <si>
    <t>青衣</t>
  </si>
  <si>
    <t>I267/6696</t>
  </si>
  <si>
    <t>978-7-5207-2301-5</t>
  </si>
  <si>
    <t>东游西记</t>
  </si>
  <si>
    <t>I267/6697</t>
  </si>
  <si>
    <t>978-7-5513-1951-5</t>
  </si>
  <si>
    <t>站在阳光下</t>
  </si>
  <si>
    <t>刘福明</t>
  </si>
  <si>
    <t>太白文艺出版社</t>
  </si>
  <si>
    <t>I267/6698</t>
  </si>
  <si>
    <t>978-7-5470-5673-8</t>
  </si>
  <si>
    <t>柿子熟了</t>
  </si>
  <si>
    <t>刘金恩, 李金红</t>
  </si>
  <si>
    <t>万卷出版公司</t>
  </si>
  <si>
    <t>I267/6699</t>
  </si>
  <si>
    <t>978-7-5594-2566-9</t>
  </si>
  <si>
    <t>女人与墨香</t>
  </si>
  <si>
    <t>雪静</t>
  </si>
  <si>
    <t>I267/6700</t>
  </si>
  <si>
    <t>978-7-5473-1829-4</t>
  </si>
  <si>
    <t>书海拾贝. 1</t>
  </si>
  <si>
    <t>梁小民</t>
  </si>
  <si>
    <t>I267/6701/1</t>
  </si>
  <si>
    <t>978-7-5726-0279-5</t>
  </si>
  <si>
    <t>李银河谈亲密关系</t>
  </si>
  <si>
    <t>I267/6702</t>
  </si>
  <si>
    <t>978-7-214-25847-2</t>
  </si>
  <si>
    <t>女性与表现: 樋口一叶文学研究</t>
  </si>
  <si>
    <t>张晋文</t>
  </si>
  <si>
    <t>I313.074/17</t>
  </si>
  <si>
    <t>978-7-5192-8228-8</t>
  </si>
  <si>
    <t>山之四季: 有声版</t>
  </si>
  <si>
    <t>(日) 高村光太郎</t>
  </si>
  <si>
    <t>I313.65/226-2</t>
  </si>
  <si>
    <t>978-7-5108-9554-8</t>
  </si>
  <si>
    <t>德古拉事典</t>
  </si>
  <si>
    <t>(日) 种村季弘</t>
  </si>
  <si>
    <t>I313.65/319</t>
  </si>
  <si>
    <t>978-7-5447-8563-1</t>
  </si>
  <si>
    <t>未来学大会</t>
  </si>
  <si>
    <t>(波兰) 斯坦尼斯瓦夫·莱姆</t>
  </si>
  <si>
    <t>I513.45/24</t>
  </si>
  <si>
    <t>978-7-5447-8217-3</t>
  </si>
  <si>
    <t>索拉里斯星</t>
  </si>
  <si>
    <t>(波兰) 斯坦尼斯拉夫·莱姆</t>
  </si>
  <si>
    <t>I513.45/25</t>
  </si>
  <si>
    <t>978-7-02-015889-8</t>
  </si>
  <si>
    <t>变形记</t>
  </si>
  <si>
    <t>(奥地利) 弗兰茨·卡夫卡</t>
  </si>
  <si>
    <t>I521.45/6-4</t>
  </si>
  <si>
    <t>978-7-5133-4268-1</t>
  </si>
  <si>
    <t>归来</t>
  </si>
  <si>
    <t>(罗马尼亚) 诺曼·马内阿</t>
  </si>
  <si>
    <t>I542.45/9</t>
  </si>
  <si>
    <t>978-7-5447-8779-6</t>
  </si>
  <si>
    <t>最后来的是乌鸦</t>
  </si>
  <si>
    <t>伊塔洛·卡尔维诺</t>
  </si>
  <si>
    <t>I546.45/110</t>
  </si>
  <si>
    <t>978-7-5731-0120-4</t>
  </si>
  <si>
    <t>全球化语境下英美文学与英语教学的交融研究</t>
  </si>
  <si>
    <t>倪楠</t>
  </si>
  <si>
    <t>I561.06/35</t>
  </si>
  <si>
    <t>978-7-5731-0360-4</t>
  </si>
  <si>
    <t>英美生态文学研究与作品解读</t>
  </si>
  <si>
    <t>康利荣</t>
  </si>
  <si>
    <t>I561.06/36</t>
  </si>
  <si>
    <t>978-7-5559-1209-5</t>
  </si>
  <si>
    <t>牙买加旅馆</t>
  </si>
  <si>
    <t>(英) 达芙妮·杜穆里埃</t>
  </si>
  <si>
    <t>I561.45/1459</t>
  </si>
  <si>
    <t>978-7-301-30829-5</t>
  </si>
  <si>
    <t>迦陵杂文集二辑</t>
  </si>
  <si>
    <t>叶嘉莹</t>
  </si>
  <si>
    <t>I711.65/40</t>
  </si>
  <si>
    <t>978-7-5692-8244-3</t>
  </si>
  <si>
    <t>科麦克·麦卡锡小说的混沌世界</t>
  </si>
  <si>
    <t>张小平</t>
  </si>
  <si>
    <t>I712.074/149</t>
  </si>
  <si>
    <t>978-7-5166-5450-7</t>
  </si>
  <si>
    <t>秒懂艺术那些事</t>
  </si>
  <si>
    <t>赵静</t>
  </si>
  <si>
    <t>J0/214</t>
  </si>
  <si>
    <t>978-7-121-41578-4</t>
  </si>
  <si>
    <t>艺术基础</t>
  </si>
  <si>
    <t>英国3dtotal出版社</t>
  </si>
  <si>
    <t>J0/215</t>
  </si>
  <si>
    <t>978-7-5668-2898-9</t>
  </si>
  <si>
    <t>观照世界的二十面镜子: 当代艺术形态与观念解读</t>
  </si>
  <si>
    <t>郑晓君</t>
  </si>
  <si>
    <t>J0/216</t>
  </si>
  <si>
    <t>978-7-01-022375-9</t>
  </si>
  <si>
    <t>艺术论略</t>
  </si>
  <si>
    <t>贾涛</t>
  </si>
  <si>
    <t>J0/217</t>
  </si>
  <si>
    <t>978-7-5314-8654-1</t>
  </si>
  <si>
    <t>艺术概论教程</t>
  </si>
  <si>
    <t>顾平</t>
  </si>
  <si>
    <t>辽宁美术出版社</t>
  </si>
  <si>
    <t>J0/218</t>
  </si>
  <si>
    <t>978-7-5202-0648-8</t>
  </si>
  <si>
    <t>图像无言: 阐释艺术的意蕴</t>
  </si>
  <si>
    <t>丁宁</t>
  </si>
  <si>
    <t>中国大百科全书出版社</t>
  </si>
  <si>
    <t>J0/219</t>
  </si>
  <si>
    <t>978-7-5180-8464-7</t>
  </si>
  <si>
    <t>艺术科学: 后谷歌时代的创造力</t>
  </si>
  <si>
    <t>(美) 大卫·爱德华兹</t>
  </si>
  <si>
    <t>J0/220</t>
  </si>
  <si>
    <t>978-7-5594-5120-0</t>
  </si>
  <si>
    <t>不是天才: 当代艺术家们的故事</t>
  </si>
  <si>
    <t>苏也</t>
  </si>
  <si>
    <t>J0/221</t>
  </si>
  <si>
    <t>978-7-5690-4935-0</t>
  </si>
  <si>
    <t>艺术生产中的欲望问题研究</t>
  </si>
  <si>
    <t>陈琛</t>
  </si>
  <si>
    <t>J0-02/28</t>
  </si>
  <si>
    <t>978-7-5689-2517-4</t>
  </si>
  <si>
    <t>艺术管理</t>
  </si>
  <si>
    <t>马萱</t>
  </si>
  <si>
    <t>J0-05/36</t>
  </si>
  <si>
    <t>978-7-5155-2252-4</t>
  </si>
  <si>
    <t>科学家与伪画犯: 探查艺术界的灰色领域</t>
  </si>
  <si>
    <t>(埃及) 吉菡·拉格尔</t>
  </si>
  <si>
    <t>J0-05/37</t>
  </si>
  <si>
    <t>978-7-5190-4722-1</t>
  </si>
  <si>
    <t>中国艺术人类学前沿话题三人谈</t>
  </si>
  <si>
    <t>王永健, 许晓明</t>
  </si>
  <si>
    <t>中国文联出版社</t>
  </si>
  <si>
    <t>J0-05/38</t>
  </si>
  <si>
    <t>978-7-5166-5445-3</t>
  </si>
  <si>
    <t>艺术管理心理学</t>
  </si>
  <si>
    <t>陈贵玲</t>
  </si>
  <si>
    <t>J0-05/39</t>
  </si>
  <si>
    <t>978-7-5473-1642-9</t>
  </si>
  <si>
    <t>慢下来: 走向当代美学</t>
  </si>
  <si>
    <t>(德) 卢茨·科普尼克</t>
  </si>
  <si>
    <t>J01/58</t>
  </si>
  <si>
    <t>978-7-5575-5302-9</t>
  </si>
  <si>
    <t>中国传统艺术作品审美研究</t>
  </si>
  <si>
    <t>陶明珠</t>
  </si>
  <si>
    <t>吉林美术出版社</t>
  </si>
  <si>
    <t>J01/59</t>
  </si>
  <si>
    <t>978-7-206-17887-0</t>
  </si>
  <si>
    <t>美与艺: 徐悲鸿的艺术人生</t>
  </si>
  <si>
    <t>徐悲鸿</t>
  </si>
  <si>
    <t>J01/60</t>
  </si>
  <si>
    <t>978-7-220-11743-5</t>
  </si>
  <si>
    <t>日本色彩美学</t>
  </si>
  <si>
    <t>(日) 尾登诚一</t>
  </si>
  <si>
    <t>J01/61</t>
  </si>
  <si>
    <t>978-7-5648-4213-0</t>
  </si>
  <si>
    <t>大学生艺术修养</t>
  </si>
  <si>
    <t>初长洲, 代沙日娜, 张立东</t>
  </si>
  <si>
    <t>J05/87</t>
  </si>
  <si>
    <t>978-7-5682-8801-9</t>
  </si>
  <si>
    <t>美术鉴赏</t>
  </si>
  <si>
    <t>朱克敏</t>
  </si>
  <si>
    <t>J05/88</t>
  </si>
  <si>
    <t>978-7-01-023899-9</t>
  </si>
  <si>
    <t>身体的悖论: 主体论美学视野中的西方艺术研究</t>
  </si>
  <si>
    <t>王晓华</t>
  </si>
  <si>
    <t>J051.956/4</t>
  </si>
  <si>
    <t>978-7-5039-7037-5</t>
  </si>
  <si>
    <t>趣味批判: 我们的日常机制与神话</t>
  </si>
  <si>
    <t>戴阿宝</t>
  </si>
  <si>
    <t>文化艺术出版社</t>
  </si>
  <si>
    <t>J052/122</t>
  </si>
  <si>
    <t>978-7-5690-4748-6</t>
  </si>
  <si>
    <t>课堂现场: 当代艺术批评课程文稿</t>
  </si>
  <si>
    <t>彭肜</t>
  </si>
  <si>
    <t>J052/123</t>
  </si>
  <si>
    <t>978-7-5122-1483-5</t>
  </si>
  <si>
    <t>纸面留鸿</t>
  </si>
  <si>
    <t>李敬白</t>
  </si>
  <si>
    <t>中国民族文化出版社</t>
  </si>
  <si>
    <t>J05-53/4</t>
  </si>
  <si>
    <t>978-7-5586-2049-2</t>
  </si>
  <si>
    <t>二维设计基础</t>
  </si>
  <si>
    <t>王雪青, (韩) 郑美京</t>
  </si>
  <si>
    <t>上海人民美术出版社</t>
  </si>
  <si>
    <t>J06/320=D</t>
  </si>
  <si>
    <t>978-7-5580-4486-1</t>
  </si>
  <si>
    <t>设计概论</t>
  </si>
  <si>
    <t>李龙生, 费利君</t>
  </si>
  <si>
    <t>江苏凤凰美术出版社</t>
  </si>
  <si>
    <t>J06/602</t>
  </si>
  <si>
    <t>978-7-5669-1687-7</t>
  </si>
  <si>
    <t>光艺术的实践之旅</t>
  </si>
  <si>
    <t>孔荀</t>
  </si>
  <si>
    <t>J06/603</t>
  </si>
  <si>
    <t>978-7-5517-2283-4</t>
  </si>
  <si>
    <t>美育系列设计实践案例教材: 公益广告设计篇</t>
  </si>
  <si>
    <t>闫研, 张燕楠, 霍楷</t>
  </si>
  <si>
    <t>J06/604</t>
  </si>
  <si>
    <t>978-7-5689-1782-7</t>
  </si>
  <si>
    <t>立体构成</t>
  </si>
  <si>
    <t>汪顺锋</t>
  </si>
  <si>
    <t>J06/605</t>
  </si>
  <si>
    <t>978-7-5639-7147-3</t>
  </si>
  <si>
    <t>当代美术与设计教育研究</t>
  </si>
  <si>
    <t>乔洪娟</t>
  </si>
  <si>
    <t>J06/606</t>
  </si>
  <si>
    <t>978-7-5661-2381-7</t>
  </si>
  <si>
    <t>艺术设计概论</t>
  </si>
  <si>
    <t>刘志红, 张华</t>
  </si>
  <si>
    <t>J06/607</t>
  </si>
  <si>
    <t>978-7-115-57607-1</t>
  </si>
  <si>
    <t>设计思维行动手册</t>
  </si>
  <si>
    <t>税琳琳, 郭垭霓</t>
  </si>
  <si>
    <t>J06/608</t>
  </si>
  <si>
    <t>978-7-5693-2056-5</t>
  </si>
  <si>
    <t>设计基础·三大构成</t>
  </si>
  <si>
    <t>包敏</t>
  </si>
  <si>
    <t>J06/609</t>
  </si>
  <si>
    <t>978-7-100-19596-6</t>
  </si>
  <si>
    <t>词语、题铭与图画: 视觉语言的符号学</t>
  </si>
  <si>
    <t>(美) 迈耶·夏皮罗</t>
  </si>
  <si>
    <t>J06/610</t>
  </si>
  <si>
    <t>978-7-5180-6507-3</t>
  </si>
  <si>
    <t>形象设计课程教学分析与发展前景</t>
  </si>
  <si>
    <t>于莉佳</t>
  </si>
  <si>
    <t>J06/611</t>
  </si>
  <si>
    <t>978-7-5580-8706-6</t>
  </si>
  <si>
    <t>相物赋形: 造物艺术研究</t>
  </si>
  <si>
    <t>张犇</t>
  </si>
  <si>
    <t>J06/612</t>
  </si>
  <si>
    <t>978-7-111-67276-0</t>
  </si>
  <si>
    <t>文化生态观与本土设计系统研究</t>
  </si>
  <si>
    <t>森文</t>
  </si>
  <si>
    <t>J06/613</t>
  </si>
  <si>
    <t>978-7-5641-9765-0</t>
  </si>
  <si>
    <t>立体构成必修课</t>
  </si>
  <si>
    <t>芮潇, 段安琪</t>
  </si>
  <si>
    <t>J06/614</t>
  </si>
  <si>
    <t>978-7-5580-6007-6</t>
  </si>
  <si>
    <t>新媒体艺术设计研究</t>
  </si>
  <si>
    <t>李东娜</t>
  </si>
  <si>
    <t>J06/615</t>
  </si>
  <si>
    <t>978-7-5166-5412-5</t>
  </si>
  <si>
    <t>数字媒体艺术理论与实践</t>
  </si>
  <si>
    <t>张安妮</t>
  </si>
  <si>
    <t>J06/616</t>
  </si>
  <si>
    <t>978-7-5068-7690-2</t>
  </si>
  <si>
    <t>立体形态研究</t>
  </si>
  <si>
    <t>唐丽春</t>
  </si>
  <si>
    <t>J06/617</t>
  </si>
  <si>
    <t>978-7-5639-7418-4</t>
  </si>
  <si>
    <t>多元化背景下中国现代艺术设计教育理论与实践研究</t>
  </si>
  <si>
    <t>马飞, 郭丽</t>
  </si>
  <si>
    <t>J06/618</t>
  </si>
  <si>
    <t>978-7-5618-6870-6</t>
  </si>
  <si>
    <t>设计管理</t>
  </si>
  <si>
    <t>李通, 赵莹雪</t>
  </si>
  <si>
    <t>J06/619</t>
  </si>
  <si>
    <t>978-7-5639-7000-1</t>
  </si>
  <si>
    <t>艺术设计教育与发展研究</t>
  </si>
  <si>
    <t>杨文</t>
  </si>
  <si>
    <t>J06/620</t>
  </si>
  <si>
    <t>978-7-121-38928-3</t>
  </si>
  <si>
    <t>极简设计</t>
  </si>
  <si>
    <t>胡卫军</t>
  </si>
  <si>
    <t>J06/621</t>
  </si>
  <si>
    <t>978-7-5580-7514-8</t>
  </si>
  <si>
    <t>设计之径: 理论 历史 思考</t>
  </si>
  <si>
    <t>吴文治</t>
  </si>
  <si>
    <t>J06/622</t>
  </si>
  <si>
    <t>978-7-5472-7624-2</t>
  </si>
  <si>
    <t>中国传统文化元素与艺术设计实践</t>
  </si>
  <si>
    <t>姬喆, 蔡启芬, 张晓宁</t>
  </si>
  <si>
    <t>J06/623</t>
  </si>
  <si>
    <t>978-7-121-39217-7</t>
  </si>
  <si>
    <t>设计构成基础</t>
  </si>
  <si>
    <t>赵博, 刘文杰, 韩军</t>
  </si>
  <si>
    <t>J06/624</t>
  </si>
  <si>
    <t>978-7-5680-6980-9</t>
  </si>
  <si>
    <t>绘画、摄影、电影</t>
  </si>
  <si>
    <t>(匈) 拉兹洛·莫霍利-纳吉</t>
  </si>
  <si>
    <t>J06/625</t>
  </si>
  <si>
    <t>978-7-5489-4565-9</t>
  </si>
  <si>
    <t>数字艺术在现代设计中的应用研究</t>
  </si>
  <si>
    <t>刘涛, 陈娟娟</t>
  </si>
  <si>
    <t>云南美术出版社</t>
  </si>
  <si>
    <t>J06/626</t>
  </si>
  <si>
    <t>978-7-5671-3912-1</t>
  </si>
  <si>
    <t>日本公共艺术研究</t>
  </si>
  <si>
    <t>王燕斐</t>
  </si>
  <si>
    <t>J06/627</t>
  </si>
  <si>
    <t>978-7-5596-4921-8</t>
  </si>
  <si>
    <t>可塑性思考</t>
  </si>
  <si>
    <t>(日) 佐藤卓</t>
  </si>
  <si>
    <t>J06/628</t>
  </si>
  <si>
    <t>978-7-5575-6371-4</t>
  </si>
  <si>
    <t>现代艺术设计中民间美术元素的应用与创新研究</t>
  </si>
  <si>
    <t>孙妍, 孙熠</t>
  </si>
  <si>
    <t>J06/629</t>
  </si>
  <si>
    <t>978-7-307-21772-0</t>
  </si>
  <si>
    <t>互动媒体设计</t>
  </si>
  <si>
    <t>宋晓利, 严昊</t>
  </si>
  <si>
    <t>J06/630</t>
  </si>
  <si>
    <t>978-7-5068-7575-2</t>
  </si>
  <si>
    <t>创意设计思维与表达</t>
  </si>
  <si>
    <t>夏登江</t>
  </si>
  <si>
    <t>J06/631</t>
  </si>
  <si>
    <t>978-7-5517-2668-9</t>
  </si>
  <si>
    <t>美育系列设计实践案例教材: 廉政广告设计篇</t>
  </si>
  <si>
    <t>张燕楠, 闫研, 霍楷</t>
  </si>
  <si>
    <t>J06/632</t>
  </si>
  <si>
    <t>978-7-209-12206-1</t>
  </si>
  <si>
    <t>美编派</t>
  </si>
  <si>
    <t>周晨</t>
  </si>
  <si>
    <t>J06/633</t>
  </si>
  <si>
    <t>J06/633-2</t>
  </si>
  <si>
    <t>978-7-5689-2941-7</t>
  </si>
  <si>
    <t>平面构成</t>
  </si>
  <si>
    <t>杨仁敏, 曾敏</t>
  </si>
  <si>
    <t>J061/180</t>
  </si>
  <si>
    <t>978-7-5221-0894-0</t>
  </si>
  <si>
    <t>新媒体视角下视觉传达设计的转型</t>
  </si>
  <si>
    <t>王泽闻</t>
  </si>
  <si>
    <t>J062/72</t>
  </si>
  <si>
    <t>978-7-5166-5371-5</t>
  </si>
  <si>
    <t>新媒体视觉艺术设计理论与实践</t>
  </si>
  <si>
    <t>刘键</t>
  </si>
  <si>
    <t>J062/73</t>
  </si>
  <si>
    <t>978-7-5689-2756-7</t>
  </si>
  <si>
    <t>信息可视化设计</t>
  </si>
  <si>
    <t>张毅, 王立峰</t>
  </si>
  <si>
    <t>J062/74</t>
  </si>
  <si>
    <t>978-7-5180-4635-5</t>
  </si>
  <si>
    <t>视觉传达设计形式原理</t>
  </si>
  <si>
    <t>李敏</t>
  </si>
  <si>
    <t>J062/75</t>
  </si>
  <si>
    <t>978-7-5688-7361-1</t>
  </si>
  <si>
    <t>视觉传达设计与艺术思维</t>
  </si>
  <si>
    <t>孙宁, 杨超</t>
  </si>
  <si>
    <t>J062/76</t>
  </si>
  <si>
    <t>978-7-5639-6598-4</t>
  </si>
  <si>
    <t>视觉传达中的造型要素研究</t>
  </si>
  <si>
    <t>张珍变</t>
  </si>
  <si>
    <t>J062/77</t>
  </si>
  <si>
    <t>978-7-5221-0049-4</t>
  </si>
  <si>
    <t>视觉传达的设计要素与应用研究</t>
  </si>
  <si>
    <t>邵亮</t>
  </si>
  <si>
    <t>J062/78</t>
  </si>
  <si>
    <t>978-7-5578-7773-6</t>
  </si>
  <si>
    <t>互联网背景下视觉传达设计发展趋势研究</t>
  </si>
  <si>
    <t>余旭</t>
  </si>
  <si>
    <t>J062/79</t>
  </si>
  <si>
    <t>978-7-5578-8117-7</t>
  </si>
  <si>
    <t>基于媒体视角的视觉传达设计研究</t>
  </si>
  <si>
    <t>谭大青</t>
  </si>
  <si>
    <t>J062/80</t>
  </si>
  <si>
    <t>978-7-5639-7574-7</t>
  </si>
  <si>
    <t>视觉传达设计的创意与表现</t>
  </si>
  <si>
    <t>李世杰</t>
  </si>
  <si>
    <t>J062/81</t>
  </si>
  <si>
    <t>978-7-5575-4973-2</t>
  </si>
  <si>
    <t>视觉传达设计新观念与多元实践</t>
  </si>
  <si>
    <t>李萌萌</t>
  </si>
  <si>
    <t>J062/82</t>
  </si>
  <si>
    <t>978-7-5581-9869-4</t>
  </si>
  <si>
    <t>现代视觉传达设计中视觉空间的构造与设计</t>
  </si>
  <si>
    <t>肖艺</t>
  </si>
  <si>
    <t>J062/83</t>
  </si>
  <si>
    <t>978-7-206-18260-0</t>
  </si>
  <si>
    <t>视觉传达设计理论基础与应用探究</t>
  </si>
  <si>
    <t>李睿</t>
  </si>
  <si>
    <t>J062/84</t>
  </si>
  <si>
    <t>978-7-5578-8119-1</t>
  </si>
  <si>
    <t>视觉传达设计中的地域元素分析与实践应用研究</t>
  </si>
  <si>
    <t>吉静</t>
  </si>
  <si>
    <t>J062/85</t>
  </si>
  <si>
    <t>978-7-5692-8910-7</t>
  </si>
  <si>
    <t>新媒体视域下的视觉设计探究</t>
  </si>
  <si>
    <t>余逸</t>
  </si>
  <si>
    <t>J062/86</t>
  </si>
  <si>
    <t>978-7-5166-5370-8</t>
  </si>
  <si>
    <t>视觉传达色彩设计</t>
  </si>
  <si>
    <t>滑侨新</t>
  </si>
  <si>
    <t>J062/87</t>
  </si>
  <si>
    <t>978-7-5591-2051-9</t>
  </si>
  <si>
    <t>中式元素视觉传达: 图案设计</t>
  </si>
  <si>
    <t>高鹏</t>
  </si>
  <si>
    <t>辽宁科学技术出版社</t>
  </si>
  <si>
    <t>J062/88</t>
  </si>
  <si>
    <t>978-7-5682-9756-1</t>
  </si>
  <si>
    <t>色彩</t>
  </si>
  <si>
    <t>王雅楠</t>
  </si>
  <si>
    <t>J063/346</t>
  </si>
  <si>
    <t>978-7-5149-2614-9</t>
  </si>
  <si>
    <t>健康的色彩: 使身心灵和谐的色彩搭配方案</t>
  </si>
  <si>
    <t>(德) 阿克塞尔·维恩</t>
  </si>
  <si>
    <t>中国书店</t>
  </si>
  <si>
    <t>J063/347</t>
  </si>
  <si>
    <t>978-7-5340-8805-6</t>
  </si>
  <si>
    <t>西方绘画色彩研究</t>
  </si>
  <si>
    <t>郭健濂</t>
  </si>
  <si>
    <t>浙江人民美术出版社</t>
  </si>
  <si>
    <t>J063/348</t>
  </si>
  <si>
    <t>978-7-5689-2019-3</t>
  </si>
  <si>
    <t>设计与色彩</t>
  </si>
  <si>
    <t>周至禹</t>
  </si>
  <si>
    <t>J063/349</t>
  </si>
  <si>
    <t>978-7-5580-7439-4</t>
  </si>
  <si>
    <t>配色训练手册</t>
  </si>
  <si>
    <t>杨贝贝</t>
  </si>
  <si>
    <t>J063/350</t>
  </si>
  <si>
    <t>978-7-5155-2271-5</t>
  </si>
  <si>
    <t>东方色彩: 配色设计美学</t>
  </si>
  <si>
    <t>高色调文化</t>
  </si>
  <si>
    <t>金城出版社有限公司</t>
  </si>
  <si>
    <t>J063/351</t>
  </si>
  <si>
    <t>978-7-5591-1983-4</t>
  </si>
  <si>
    <t>空间风格配色手册: 康兰谈色彩</t>
  </si>
  <si>
    <t>(英) 特伦斯·康兰</t>
  </si>
  <si>
    <t>J063/352</t>
  </si>
  <si>
    <t>978-7-5217-3181-1</t>
  </si>
  <si>
    <t>日本色彩百科</t>
  </si>
  <si>
    <t>(日) 城一夫</t>
  </si>
  <si>
    <t>J063/353</t>
  </si>
  <si>
    <t>978-7-5586-2096-6</t>
  </si>
  <si>
    <t>艺用人体解剖学</t>
  </si>
  <si>
    <t>厉晓东</t>
  </si>
  <si>
    <t>J064/18=D</t>
  </si>
  <si>
    <t>978-7-5356-9508-6</t>
  </si>
  <si>
    <t>二十世纪艺术之书</t>
  </si>
  <si>
    <t>英国费顿出版社</t>
  </si>
  <si>
    <t>J110.95/22</t>
  </si>
  <si>
    <t>978-7-5577-0848-1</t>
  </si>
  <si>
    <t>献给社会组织追梦人: 深圳: 梨园艺术团创业历程</t>
  </si>
  <si>
    <t>王庭僚</t>
  </si>
  <si>
    <t>J124/44</t>
  </si>
  <si>
    <t>978-7-110-10251-0</t>
  </si>
  <si>
    <t>艺术家钟爱的欧洲城市</t>
  </si>
  <si>
    <t>(韩) 金香锦</t>
  </si>
  <si>
    <t>科学普及出版社</t>
  </si>
  <si>
    <t>J15/3</t>
  </si>
  <si>
    <t>978-7-5596-5296-6</t>
  </si>
  <si>
    <t>街头艺术</t>
  </si>
  <si>
    <t>(英) 西蒙·阿姆斯特朗</t>
  </si>
  <si>
    <t>J156.1/7</t>
  </si>
  <si>
    <t>978-7-5153-6335-6</t>
  </si>
  <si>
    <t>数码绘画的艺术: 用Photoshop创建幻想世界</t>
  </si>
  <si>
    <t>(英) 3DTotal.com公司</t>
  </si>
  <si>
    <t>中国青年出版社</t>
  </si>
  <si>
    <t>J2/43</t>
  </si>
  <si>
    <t>978-7-5217-1645-0</t>
  </si>
  <si>
    <t>新中国美术家: 宋源文</t>
  </si>
  <si>
    <t>蔡萌</t>
  </si>
  <si>
    <t>J205.2/46</t>
  </si>
  <si>
    <t>978-7-5596-5329-1</t>
  </si>
  <si>
    <t>戈雅: 两个世界的摆渡人</t>
  </si>
  <si>
    <t>(法) 弗朗索瓦丝·培尔</t>
  </si>
  <si>
    <t>J205.5/9</t>
  </si>
  <si>
    <t>978-7-5155-2268-5</t>
  </si>
  <si>
    <t>西方现代画派与东亚美术</t>
  </si>
  <si>
    <t>王才勇</t>
  </si>
  <si>
    <t>J209.9/35</t>
  </si>
  <si>
    <t>978-7-302-59310-2</t>
  </si>
  <si>
    <t>中国画里的世界</t>
  </si>
  <si>
    <t>王严</t>
  </si>
  <si>
    <t>J212.05/76</t>
  </si>
  <si>
    <t>978-7-5180-3946-3</t>
  </si>
  <si>
    <t>中国山水画文化传承研究</t>
  </si>
  <si>
    <t>汤洪泉</t>
  </si>
  <si>
    <t>J212.26/86</t>
  </si>
  <si>
    <t>978-7-115-48508-3</t>
  </si>
  <si>
    <t>看视频, 学画画!: 彩色铅笔花卉绘制入门教程</t>
  </si>
  <si>
    <t>灌木文化</t>
  </si>
  <si>
    <t>J214.1/74</t>
  </si>
  <si>
    <t>978-7-121-42014-6</t>
  </si>
  <si>
    <t>超精致的彩铅基础手绘技法</t>
  </si>
  <si>
    <t>周思娇</t>
  </si>
  <si>
    <t>J214.1/75</t>
  </si>
  <si>
    <t>978-7-121-41447-3</t>
  </si>
  <si>
    <t>超写实的萌狗彩铅手绘教程</t>
  </si>
  <si>
    <t>方寸</t>
  </si>
  <si>
    <t>J214.1/76</t>
  </si>
  <si>
    <t>978-7-115-49196-1</t>
  </si>
  <si>
    <t>萝莉之美: 写实色铅笔人物绘制详解</t>
  </si>
  <si>
    <t>桃子/绘</t>
  </si>
  <si>
    <t>J214.1/77</t>
  </si>
  <si>
    <t>978-7-121-40525-9</t>
  </si>
  <si>
    <t>超写实的花鸟彩铅手绘教程</t>
  </si>
  <si>
    <t>陈雪</t>
  </si>
  <si>
    <t>J214.1/78</t>
  </si>
  <si>
    <t>978-7-5592-0195-9</t>
  </si>
  <si>
    <t>色铅笔狗狗绘技法从入门到精通</t>
  </si>
  <si>
    <t>GOOD COLOR辑部</t>
  </si>
  <si>
    <t>J214.1/79</t>
  </si>
  <si>
    <t>978-7-5592-0201-7</t>
  </si>
  <si>
    <t>色铅笔多肉绘技法从入门到精通</t>
  </si>
  <si>
    <t>J214.1/80</t>
  </si>
  <si>
    <t>978-7-5713-2398-1</t>
  </si>
  <si>
    <t>伯里曼人体结构绘画教学</t>
  </si>
  <si>
    <t>(美国) 乔治·伯里曼</t>
  </si>
  <si>
    <t>J214/38-2</t>
  </si>
  <si>
    <t>978-7-115-55636-3</t>
  </si>
  <si>
    <t>水墨玩家: 三两笔画出Q萌简笔中国画</t>
  </si>
  <si>
    <t>七胭的鱼</t>
  </si>
  <si>
    <t>J214/605</t>
  </si>
  <si>
    <t>978-7-5514-2969-6</t>
  </si>
  <si>
    <t>素描</t>
  </si>
  <si>
    <t>陈垚</t>
  </si>
  <si>
    <t>浙江摄影出版社</t>
  </si>
  <si>
    <t>J214/606</t>
  </si>
  <si>
    <t>978-7-121-36654-3</t>
  </si>
  <si>
    <t>素描基础教程. 上册</t>
  </si>
  <si>
    <t>祝敏佳, 徐佩强</t>
  </si>
  <si>
    <t>J214/607=2D/1</t>
  </si>
  <si>
    <t>素描基础教程. 下册</t>
  </si>
  <si>
    <t>J214/607=2D/2</t>
  </si>
  <si>
    <t>978-7-5697-0888-2</t>
  </si>
  <si>
    <t>基础素描</t>
  </si>
  <si>
    <t>赵文悦, 罗晓航</t>
  </si>
  <si>
    <t>J214/608</t>
  </si>
  <si>
    <t>978-7-5608-9988-6</t>
  </si>
  <si>
    <t>艺术通识教程: 创意素描</t>
  </si>
  <si>
    <t>王珂, 田唯佳, 阴佳</t>
  </si>
  <si>
    <t>J214/609</t>
  </si>
  <si>
    <t>978-7-115-51712-8</t>
  </si>
  <si>
    <t>素描全解: 超详细的素描图解教程</t>
  </si>
  <si>
    <t>J214/610</t>
  </si>
  <si>
    <t>978-7-115-55702-5</t>
  </si>
  <si>
    <t>力量: 彰显生命力的人体速写原则与技巧</t>
  </si>
  <si>
    <t>(美) 迈克尔·马特斯, 斯温德利·贝尼利亚</t>
  </si>
  <si>
    <t>J214/611</t>
  </si>
  <si>
    <t>978-7-5592-0399-1</t>
  </si>
  <si>
    <t>静物素描</t>
  </si>
  <si>
    <t>(日) 国政一真</t>
  </si>
  <si>
    <t>北京出版集团</t>
  </si>
  <si>
    <t>J214/612</t>
  </si>
  <si>
    <t>978-7-5410-9137-7</t>
  </si>
  <si>
    <t>伯里曼人体结构绘画完全指南</t>
  </si>
  <si>
    <t>(美) 乔治·伯里曼</t>
  </si>
  <si>
    <t>四川美术出版社</t>
  </si>
  <si>
    <t>J214/613</t>
  </si>
  <si>
    <t>978-7-5039-6745-0</t>
  </si>
  <si>
    <t>素描系统罗辑与应用</t>
  </si>
  <si>
    <t>祝凯</t>
  </si>
  <si>
    <t>J214/614</t>
  </si>
  <si>
    <t>978-7-5096-7484-0</t>
  </si>
  <si>
    <t>近当代中国年画流变研究</t>
  </si>
  <si>
    <t>王昊</t>
  </si>
  <si>
    <t>J218.3/29</t>
  </si>
  <si>
    <t>978-7-5314-8418-9</t>
  </si>
  <si>
    <t>连环画青年创作人才培养项目: 授课教师课稿</t>
  </si>
  <si>
    <t>张宇, 宋梦寒</t>
  </si>
  <si>
    <t>J218.4/9</t>
  </si>
  <si>
    <t>978-7-115-56474-0</t>
  </si>
  <si>
    <t>插画色彩设计手册</t>
  </si>
  <si>
    <t>余振华, 姜悦玥</t>
  </si>
  <si>
    <t>J218.5/109</t>
  </si>
  <si>
    <t>978-7-121-42054-2</t>
  </si>
  <si>
    <t>水彩古风人物插画手绘技法</t>
  </si>
  <si>
    <t>南栀子</t>
  </si>
  <si>
    <t>J218.5/110</t>
  </si>
  <si>
    <t>978-7-5153-6295-3</t>
  </si>
  <si>
    <t>耳朵暴露啦: 二次元拟人绘画课</t>
  </si>
  <si>
    <t>(日) 玄光社</t>
  </si>
  <si>
    <t>J218.5/111</t>
  </si>
  <si>
    <t>978-7-5682-8803-3</t>
  </si>
  <si>
    <t>插画设计</t>
  </si>
  <si>
    <t>唐晓辉, 黄翠崇, 梁爱媛</t>
  </si>
  <si>
    <t>J218.5/112</t>
  </si>
  <si>
    <t>978-7-5592-0388-5</t>
  </si>
  <si>
    <t>少女之美: 日系青春风插画师画技分享会</t>
  </si>
  <si>
    <t xml:space="preserve">(日) 福拉依 ...  </t>
  </si>
  <si>
    <t>J218.5/113</t>
  </si>
  <si>
    <t>978-7-121-41462-6</t>
  </si>
  <si>
    <t>森系油画棒插画教程</t>
  </si>
  <si>
    <t>邓瑞宁子</t>
  </si>
  <si>
    <t>J218.5/114</t>
  </si>
  <si>
    <t>978-7-5592-0421-9</t>
  </si>
  <si>
    <t>次元突破: 照片加工插画场景</t>
  </si>
  <si>
    <t>(日) 鲑腹须</t>
  </si>
  <si>
    <t>J218.5/115</t>
  </si>
  <si>
    <t>978-7-81121-735-3</t>
  </si>
  <si>
    <t>壁画创作基础</t>
  </si>
  <si>
    <t>王岩松</t>
  </si>
  <si>
    <t>上海浦江教育出版社</t>
  </si>
  <si>
    <t>J218.6/18</t>
  </si>
  <si>
    <t>978-7-5639-7102-2</t>
  </si>
  <si>
    <t>动画的艺术风格与新发展探究</t>
  </si>
  <si>
    <t>王健龙</t>
  </si>
  <si>
    <t>J218.7/400</t>
  </si>
  <si>
    <t>978-7-5670-1800-6</t>
  </si>
  <si>
    <t>原创动漫设计与少数民族文化元素运用研究</t>
  </si>
  <si>
    <t>J218.7/401</t>
  </si>
  <si>
    <t>978-7-5575-3553-7</t>
  </si>
  <si>
    <t>影视动漫衍生产品设计</t>
  </si>
  <si>
    <t>张琪</t>
  </si>
  <si>
    <t>J218.7/402</t>
  </si>
  <si>
    <t>978-7-5586-2047-8</t>
  </si>
  <si>
    <t>动画运动规律</t>
  </si>
  <si>
    <t>张爱华, 李竟仪</t>
  </si>
  <si>
    <t>J218.7/403=D</t>
  </si>
  <si>
    <t>978-7-5731-0243-0</t>
  </si>
  <si>
    <t>多角度动画艺术探究</t>
  </si>
  <si>
    <t>郜菲, 尹璐</t>
  </si>
  <si>
    <t>J218.7/404</t>
  </si>
  <si>
    <t>978-7-5210-0525-7</t>
  </si>
  <si>
    <t>文化与审美: 中国动画学派的启示</t>
  </si>
  <si>
    <t>孙立军, 孙平</t>
  </si>
  <si>
    <t>J218.7/405</t>
  </si>
  <si>
    <t>978-7-5575-4523-9</t>
  </si>
  <si>
    <t>动画设计基础与技法研究</t>
  </si>
  <si>
    <t>李曧</t>
  </si>
  <si>
    <t>J218.7/406</t>
  </si>
  <si>
    <t>978-7-307-21832-1</t>
  </si>
  <si>
    <t>角色设计</t>
  </si>
  <si>
    <t>J218.7/407</t>
  </si>
  <si>
    <t>978-7-5596-1546-6</t>
  </si>
  <si>
    <t>镖人. 卷二</t>
  </si>
  <si>
    <t>许先哲</t>
  </si>
  <si>
    <t>J228.2/477/2</t>
  </si>
  <si>
    <t>978-7-5596-2275-4</t>
  </si>
  <si>
    <t>镖人. 卷三</t>
  </si>
  <si>
    <t>J228.2/477/3</t>
  </si>
  <si>
    <t>978-7-5596-2579-3</t>
  </si>
  <si>
    <t>镖人. 卷四</t>
  </si>
  <si>
    <t>J228.2/477/4</t>
  </si>
  <si>
    <t>978-7-5596-2844-2</t>
  </si>
  <si>
    <t>镖人. 卷五</t>
  </si>
  <si>
    <t>J228.2/477/5</t>
  </si>
  <si>
    <t>978-7-5596-3030-8</t>
  </si>
  <si>
    <t>镖人. 卷六</t>
  </si>
  <si>
    <t>J228.2/477/6</t>
  </si>
  <si>
    <t>978-7-5596-3167-1</t>
  </si>
  <si>
    <t>镖人. 卷七</t>
  </si>
  <si>
    <t>J228.2/477/7</t>
  </si>
  <si>
    <t>978-7-200-12016-5</t>
  </si>
  <si>
    <t>和青年朋友谈书法</t>
  </si>
  <si>
    <t>沈尹默</t>
  </si>
  <si>
    <t>J292.1/136</t>
  </si>
  <si>
    <t>978-7-5180-4322-4</t>
  </si>
  <si>
    <t>视觉传达中的文字符号研究及其具体运用</t>
  </si>
  <si>
    <t>赵明</t>
  </si>
  <si>
    <t>J292.13/124</t>
  </si>
  <si>
    <t>978-7-5401-5259-8</t>
  </si>
  <si>
    <t>历代经典碑帖百种题识</t>
  </si>
  <si>
    <t>张海</t>
  </si>
  <si>
    <t>J292.21/59</t>
  </si>
  <si>
    <t>978-7-115-55088-0</t>
  </si>
  <si>
    <t>玩转手机摄影: 一学就会的构图技巧</t>
  </si>
  <si>
    <t>玩转手机</t>
  </si>
  <si>
    <t>J41/528</t>
  </si>
  <si>
    <t>978-7-115-56614-0</t>
  </si>
  <si>
    <t>专业摄影师这样拍: 风光摄影的180种个问答</t>
  </si>
  <si>
    <t>视觉中国500px社区六合视界部落</t>
  </si>
  <si>
    <t>J414/81</t>
  </si>
  <si>
    <t>978-7-5593-0336-3</t>
  </si>
  <si>
    <t>灵动飘逸: 京剧摄影艺术</t>
  </si>
  <si>
    <t>勒国君</t>
  </si>
  <si>
    <t>黑龙江美术出版社</t>
  </si>
  <si>
    <t>J42/2</t>
  </si>
  <si>
    <t>978-7-5575-6372-1</t>
  </si>
  <si>
    <t>工艺美术设计与创新实践</t>
  </si>
  <si>
    <t>孙妍</t>
  </si>
  <si>
    <t>J506/61</t>
  </si>
  <si>
    <t>978-7-5322-9857-0</t>
  </si>
  <si>
    <t>平面设计中的网格系统: 平面设计、字体编排和空间设计的视觉传达设计手册</t>
  </si>
  <si>
    <t>(瑞士) 约瑟夫·米勒－布罗克曼</t>
  </si>
  <si>
    <t>J506/62</t>
  </si>
  <si>
    <t>978-7-5520-2985-7</t>
  </si>
  <si>
    <t>手作艺术复兴传奇: 艺术与手工艺运动20讲</t>
  </si>
  <si>
    <t>心安工作室</t>
  </si>
  <si>
    <t>J509.1/99</t>
  </si>
  <si>
    <t>978-7-115-54779-8</t>
  </si>
  <si>
    <t>传统艺术再设计: 发现中国元素</t>
  </si>
  <si>
    <t>善本出版有限公司</t>
  </si>
  <si>
    <t>J51/136</t>
  </si>
  <si>
    <t>978-7-5180-6753-4</t>
  </si>
  <si>
    <t>中国图案艺术文化研究</t>
  </si>
  <si>
    <t>王文权, 李丽莎</t>
  </si>
  <si>
    <t>J51/137</t>
  </si>
  <si>
    <t>978-7-5180-2660-9</t>
  </si>
  <si>
    <t>视觉传达 (设计) 中的图形创意及设计研究</t>
  </si>
  <si>
    <t>张晓蓉</t>
  </si>
  <si>
    <t>J51/138</t>
  </si>
  <si>
    <t>978-7-5697-0524-9</t>
  </si>
  <si>
    <t>图形创意设计</t>
  </si>
  <si>
    <t>顾佳, 邓扬帆</t>
  </si>
  <si>
    <t>J51/139</t>
  </si>
  <si>
    <t>978-7-5517-1941-4</t>
  </si>
  <si>
    <t>图形创意应用与艺术</t>
  </si>
  <si>
    <t>刘涌涛</t>
  </si>
  <si>
    <t>J51/140</t>
  </si>
  <si>
    <t>978-7-5586-2241-0</t>
  </si>
  <si>
    <t>图形语言与设计</t>
  </si>
  <si>
    <t>J51/88=D</t>
  </si>
  <si>
    <t>978-7-5575-3385-4</t>
  </si>
  <si>
    <t>现代艺术与平面设计研究</t>
  </si>
  <si>
    <t>邵露莹, 徐晶</t>
  </si>
  <si>
    <t>J511/60</t>
  </si>
  <si>
    <t>978-7-5208-1845-2</t>
  </si>
  <si>
    <t>平面设计综合实训</t>
  </si>
  <si>
    <t>姜雅男, 孙莎莎, 郭微</t>
  </si>
  <si>
    <t>J511/61</t>
  </si>
  <si>
    <t>978-7-5180-3988-3</t>
  </si>
  <si>
    <t>现代平面设计的视觉要素</t>
  </si>
  <si>
    <t>王旭玮</t>
  </si>
  <si>
    <t>J511/62</t>
  </si>
  <si>
    <t>978-7-5208-1818-6</t>
  </si>
  <si>
    <t>创意设计大赛指导教程</t>
  </si>
  <si>
    <t>姜雅男</t>
  </si>
  <si>
    <t>J511/63</t>
  </si>
  <si>
    <t>978-7-5681-6808-3</t>
  </si>
  <si>
    <t>中国的图腾文化在现代平面设计中的应用研究</t>
  </si>
  <si>
    <t>刘莲莲</t>
  </si>
  <si>
    <t>J511/64</t>
  </si>
  <si>
    <t>978-7-5581-9609-6</t>
  </si>
  <si>
    <t>平面设计一本通: 创意与应用</t>
  </si>
  <si>
    <t>韩国华</t>
  </si>
  <si>
    <t>J511/65</t>
  </si>
  <si>
    <t>978-7-5713-2179-6</t>
  </si>
  <si>
    <t>平面配色手册</t>
  </si>
  <si>
    <t>张昕婕, PROCO普洛可色彩美学社</t>
  </si>
  <si>
    <t>J511/66</t>
  </si>
  <si>
    <t>978-7-115-55982-1</t>
  </si>
  <si>
    <t>花艺配色美学: 色彩搭配基础教程</t>
  </si>
  <si>
    <t>(日) 坂口美重子</t>
  </si>
  <si>
    <t>J525.12/14=2D</t>
  </si>
  <si>
    <t>978-7-5180-2172-7</t>
  </si>
  <si>
    <t>中外装饰图案及其设计方法</t>
  </si>
  <si>
    <t>雒岩</t>
  </si>
  <si>
    <t>J525/73</t>
  </si>
  <si>
    <t>978-7-5180-4638-6</t>
  </si>
  <si>
    <t>多维视角下的民间造型艺术研究</t>
  </si>
  <si>
    <t>郭晨园</t>
  </si>
  <si>
    <t>J528/79</t>
  </si>
  <si>
    <t>978-7-5648-4075-4</t>
  </si>
  <si>
    <t>音乐教学法教材建设的百年历程</t>
  </si>
  <si>
    <t>杨丹</t>
  </si>
  <si>
    <t>J6/125</t>
  </si>
  <si>
    <t>978-7-5575-3287-1</t>
  </si>
  <si>
    <t>音乐教育理论与实践</t>
  </si>
  <si>
    <t>刘刈</t>
  </si>
  <si>
    <t>J6/126</t>
  </si>
  <si>
    <t>978-7-5317-4971-4</t>
  </si>
  <si>
    <t>音乐教师专业发展新策略</t>
  </si>
  <si>
    <t>陈钊安</t>
  </si>
  <si>
    <t>J6/127</t>
  </si>
  <si>
    <t>978-7-5720-0501-5</t>
  </si>
  <si>
    <t>是比较音乐教育学还是外国音乐教育学?: 德国学校音乐教师教育</t>
  </si>
  <si>
    <t>蒋虹</t>
  </si>
  <si>
    <t>J6/128</t>
  </si>
  <si>
    <t>978-7-5472-7936-6</t>
  </si>
  <si>
    <t>高校音乐文化教学策略研究</t>
  </si>
  <si>
    <t>郑燕琳</t>
  </si>
  <si>
    <t>J60/87</t>
  </si>
  <si>
    <t>978-7-5690-4984-8</t>
  </si>
  <si>
    <t>音乐创造力的结构与培养</t>
  </si>
  <si>
    <t>豆军红</t>
  </si>
  <si>
    <t>J60/88</t>
  </si>
  <si>
    <t>978-7-103-06102-2</t>
  </si>
  <si>
    <t>中国乐种学</t>
  </si>
  <si>
    <t>袁静芳</t>
  </si>
  <si>
    <t>人民音乐出版社</t>
  </si>
  <si>
    <t>J60/89</t>
  </si>
  <si>
    <t>978-7-5396-7135-2</t>
  </si>
  <si>
    <t>传统·传承·传播·跨界. 上: 施咏音乐学文集</t>
  </si>
  <si>
    <t>施咏</t>
  </si>
  <si>
    <t>安徽文艺出版社</t>
  </si>
  <si>
    <t>J60/90/1</t>
  </si>
  <si>
    <t>传统·传承·传播·跨界. 下: 施咏音乐学文集</t>
  </si>
  <si>
    <t>J60/90/2</t>
  </si>
  <si>
    <t>978-7-5166-5778-2</t>
  </si>
  <si>
    <t>“一带一路”视域下多元化音乐艺术教育创新实践研究</t>
  </si>
  <si>
    <t>郭晓彤</t>
  </si>
  <si>
    <t>J60/91</t>
  </si>
  <si>
    <t>978-7-5039-6791-7</t>
  </si>
  <si>
    <t>大音. 第十四卷</t>
  </si>
  <si>
    <t>萧梅</t>
  </si>
  <si>
    <t>J60-05/12/14</t>
  </si>
  <si>
    <t>978-7-5575-5127-8</t>
  </si>
  <si>
    <t>音乐与文化特点研究</t>
  </si>
  <si>
    <t>胡茵</t>
  </si>
  <si>
    <t>J60-05/13</t>
  </si>
  <si>
    <t>978-7-5221-0669-4</t>
  </si>
  <si>
    <t>古丝绸之路上的中外音乐文化交流</t>
  </si>
  <si>
    <t>J60-05/14</t>
  </si>
  <si>
    <t>978-7-203-11624-0</t>
  </si>
  <si>
    <t>乐为心声: 当代音乐与社会</t>
  </si>
  <si>
    <t>尹志兵</t>
  </si>
  <si>
    <t>山西人民出版社</t>
  </si>
  <si>
    <t>J60-05/15</t>
  </si>
  <si>
    <t>978-7-5639-7524-2</t>
  </si>
  <si>
    <t>当代高校音乐教育与教学的实践模式研究</t>
  </si>
  <si>
    <t>吴静</t>
  </si>
  <si>
    <t>J60-059/13</t>
  </si>
  <si>
    <t>978-7-5581-7422-3</t>
  </si>
  <si>
    <t>音乐教学与表演艺术</t>
  </si>
  <si>
    <t>曾瑶</t>
  </si>
  <si>
    <t>J60-059/14</t>
  </si>
  <si>
    <t>978-7-206-17634-0</t>
  </si>
  <si>
    <t>音乐艺术与大学生音乐教育研究</t>
  </si>
  <si>
    <t>潘佩佩</t>
  </si>
  <si>
    <t>J60-059/15</t>
  </si>
  <si>
    <t>978-7-5166-5212-1</t>
  </si>
  <si>
    <t>高校音乐教育教学与创新思维研究</t>
  </si>
  <si>
    <t>杨祎</t>
  </si>
  <si>
    <t>J60-059/16</t>
  </si>
  <si>
    <t>978-7-5692-6948-2</t>
  </si>
  <si>
    <t>普通高校音乐教育教学基本理论与实践教程</t>
  </si>
  <si>
    <t>刘哲</t>
  </si>
  <si>
    <t>J60-059/17</t>
  </si>
  <si>
    <t>978-7-5692-7696-1</t>
  </si>
  <si>
    <t>高校音乐教育多元化体系的建构研究</t>
  </si>
  <si>
    <t>陆晓燕</t>
  </si>
  <si>
    <t>J60-059/18</t>
  </si>
  <si>
    <t>978-7-5575-5125-4</t>
  </si>
  <si>
    <t>音乐教学与艺术欣赏</t>
  </si>
  <si>
    <t>刘霄</t>
  </si>
  <si>
    <t>J60-059/19</t>
  </si>
  <si>
    <t>978-7-5692-7032-7</t>
  </si>
  <si>
    <t>基于音乐心理层面的音乐教育理论研究</t>
  </si>
  <si>
    <t>周泱</t>
  </si>
  <si>
    <t>J60-059/20</t>
  </si>
  <si>
    <t>978-7-5581-6638-9</t>
  </si>
  <si>
    <t>音乐教育的实践与理论研究</t>
  </si>
  <si>
    <t>张哲琦</t>
  </si>
  <si>
    <t>J60-059/21</t>
  </si>
  <si>
    <t>978-7-5462-2944-7</t>
  </si>
  <si>
    <t>四元综合乐教体系: 审美·创造·母语·器乐化</t>
  </si>
  <si>
    <t>朱则平</t>
  </si>
  <si>
    <t>J60-059/22</t>
  </si>
  <si>
    <t>978-7-5639-7224-1</t>
  </si>
  <si>
    <t>音乐教育与教学实践模式研究</t>
  </si>
  <si>
    <t>李昌鄰, 陈圆, 杨凡</t>
  </si>
  <si>
    <t>J60-059/23</t>
  </si>
  <si>
    <t>978-7-5489-4148-4</t>
  </si>
  <si>
    <t>音乐欣赏与素质提升</t>
  </si>
  <si>
    <t>贺薇, 祝玲, 李妲</t>
  </si>
  <si>
    <t>J60-059/24</t>
  </si>
  <si>
    <t>978-7-5639-7095-7</t>
  </si>
  <si>
    <t>音乐教学理论与实践研究</t>
  </si>
  <si>
    <t>何娟, 肖萌, 梁军方</t>
  </si>
  <si>
    <t>J60-059/25</t>
  </si>
  <si>
    <t>978-7-5639-6790-2</t>
  </si>
  <si>
    <t>高校音乐教育创新与发展研究</t>
  </si>
  <si>
    <t>郭丹</t>
  </si>
  <si>
    <t>J60-059/26</t>
  </si>
  <si>
    <t>978-7-5581-9898-4</t>
  </si>
  <si>
    <t>音乐教育创新理念发展研究</t>
  </si>
  <si>
    <t>吴佳男</t>
  </si>
  <si>
    <t>J60-059/27</t>
  </si>
  <si>
    <t>978-7-5166-5952-6</t>
  </si>
  <si>
    <t>身体哲学视阈下音乐教育价值观变革研究</t>
  </si>
  <si>
    <t>韩林彤</t>
  </si>
  <si>
    <t>J60-059/28</t>
  </si>
  <si>
    <t>978-7-5581-8434-5</t>
  </si>
  <si>
    <t>音乐教学与表演艺术研究</t>
  </si>
  <si>
    <t>徐勤娜, 赵玉岩</t>
  </si>
  <si>
    <t>J60-059/29</t>
  </si>
  <si>
    <t>978-7-5639-7341-5</t>
  </si>
  <si>
    <t>素质教育视域下当代音乐教育理论与教学实践</t>
  </si>
  <si>
    <t>刘立波, 赵寒冰</t>
  </si>
  <si>
    <t>J60-059/30</t>
  </si>
  <si>
    <t>978-7-5166-5324-1</t>
  </si>
  <si>
    <t>高校音乐教育核心理论研究与创新教学法导航</t>
  </si>
  <si>
    <t>李强</t>
  </si>
  <si>
    <t>J60-059/31</t>
  </si>
  <si>
    <t>978-7-5639-6488-8</t>
  </si>
  <si>
    <t>音乐基础理论与作品欣赏</t>
  </si>
  <si>
    <t>康芮婷, 徐跃东, 郭媛媛</t>
  </si>
  <si>
    <t>J602/3</t>
  </si>
  <si>
    <t>978-7-5166-5329-6</t>
  </si>
  <si>
    <t>音乐表演的理论与实践研究</t>
  </si>
  <si>
    <t>武凌, 陈凌</t>
  </si>
  <si>
    <t>J604.6/6</t>
  </si>
  <si>
    <t>978-7-81142-842-1</t>
  </si>
  <si>
    <t>音乐舞台理论与表演基础教程</t>
  </si>
  <si>
    <t>刘双磊, 赵晶晶, 袁辉钟</t>
  </si>
  <si>
    <t>J604.6/7</t>
  </si>
  <si>
    <t>978-7-206-16035-6</t>
  </si>
  <si>
    <t>音乐创作与作曲技术理论探索</t>
  </si>
  <si>
    <t>宋曼曼</t>
  </si>
  <si>
    <t>J604/13</t>
  </si>
  <si>
    <t>978-7-5581-9474-0</t>
  </si>
  <si>
    <t>音乐创作技法与新思维</t>
  </si>
  <si>
    <t>胡永强</t>
  </si>
  <si>
    <t>J604/14</t>
  </si>
  <si>
    <t>978-7-5166-5734-8</t>
  </si>
  <si>
    <t>音乐创作理论与形态研究</t>
  </si>
  <si>
    <t>孙倩</t>
  </si>
  <si>
    <t>J604/15</t>
  </si>
  <si>
    <t>978-7-103-06094-0</t>
  </si>
  <si>
    <t>价值观与中国现代音乐创作: 关于“可能性追求”的讨论</t>
  </si>
  <si>
    <t>J604/16</t>
  </si>
  <si>
    <t>978-7-5615-8199-5</t>
  </si>
  <si>
    <t>杨立青音乐创作研究</t>
  </si>
  <si>
    <t>J604/17</t>
  </si>
  <si>
    <t>978-7-5178-4593-5</t>
  </si>
  <si>
    <t>乐绘古典</t>
  </si>
  <si>
    <t>王慧</t>
  </si>
  <si>
    <t>J605.1/104</t>
  </si>
  <si>
    <t>978-7-5535-1933-3</t>
  </si>
  <si>
    <t>奇遇之年: 每天一首古典音乐</t>
  </si>
  <si>
    <t>(英) 克莱门西·伯顿-希尔</t>
  </si>
  <si>
    <t>上海文化出版社</t>
  </si>
  <si>
    <t>J605.1/105</t>
  </si>
  <si>
    <t>978-7-5039-6872-3</t>
  </si>
  <si>
    <t>中国传统音乐研究及传承的相关思考: 傅利民音乐研究文集</t>
  </si>
  <si>
    <t>傅利民</t>
  </si>
  <si>
    <t>J605.2/56</t>
  </si>
  <si>
    <t>978-7-5039-6844-0</t>
  </si>
  <si>
    <t>“和而不同”: 中、蒙跨界乌珠穆沁部长调研究</t>
  </si>
  <si>
    <t>吴云</t>
  </si>
  <si>
    <t>J605.2/57</t>
  </si>
  <si>
    <t>978-7-5639-6928-9</t>
  </si>
  <si>
    <t>中国传统音乐的理论基础与发展探究</t>
  </si>
  <si>
    <t>马晓霜</t>
  </si>
  <si>
    <t>J605.2/58</t>
  </si>
  <si>
    <t>978-7-5180-6667-4</t>
  </si>
  <si>
    <t>现代传媒视野下传统音乐的传承与发展</t>
  </si>
  <si>
    <t>单洁</t>
  </si>
  <si>
    <t>J605.2/59</t>
  </si>
  <si>
    <t>978-7-5639-6024-8</t>
  </si>
  <si>
    <t>中国传统音乐多元化探究</t>
  </si>
  <si>
    <t>奚淑婷</t>
  </si>
  <si>
    <t>J605.2/60</t>
  </si>
  <si>
    <t>978-7-5689-2838-0</t>
  </si>
  <si>
    <t>经典爱国名曲赏析</t>
  </si>
  <si>
    <t>陆晓燕, 王华琦</t>
  </si>
  <si>
    <t>J605.2/61</t>
  </si>
  <si>
    <t>978-7-104-05082-7</t>
  </si>
  <si>
    <t>田野回响. 第一卷: 新世纪中国传统音乐调研报告</t>
  </si>
  <si>
    <t>乔建中</t>
  </si>
  <si>
    <t>中国戏剧出版社</t>
  </si>
  <si>
    <t>J605.2/62/1</t>
  </si>
  <si>
    <t>978-7-5039-6999-7</t>
  </si>
  <si>
    <t>文化与学科视野: 流行音乐理论暨专业建设高校论坛文集</t>
  </si>
  <si>
    <t>雷美琴</t>
  </si>
  <si>
    <t>J605.2/63</t>
  </si>
  <si>
    <t>978-7-5108-8550-1</t>
  </si>
  <si>
    <t>中国传统音乐的发展及其文化构成体系探究</t>
  </si>
  <si>
    <t>杜瑶, 闻洪斌, 张弬</t>
  </si>
  <si>
    <t>J605.2/64</t>
  </si>
  <si>
    <t>978-7-5639-7726-0</t>
  </si>
  <si>
    <t>斯克里亚宾音乐作品选析与研究</t>
  </si>
  <si>
    <t>崔佳</t>
  </si>
  <si>
    <t>J605.512/4</t>
  </si>
  <si>
    <t>978-7-206-17395-0</t>
  </si>
  <si>
    <t>现代音乐鉴赏与音乐艺术探索</t>
  </si>
  <si>
    <t>苟丽娜</t>
  </si>
  <si>
    <t>J605/88</t>
  </si>
  <si>
    <t>978-7-5690-3840-8</t>
  </si>
  <si>
    <t>音乐赏析</t>
  </si>
  <si>
    <t>任旭东, 徐睿嫔, 杨琳</t>
  </si>
  <si>
    <t>J605/89</t>
  </si>
  <si>
    <t>978-7-5133-4111-0</t>
  </si>
  <si>
    <t>不哀之歌</t>
  </si>
  <si>
    <t>曹利群</t>
  </si>
  <si>
    <t>J605/90</t>
  </si>
  <si>
    <t>978-7-5642-3815-5</t>
  </si>
  <si>
    <t>中西乐论</t>
  </si>
  <si>
    <t>阮弘, 林勇</t>
  </si>
  <si>
    <t>J605/91</t>
  </si>
  <si>
    <t>978-7-5581-8466-6</t>
  </si>
  <si>
    <t>民间音乐概论与传承发展研究</t>
  </si>
  <si>
    <t>J607.2/105</t>
  </si>
  <si>
    <t>978-7-109-28357-2</t>
  </si>
  <si>
    <t>中国民间音乐文化多维视角研究</t>
  </si>
  <si>
    <t>李爽霞</t>
  </si>
  <si>
    <t>J607.2/106</t>
  </si>
  <si>
    <t>978-7-5585-3571-0</t>
  </si>
  <si>
    <t>隐藏的历史: 岭南民间音乐传承人口述史</t>
  </si>
  <si>
    <t>金世余</t>
  </si>
  <si>
    <t>北方妇女儿童出版社</t>
  </si>
  <si>
    <t>J607.2/107</t>
  </si>
  <si>
    <t>978-7-5581-8215-0</t>
  </si>
  <si>
    <t>黄河流域民歌艺术研究</t>
  </si>
  <si>
    <t>韩敏虎</t>
  </si>
  <si>
    <t>J607.2/108</t>
  </si>
  <si>
    <t>978-7-5689-2344-6</t>
  </si>
  <si>
    <t>川江号子文化根脉探寻</t>
  </si>
  <si>
    <t>聂强, 曹光裕</t>
  </si>
  <si>
    <t>J607.2/109</t>
  </si>
  <si>
    <t>978-7-5731-0241-6</t>
  </si>
  <si>
    <t>中国民族民间音乐鉴赏</t>
  </si>
  <si>
    <t>赵星</t>
  </si>
  <si>
    <t>J607.2/110</t>
  </si>
  <si>
    <t>978-7-109-26875-3</t>
  </si>
  <si>
    <t>桐柏山歌艺术探源与史料整理</t>
  </si>
  <si>
    <t>张宛艳</t>
  </si>
  <si>
    <t>J607.2/111</t>
  </si>
  <si>
    <t>978-7-5194-6061-7</t>
  </si>
  <si>
    <t>美哉! 民族音乐</t>
  </si>
  <si>
    <t>史莉莉</t>
  </si>
  <si>
    <t>J607.2/112</t>
  </si>
  <si>
    <t>978-7-5108-6145-1</t>
  </si>
  <si>
    <t>一方水土一方歌: 岭南民歌生态审美</t>
  </si>
  <si>
    <t>杨洋</t>
  </si>
  <si>
    <t>J607.2/113</t>
  </si>
  <si>
    <t>978-7-5180-6324-6</t>
  </si>
  <si>
    <t>多元化的西方音乐风格演进与审美转向</t>
  </si>
  <si>
    <t>张楠</t>
  </si>
  <si>
    <t>J609.1/65</t>
  </si>
  <si>
    <t>978-7-5622-9298-2</t>
  </si>
  <si>
    <t>我国大众音乐文化与音乐创意产业研究</t>
  </si>
  <si>
    <t>涂波</t>
  </si>
  <si>
    <t>J609.2/95</t>
  </si>
  <si>
    <t>978-7-5068-7689-6</t>
  </si>
  <si>
    <t>《乐记》精神研究</t>
  </si>
  <si>
    <t>薛永武</t>
  </si>
  <si>
    <t>J609.22/30</t>
  </si>
  <si>
    <t>978-7-103-03073-8</t>
  </si>
  <si>
    <t>中国古代音乐史简述</t>
  </si>
  <si>
    <t>刘再生</t>
  </si>
  <si>
    <t>J609.22/31=2D</t>
  </si>
  <si>
    <t>978-7-5217-2154-6</t>
  </si>
  <si>
    <t>尖叫的经典: 冰岛音乐简史</t>
  </si>
  <si>
    <t>张长晓, (冰) 古尼</t>
  </si>
  <si>
    <t>J609.5/27</t>
  </si>
  <si>
    <t>978-7-5202-0936-6</t>
  </si>
  <si>
    <t>秦汉乐论思想</t>
  </si>
  <si>
    <t>王维</t>
  </si>
  <si>
    <t>J612.1/8</t>
  </si>
  <si>
    <t>978-7-5203-8653-1</t>
  </si>
  <si>
    <t>中国古代乐论与文论关系论稿</t>
  </si>
  <si>
    <t>韩伟</t>
  </si>
  <si>
    <t>J612.1/9</t>
  </si>
  <si>
    <t>978-7-5706-1221-5</t>
  </si>
  <si>
    <t>视唱与节奏训练</t>
  </si>
  <si>
    <t>李芳</t>
  </si>
  <si>
    <t>湖北科学技术出版社</t>
  </si>
  <si>
    <t>J613.1/45</t>
  </si>
  <si>
    <t>978-7-5523-2004-6</t>
  </si>
  <si>
    <t>三声部视唱教程</t>
  </si>
  <si>
    <t>蒋维民, 周湿玉</t>
  </si>
  <si>
    <t>上海音乐出版社</t>
  </si>
  <si>
    <t>J613.1/46</t>
  </si>
  <si>
    <t>978-7-5396-6694-5</t>
  </si>
  <si>
    <t>流行音乐听觉训练</t>
  </si>
  <si>
    <t>徐欣熠</t>
  </si>
  <si>
    <t>J613.1/47</t>
  </si>
  <si>
    <t>978-7-5668-3217-7</t>
  </si>
  <si>
    <t>视唱练耳. 上册</t>
  </si>
  <si>
    <t>孙家国</t>
  </si>
  <si>
    <t>J613.1/48=3D/1</t>
  </si>
  <si>
    <t>978-7-5668-3218-4</t>
  </si>
  <si>
    <t>视唱练耳. 下册</t>
  </si>
  <si>
    <t>J613.1/48=3D/2</t>
  </si>
  <si>
    <t>978-7-5039-7071-9</t>
  </si>
  <si>
    <t>音乐剧专业视唱练耳教程</t>
  </si>
  <si>
    <t>戴劲松</t>
  </si>
  <si>
    <t>J613.1/49</t>
  </si>
  <si>
    <t>978-7-5697-0990-2</t>
  </si>
  <si>
    <t>流行音乐视唱训练教程</t>
  </si>
  <si>
    <t>孙大峰, 范宇</t>
  </si>
  <si>
    <t>J613.1/50</t>
  </si>
  <si>
    <t>978-7-5698-0275-7</t>
  </si>
  <si>
    <t>视唱练耳教学理论与实践训练</t>
  </si>
  <si>
    <t>余琳娜</t>
  </si>
  <si>
    <t>J613.1/51</t>
  </si>
  <si>
    <t>978-7-5068-7569-1</t>
  </si>
  <si>
    <t>视唱练耳教学法</t>
  </si>
  <si>
    <t>J613.1/52</t>
  </si>
  <si>
    <t>978-7-5444-9832-6</t>
  </si>
  <si>
    <t>音乐谱帖</t>
  </si>
  <si>
    <t>张晖</t>
  </si>
  <si>
    <t>J613.2/28</t>
  </si>
  <si>
    <t>978-7-103-06068-1</t>
  </si>
  <si>
    <t>学简谱 练视唱: 快速解决我们识谱和音准的需求</t>
  </si>
  <si>
    <t>雷光耀</t>
  </si>
  <si>
    <t>J613.2/29</t>
  </si>
  <si>
    <t>978-7-115-53178-0</t>
  </si>
  <si>
    <t>弹好电子琴必备的简谱知识</t>
  </si>
  <si>
    <t>杨青</t>
  </si>
  <si>
    <t>J613.2/30</t>
  </si>
  <si>
    <t>978-7-103-05549-6</t>
  </si>
  <si>
    <t>调式写作</t>
  </si>
  <si>
    <t>翟黑山</t>
  </si>
  <si>
    <t>J613.6/3</t>
  </si>
  <si>
    <t>978-7-5166-5347-0</t>
  </si>
  <si>
    <t>音乐要素分析与视唱练耳训练</t>
  </si>
  <si>
    <t>白云</t>
  </si>
  <si>
    <t>J613/67</t>
  </si>
  <si>
    <t>978-7-5130-7723-1</t>
  </si>
  <si>
    <t>沃尔特·辟斯顿弦乐四重奏和声技法研究</t>
  </si>
  <si>
    <t>张宝华</t>
  </si>
  <si>
    <t>J614.1/37</t>
  </si>
  <si>
    <t>978-7-5068-7518-9</t>
  </si>
  <si>
    <t>历史学视角下的和声理论嬗变研究</t>
  </si>
  <si>
    <t>J614.1/38</t>
  </si>
  <si>
    <t>978-7-5221-0607-6</t>
  </si>
  <si>
    <t>歌曲写作技法研究</t>
  </si>
  <si>
    <t>张盛</t>
  </si>
  <si>
    <t>J614.5/33</t>
  </si>
  <si>
    <t>978-7-5648-4100-3</t>
  </si>
  <si>
    <t>继承与创新: 谭小麟后期音乐作品的多声技法研究</t>
  </si>
  <si>
    <t>颜胤盛</t>
  </si>
  <si>
    <t>J614.5/34</t>
  </si>
  <si>
    <t>978-7-5078-4663-8</t>
  </si>
  <si>
    <t>中国钢琴音乐创作与演奏的五度关系研究</t>
  </si>
  <si>
    <t>俞婕, 王蕊君</t>
  </si>
  <si>
    <t>J614.5/35</t>
  </si>
  <si>
    <t>978-7-5610-9860-8</t>
  </si>
  <si>
    <t>歌曲写作与创编实用教程</t>
  </si>
  <si>
    <t>康华, 郭建波, 黄丽</t>
  </si>
  <si>
    <t>J614.5/36</t>
  </si>
  <si>
    <t>978-7-5190-2215-0</t>
  </si>
  <si>
    <t>作曲技术理论与应用</t>
  </si>
  <si>
    <t>朱芳</t>
  </si>
  <si>
    <t>J614.5/37</t>
  </si>
  <si>
    <t>978-7-205-10024-7</t>
  </si>
  <si>
    <t>从肖斯塔科维奇交响曲看新古典主义特征</t>
  </si>
  <si>
    <t>孙中华</t>
  </si>
  <si>
    <t>J614/17</t>
  </si>
  <si>
    <t>978-7-5068-8537-9</t>
  </si>
  <si>
    <t>打击乐与管弦乐的和鸣: 西方交响音乐艺术特征研究</t>
  </si>
  <si>
    <t>王琦</t>
  </si>
  <si>
    <t>J614/19</t>
  </si>
  <si>
    <t>978-7-5166-5299-2</t>
  </si>
  <si>
    <t>合唱指挥技巧与艺术思维探究</t>
  </si>
  <si>
    <t>J615.1/12</t>
  </si>
  <si>
    <t>978-7-5639-6943-2</t>
  </si>
  <si>
    <t>指挥的美学思维与乐队指挥训练</t>
  </si>
  <si>
    <t>刘东明</t>
  </si>
  <si>
    <t>J615/6</t>
  </si>
  <si>
    <t>978-7-5068-7557-8</t>
  </si>
  <si>
    <t>声乐演唱技能与嗓音保健</t>
  </si>
  <si>
    <t>杨彩霞</t>
  </si>
  <si>
    <t>J616.1/15</t>
  </si>
  <si>
    <t>978-7-5581-9473-3</t>
  </si>
  <si>
    <t>中国艺术歌曲的演唱处理与表现</t>
  </si>
  <si>
    <t>李琳琳</t>
  </si>
  <si>
    <t>J616.2/108</t>
  </si>
  <si>
    <t>978-7-5180-3940-1</t>
  </si>
  <si>
    <t>美声歌唱艺术理论与表现研究</t>
  </si>
  <si>
    <t>刘航</t>
  </si>
  <si>
    <t>J616.2/109</t>
  </si>
  <si>
    <t>978-7-5039-6829-7</t>
  </si>
  <si>
    <t>声乐艺术探幽: 杨曙光声乐演唱研究文集</t>
  </si>
  <si>
    <t>杨曙光</t>
  </si>
  <si>
    <t>J616.2/110</t>
  </si>
  <si>
    <t>978-7-5615-8025-7</t>
  </si>
  <si>
    <t>多声性歌唱教程</t>
  </si>
  <si>
    <t>左丽红</t>
  </si>
  <si>
    <t>J616.2/111</t>
  </si>
  <si>
    <t>978-7-5670-2066-5</t>
  </si>
  <si>
    <t>当代中国合唱艺术的多元化表现及其发展研究</t>
  </si>
  <si>
    <t>林玉坤</t>
  </si>
  <si>
    <t>J616.2/112</t>
  </si>
  <si>
    <t>978-7-5441-9718-2</t>
  </si>
  <si>
    <t>中国现代民族声乐艺术风格的演变与发展研究</t>
  </si>
  <si>
    <t>吴晚屏</t>
  </si>
  <si>
    <t>J616.2/113</t>
  </si>
  <si>
    <t>978-7-206-18298-3</t>
  </si>
  <si>
    <t>多元文化视域下的民族声乐发展研究</t>
  </si>
  <si>
    <t>樊娅娅</t>
  </si>
  <si>
    <t>J616.2/114</t>
  </si>
  <si>
    <t>978-7-5639-7084-1</t>
  </si>
  <si>
    <t>新时代背景下中国传统民族声乐传承与发展研究</t>
  </si>
  <si>
    <t>贾敏</t>
  </si>
  <si>
    <t>J616.2/115</t>
  </si>
  <si>
    <t>978-7-5575-3509-4</t>
  </si>
  <si>
    <t>新时期合唱艺术的多元化发展</t>
  </si>
  <si>
    <t>李颖</t>
  </si>
  <si>
    <t>J616.2/116</t>
  </si>
  <si>
    <t>978-7-5194-6226-0</t>
  </si>
  <si>
    <t>琳海音源: 民歌声乐研究</t>
  </si>
  <si>
    <t>柯琳</t>
  </si>
  <si>
    <t>J616.2/117</t>
  </si>
  <si>
    <t>978-7-5166-5314-2</t>
  </si>
  <si>
    <t>美声演唱技巧在音乐剧中的运用探索</t>
  </si>
  <si>
    <t>刘楠</t>
  </si>
  <si>
    <t>J616.2/118</t>
  </si>
  <si>
    <t>978-7-5639-5713-2</t>
  </si>
  <si>
    <t>美声演唱技巧训练及教学研究</t>
  </si>
  <si>
    <t>杨毅</t>
  </si>
  <si>
    <t>J616.21/5</t>
  </si>
  <si>
    <t>978-7-5581-8212-9</t>
  </si>
  <si>
    <t>西方美声唱法的演进及在中国的“本土化”发展</t>
  </si>
  <si>
    <t>肖雪</t>
  </si>
  <si>
    <t>J616.21/6</t>
  </si>
  <si>
    <t>978-7-5068-7609-4</t>
  </si>
  <si>
    <t>西洋美声唱法研究</t>
  </si>
  <si>
    <t>翟红锦, 翟乐天</t>
  </si>
  <si>
    <t>J616.21/7</t>
  </si>
  <si>
    <t>978-7-5581-9476-4</t>
  </si>
  <si>
    <t>美声唱法演唱技巧及舞台表现研究</t>
  </si>
  <si>
    <t>薛娇</t>
  </si>
  <si>
    <t>J616.21/8</t>
  </si>
  <si>
    <t>978-7-5639-6789-6</t>
  </si>
  <si>
    <t>创新视角下声乐教学艺术与方法研究</t>
  </si>
  <si>
    <t>魏慧莉</t>
  </si>
  <si>
    <t>J616/100</t>
  </si>
  <si>
    <t>978-7-5575-3489-9</t>
  </si>
  <si>
    <t>声乐教学与舞台表演</t>
  </si>
  <si>
    <t>王恒华</t>
  </si>
  <si>
    <t>J616/101</t>
  </si>
  <si>
    <t>978-7-5639-6485-7</t>
  </si>
  <si>
    <t>声乐艺术表演实践教学探索</t>
  </si>
  <si>
    <t>王伟平</t>
  </si>
  <si>
    <t>J616/102</t>
  </si>
  <si>
    <t>978-7-5575-3603-9</t>
  </si>
  <si>
    <t>中国声乐科学性与多样性实践初探</t>
  </si>
  <si>
    <t>邹昌峻</t>
  </si>
  <si>
    <t>J616/103</t>
  </si>
  <si>
    <t>978-7-5581-4430-1</t>
  </si>
  <si>
    <t>声乐教学与表演艺术</t>
  </si>
  <si>
    <t>郭蓓</t>
  </si>
  <si>
    <t>J616/104</t>
  </si>
  <si>
    <t>978-7-5639-6852-7</t>
  </si>
  <si>
    <t>高校声乐教学与音乐教育研究</t>
  </si>
  <si>
    <t>贺星</t>
  </si>
  <si>
    <t>J616/105</t>
  </si>
  <si>
    <t>978-7-5523-1693-3</t>
  </si>
  <si>
    <t>声乐曲作学. 上卷</t>
  </si>
  <si>
    <t>刘聪</t>
  </si>
  <si>
    <t>J616/106/1</t>
  </si>
  <si>
    <t>声乐曲作学. 下卷</t>
  </si>
  <si>
    <t>J616/106/2</t>
  </si>
  <si>
    <t>978-7-5682-7653-5</t>
  </si>
  <si>
    <t>声乐</t>
  </si>
  <si>
    <t>李然, 孙丽丽</t>
  </si>
  <si>
    <t>J616/36=2D</t>
  </si>
  <si>
    <t>978-7-206-16724-9</t>
  </si>
  <si>
    <t>高校声乐教学模式构建与创新研究</t>
  </si>
  <si>
    <t>王珊珊</t>
  </si>
  <si>
    <t>J616/82</t>
  </si>
  <si>
    <t>978-7-5472-8006-5</t>
  </si>
  <si>
    <t>声乐艺术表演及教学实践探索</t>
  </si>
  <si>
    <t>张磊, 崔戈, 张庆果</t>
  </si>
  <si>
    <t>J616/83</t>
  </si>
  <si>
    <t>978-7-5639-7044-5</t>
  </si>
  <si>
    <t>高校声乐教学与声乐艺术研究</t>
  </si>
  <si>
    <t>杜定然</t>
  </si>
  <si>
    <t>J616/84</t>
  </si>
  <si>
    <t>978-7-5575-5005-9</t>
  </si>
  <si>
    <t>声乐艺术发展与创新</t>
  </si>
  <si>
    <t>李文川</t>
  </si>
  <si>
    <t>J616/85</t>
  </si>
  <si>
    <t>978-7-5639-7605-8</t>
  </si>
  <si>
    <t>声乐教育教学研究</t>
  </si>
  <si>
    <t>韩立民</t>
  </si>
  <si>
    <t>J616/86</t>
  </si>
  <si>
    <t>978-7-216-10199-8</t>
  </si>
  <si>
    <t>中国古代声乐美学思想史论</t>
  </si>
  <si>
    <t>鲁勇, 金婷婷</t>
  </si>
  <si>
    <t>J616/87</t>
  </si>
  <si>
    <t>978-7-5690-1673-4</t>
  </si>
  <si>
    <t>浅析声乐艺术脉络</t>
  </si>
  <si>
    <t>王瑛</t>
  </si>
  <si>
    <t>J616/88</t>
  </si>
  <si>
    <t>978-7-5534-3860-3</t>
  </si>
  <si>
    <t>音乐声乐艺术与声乐教学</t>
  </si>
  <si>
    <t>王钧平</t>
  </si>
  <si>
    <t>J616/89</t>
  </si>
  <si>
    <t>978-7-5639-7053-7</t>
  </si>
  <si>
    <t>普通高校音乐表演专业声乐教学改革创新研究</t>
  </si>
  <si>
    <t>刘洁</t>
  </si>
  <si>
    <t>J616/90</t>
  </si>
  <si>
    <t>978-7-5534-6129-8</t>
  </si>
  <si>
    <t>声乐教学理论与核心技能训练研究</t>
  </si>
  <si>
    <t>张丹</t>
  </si>
  <si>
    <t>J616/91</t>
  </si>
  <si>
    <t>978-7-5180-9217-8</t>
  </si>
  <si>
    <t>声乐教学艺术与表演实践研究</t>
  </si>
  <si>
    <t>杨小高</t>
  </si>
  <si>
    <t>J616/92</t>
  </si>
  <si>
    <t>978-7-5489-4441-6</t>
  </si>
  <si>
    <t>高校声乐教学之艺术研究</t>
  </si>
  <si>
    <t>沈洁</t>
  </si>
  <si>
    <t>J616/93</t>
  </si>
  <si>
    <t>978-7-5639-7009-4</t>
  </si>
  <si>
    <t>新时期高校声乐教学与音乐教育研究</t>
  </si>
  <si>
    <t>赵艳玲, 崔哲豪, 孙新宇</t>
  </si>
  <si>
    <t>J616/94</t>
  </si>
  <si>
    <t>978-7-5639-7243-2</t>
  </si>
  <si>
    <t>高校声乐教学改革与策略研究</t>
  </si>
  <si>
    <t>谌佳</t>
  </si>
  <si>
    <t>J616/95</t>
  </si>
  <si>
    <t>978-7-5575-4264-1</t>
  </si>
  <si>
    <t>新形势下的声乐教学艺术研究</t>
  </si>
  <si>
    <t>孙庆伟</t>
  </si>
  <si>
    <t>J616/96</t>
  </si>
  <si>
    <t>978-7-5639-6844-2</t>
  </si>
  <si>
    <t>高校声乐教学民族化探索</t>
  </si>
  <si>
    <t>林梅</t>
  </si>
  <si>
    <t>J616/97</t>
  </si>
  <si>
    <t>978-7-5166-5485-9</t>
  </si>
  <si>
    <t>声乐艺术理论及其舞台魅力表现</t>
  </si>
  <si>
    <t>张文文</t>
  </si>
  <si>
    <t>J616/98</t>
  </si>
  <si>
    <t>978-7-5575-3508-7</t>
  </si>
  <si>
    <t>声乐教育与审美能力的培养</t>
  </si>
  <si>
    <t>彭雅洁</t>
  </si>
  <si>
    <t>J616/99</t>
  </si>
  <si>
    <t>978-7-5697-0203-3</t>
  </si>
  <si>
    <t>二十世纪歌剧的反讽诗学: 斯特拉文斯基的《浪子历程》</t>
  </si>
  <si>
    <t>朱依依</t>
  </si>
  <si>
    <t>J617.2/9</t>
  </si>
  <si>
    <t>978-7-5396-6618-1</t>
  </si>
  <si>
    <t>戏曲曲艺唱念</t>
  </si>
  <si>
    <t>杨春, 戎龚停</t>
  </si>
  <si>
    <t>J617/7</t>
  </si>
  <si>
    <t>978-7-5639-7223-4</t>
  </si>
  <si>
    <t>器乐演奏技巧与教学</t>
  </si>
  <si>
    <t>梁莹, 王茹, 逯凯</t>
  </si>
  <si>
    <t>J62/15</t>
  </si>
  <si>
    <t>978-7-5639-7205-0</t>
  </si>
  <si>
    <t>多媒体技术在乐器演奏教学中的应用</t>
  </si>
  <si>
    <t>徐晓</t>
  </si>
  <si>
    <t>J62/16</t>
  </si>
  <si>
    <t>978-7-5039-6846-4</t>
  </si>
  <si>
    <t>即兴演奏溯源与流变</t>
  </si>
  <si>
    <t>郭兰兰</t>
  </si>
  <si>
    <t>J62/17</t>
  </si>
  <si>
    <t>978-7-5581-0284-4</t>
  </si>
  <si>
    <t>管弦乐编配训练与应用研究</t>
  </si>
  <si>
    <t>李阳</t>
  </si>
  <si>
    <t>J62/18</t>
  </si>
  <si>
    <t>978-7-5578-5497-3</t>
  </si>
  <si>
    <t>西洋乐器演奏与编配技法研究</t>
  </si>
  <si>
    <t>王鸣娜, 来雯, 苏娅塔娜</t>
  </si>
  <si>
    <t>J620.6/4</t>
  </si>
  <si>
    <t>978-7-206-18472-7</t>
  </si>
  <si>
    <t>西洋管乐教学及演奏理论研究</t>
  </si>
  <si>
    <t>靳启亮</t>
  </si>
  <si>
    <t>J621.06/6</t>
  </si>
  <si>
    <t>978-7-5108-9518-0</t>
  </si>
  <si>
    <t>长笛艺术发展脉络与舞台表演研究</t>
  </si>
  <si>
    <t>J621.16/10</t>
  </si>
  <si>
    <t>978-7-5692-6726-6</t>
  </si>
  <si>
    <t>长笛艺术与舞台表演新探</t>
  </si>
  <si>
    <t>斯琴</t>
  </si>
  <si>
    <t>J621.16/11</t>
  </si>
  <si>
    <t>978-7-5523-2121-0</t>
  </si>
  <si>
    <t>交响乐长笛困难片段演奏教程. 1: 钢琴伴奏谱</t>
  </si>
  <si>
    <t>何靖</t>
  </si>
  <si>
    <t>J621.16/12/1</t>
  </si>
  <si>
    <t>交响乐长笛困难片段演奏教程. 2: 长笛谱</t>
  </si>
  <si>
    <t>J621.16/12/2</t>
  </si>
  <si>
    <t>978-7-5523-2059-6</t>
  </si>
  <si>
    <t>考级无忧. 一级. 长笛</t>
  </si>
  <si>
    <t>萨利·亚当斯</t>
  </si>
  <si>
    <t>J621.16/13/1:1</t>
  </si>
  <si>
    <t>考级无忧. 二级. 长笛</t>
  </si>
  <si>
    <t>J621.16/13/1:2</t>
  </si>
  <si>
    <t>考级无忧. 三级. 长笛</t>
  </si>
  <si>
    <t>J621.16/13/1:3</t>
  </si>
  <si>
    <t>考级无忧. 四级. 长笛</t>
  </si>
  <si>
    <t>J621.16/13/1:4</t>
  </si>
  <si>
    <t>考级无忧. 五级. 长笛</t>
  </si>
  <si>
    <t>J621.16/13/1:5</t>
  </si>
  <si>
    <t>978-7-5523-2061-9</t>
  </si>
  <si>
    <t>考级无忧. 一级. 钢琴</t>
  </si>
  <si>
    <t>安东尼·威廉姆斯</t>
  </si>
  <si>
    <t>J621.16/13/2:1</t>
  </si>
  <si>
    <t>考级无忧. 二级. 钢琴</t>
  </si>
  <si>
    <t>J621.16/13/2:2</t>
  </si>
  <si>
    <t>考级无忧. 三级. 钢琴</t>
  </si>
  <si>
    <t>J621.16/13/2:3</t>
  </si>
  <si>
    <t>考级无忧. 四级. 钢琴</t>
  </si>
  <si>
    <t>J621.16/13/2:4</t>
  </si>
  <si>
    <t>考级无忧. 五级. 钢琴</t>
  </si>
  <si>
    <t>J621.16/13/2:5</t>
  </si>
  <si>
    <t>978-7-5523-2060-2</t>
  </si>
  <si>
    <t>考级无忧. 一级. 单簧管</t>
  </si>
  <si>
    <t>保罗·哈里斯</t>
  </si>
  <si>
    <t>J621.16/13/3:1</t>
  </si>
  <si>
    <t>考级无忧. 二级. 单簧管</t>
  </si>
  <si>
    <t>J621.16/13/3:2</t>
  </si>
  <si>
    <t>考级无忧. 三级. 单簧管</t>
  </si>
  <si>
    <t>J621.16/13/3:3</t>
  </si>
  <si>
    <t>考级无忧. 四级. 单簧管</t>
  </si>
  <si>
    <t>J621.16/13/3:4</t>
  </si>
  <si>
    <t>考级无忧. 五级. 单簧管</t>
  </si>
  <si>
    <t>J621.16/13/3:5</t>
  </si>
  <si>
    <t>J621.16/13-2/1:1</t>
  </si>
  <si>
    <t>J621.16/13-2/1:2</t>
  </si>
  <si>
    <t>J621.16/13-2/1:3</t>
  </si>
  <si>
    <t>J621.16/13-2/1:4</t>
  </si>
  <si>
    <t>J621.16/13-2/1:5</t>
  </si>
  <si>
    <t>J621.16/13-2/3:1</t>
  </si>
  <si>
    <t>J621.16/13-2/3:2</t>
  </si>
  <si>
    <t>J621.16/13-2/3:3</t>
  </si>
  <si>
    <t>J621.16/13-2/3:4</t>
  </si>
  <si>
    <t>J621.16/13-2/3:5</t>
  </si>
  <si>
    <t>978-7-5396-6980-9</t>
  </si>
  <si>
    <t>轻松学竖笛</t>
  </si>
  <si>
    <t>戴书福</t>
  </si>
  <si>
    <t>J621.16/14</t>
  </si>
  <si>
    <t>978-7-5108-9306-3</t>
  </si>
  <si>
    <t>单簧管演奏教学研究</t>
  </si>
  <si>
    <t>郭蒋帅</t>
  </si>
  <si>
    <t>J621.46/8</t>
  </si>
  <si>
    <t>978-7-5692-7531-5</t>
  </si>
  <si>
    <t>小提琴演奏与教学研究</t>
  </si>
  <si>
    <t>孙文怡</t>
  </si>
  <si>
    <t>J622.16/36</t>
  </si>
  <si>
    <t>978-7-5598-4467-5</t>
  </si>
  <si>
    <t>小提琴音阶技能训练基础教程</t>
  </si>
  <si>
    <t>金鑫</t>
  </si>
  <si>
    <t>J622.16/37</t>
  </si>
  <si>
    <t>978-7-5672-2452-0</t>
  </si>
  <si>
    <t>10本小提琴练习曲与随想曲分课解析</t>
  </si>
  <si>
    <t>梁訢</t>
  </si>
  <si>
    <t>J622.16/38</t>
  </si>
  <si>
    <t>978-7-5523-2100-5</t>
  </si>
  <si>
    <t>大提琴基础训练教程配套曲集. 1</t>
  </si>
  <si>
    <t>加布里尔·克彭</t>
  </si>
  <si>
    <t>J622.36/4/1</t>
  </si>
  <si>
    <t>978-7-5523-2102-9</t>
  </si>
  <si>
    <t>大提琴基础训练教程配套曲集. 2</t>
  </si>
  <si>
    <t>J622.36/4/2</t>
  </si>
  <si>
    <t>J622.36/4-2/1</t>
  </si>
  <si>
    <t>J622.36/4-2/2</t>
  </si>
  <si>
    <t>978-7-5166-5419-4</t>
  </si>
  <si>
    <t>低音提琴演奏中基础训练重要性分析</t>
  </si>
  <si>
    <t>兰绍彤</t>
  </si>
  <si>
    <t>J622/7</t>
  </si>
  <si>
    <t>978-7-5068-8132-6</t>
  </si>
  <si>
    <t>低音提琴在中西方乐队中的发展与应用</t>
  </si>
  <si>
    <t>杨智皓</t>
  </si>
  <si>
    <t>J622/8</t>
  </si>
  <si>
    <t>978-7-5639-7586-0</t>
  </si>
  <si>
    <t>从巴洛克到20世纪: 西方小提琴音乐发展史概览</t>
  </si>
  <si>
    <t>刘佳鑫</t>
  </si>
  <si>
    <t>J622/9</t>
  </si>
  <si>
    <t>978-7-5727-0116-0</t>
  </si>
  <si>
    <t>民谣吉他</t>
  </si>
  <si>
    <t>四川省艺术研究院社会艺术水平 (音乐) 考级教材委会</t>
  </si>
  <si>
    <t>四川科学技术出版社</t>
  </si>
  <si>
    <t>J623.26/117</t>
  </si>
  <si>
    <t>978-7-5699-4019-0</t>
  </si>
  <si>
    <t>从零起步学吉他</t>
  </si>
  <si>
    <t>王铮</t>
  </si>
  <si>
    <t>J623.26/118</t>
  </si>
  <si>
    <t>978-7-5039-6901-0</t>
  </si>
  <si>
    <t>巴洛克键盘音乐演奏传统</t>
  </si>
  <si>
    <t>朱迪, (美) 林乐诗</t>
  </si>
  <si>
    <t>J624.06/4</t>
  </si>
  <si>
    <t>978-7-5670-2996-5</t>
  </si>
  <si>
    <t>钢琴艺术理论与文化解读</t>
  </si>
  <si>
    <t>陈伟</t>
  </si>
  <si>
    <t>J624.1/40</t>
  </si>
  <si>
    <t>978-7-5575-3601-5</t>
  </si>
  <si>
    <t>中国钢琴音乐作品创作艺术</t>
  </si>
  <si>
    <t>皮坚</t>
  </si>
  <si>
    <t>J624.1/41</t>
  </si>
  <si>
    <t>978-7-5575-3541-4</t>
  </si>
  <si>
    <t>钢琴音乐多维度研究</t>
  </si>
  <si>
    <t>史小曼</t>
  </si>
  <si>
    <t>J624.1/42</t>
  </si>
  <si>
    <t>978-7-5575-4452-2</t>
  </si>
  <si>
    <t>钢琴音乐文化与艺术欣赏</t>
  </si>
  <si>
    <t>郑茜</t>
  </si>
  <si>
    <t>J624.1/43</t>
  </si>
  <si>
    <t>978-7-5180-8934-5</t>
  </si>
  <si>
    <t>形成·传承·弘扬: 中国钢琴艺术的发展探索</t>
  </si>
  <si>
    <t>雷蕾</t>
  </si>
  <si>
    <t>J624.1/44</t>
  </si>
  <si>
    <t>978-7-104-05143-5</t>
  </si>
  <si>
    <t>中国钢琴音乐的艺术思维研究</t>
  </si>
  <si>
    <t>于海明</t>
  </si>
  <si>
    <t>J624.1/45</t>
  </si>
  <si>
    <t>978-7-5078-4535-8</t>
  </si>
  <si>
    <t>钢琴伴奏与声乐艺术的欣赏研究</t>
  </si>
  <si>
    <t>J624.16/266</t>
  </si>
  <si>
    <t>978-7-5639-6930-2</t>
  </si>
  <si>
    <t>新形势下的钢琴艺术表演与教学研究</t>
  </si>
  <si>
    <t>陆平</t>
  </si>
  <si>
    <t>J624.16/267</t>
  </si>
  <si>
    <t>978-7-5639-7103-9</t>
  </si>
  <si>
    <t>钢琴演奏教学及其心理视角解读</t>
  </si>
  <si>
    <t>扣蕊</t>
  </si>
  <si>
    <t>J624.16/268</t>
  </si>
  <si>
    <t>978-7-5639-6993-7</t>
  </si>
  <si>
    <t>钢琴伴奏与教学研究</t>
  </si>
  <si>
    <t>孙英</t>
  </si>
  <si>
    <t>J624.16/269</t>
  </si>
  <si>
    <t>978-7-5575-5699-0</t>
  </si>
  <si>
    <t>钢琴演奏艺术理论与教学实践</t>
  </si>
  <si>
    <t>凌芷</t>
  </si>
  <si>
    <t>J624.16/270</t>
  </si>
  <si>
    <t>978-7-5639-6595-3</t>
  </si>
  <si>
    <t>对话教学理念下的钢琴教育理论与实践研究</t>
  </si>
  <si>
    <t>J624.16/271</t>
  </si>
  <si>
    <t>978-7-5639-7206-7</t>
  </si>
  <si>
    <t>高校钢琴艺术与实践教学研究</t>
  </si>
  <si>
    <t>石悦, 童雪</t>
  </si>
  <si>
    <t>J624.16/272</t>
  </si>
  <si>
    <t>978-7-5575-4339-6</t>
  </si>
  <si>
    <t>钢琴艺术发展与研究</t>
  </si>
  <si>
    <t>唐庆</t>
  </si>
  <si>
    <t>J624.16/273</t>
  </si>
  <si>
    <t>978-7-5575-4957-2</t>
  </si>
  <si>
    <t>指尖的艺术: 现代钢琴演奏新论</t>
  </si>
  <si>
    <t>钱红</t>
  </si>
  <si>
    <t>J624.16/274</t>
  </si>
  <si>
    <t>978-7-5639-7018-6</t>
  </si>
  <si>
    <t>钢琴演奏技巧与音乐表达研究</t>
  </si>
  <si>
    <t>章馨方</t>
  </si>
  <si>
    <t>J624.16/275</t>
  </si>
  <si>
    <t>978-7-5464-2717-1</t>
  </si>
  <si>
    <t>中西方钢琴教学的历史回顾与解析</t>
  </si>
  <si>
    <t>成都时代出版社</t>
  </si>
  <si>
    <t>J624.16/276</t>
  </si>
  <si>
    <t>978-7-103-06078-0</t>
  </si>
  <si>
    <t>高师钢琴即兴伴奏入门新编</t>
  </si>
  <si>
    <t>郑方, 肖端</t>
  </si>
  <si>
    <t>J624.16/277</t>
  </si>
  <si>
    <t>978-7-5672-3206-8</t>
  </si>
  <si>
    <t>钢琴即兴伴奏的理论与实践</t>
  </si>
  <si>
    <t>倪高峰</t>
  </si>
  <si>
    <t>J624.16/278</t>
  </si>
  <si>
    <t>978-7-5143-9260-9</t>
  </si>
  <si>
    <t>哈农钢琴练指法</t>
  </si>
  <si>
    <t>刘洋</t>
  </si>
  <si>
    <t>J624.16/279</t>
  </si>
  <si>
    <t>978-7-5396-7070-6</t>
  </si>
  <si>
    <t>拜厄钢琴基本教程: 视频讲解 精注版</t>
  </si>
  <si>
    <t>(德) 拜厄</t>
  </si>
  <si>
    <t>J624.16/280</t>
  </si>
  <si>
    <t>978-7-5697-0147-0</t>
  </si>
  <si>
    <t>拜厄钢琴基本教程</t>
  </si>
  <si>
    <t>张性魁, 罗雪艳</t>
  </si>
  <si>
    <t>J624.16/280-2</t>
  </si>
  <si>
    <t>978-7-5068-7519-6</t>
  </si>
  <si>
    <t>钢琴演奏技法的发展演变与艺术表现</t>
  </si>
  <si>
    <t>许晶晶</t>
  </si>
  <si>
    <t>J624.16/281</t>
  </si>
  <si>
    <t>978-7-5108-9405-3</t>
  </si>
  <si>
    <t>歌曲与钢琴伴奏实践研究</t>
  </si>
  <si>
    <t>闫妍</t>
  </si>
  <si>
    <t>J624.16/282</t>
  </si>
  <si>
    <t>978-7-5684-1651-1</t>
  </si>
  <si>
    <t>钢琴</t>
  </si>
  <si>
    <t>苏鹏, 黄琳娜, 贾蕾</t>
  </si>
  <si>
    <t>J624.16/283</t>
  </si>
  <si>
    <t>978-7-5639-6970-8</t>
  </si>
  <si>
    <t>钢琴教学与舞台表演研究</t>
  </si>
  <si>
    <t>张潇潇</t>
  </si>
  <si>
    <t>J624.16/284</t>
  </si>
  <si>
    <t>978-7-5113-8432-4</t>
  </si>
  <si>
    <t>钢琴演奏与艺术创新研究</t>
  </si>
  <si>
    <t>孙华蕾, 邱果, 罗丽媛</t>
  </si>
  <si>
    <t>J624.16/285</t>
  </si>
  <si>
    <t>978-7-5692-6306-0</t>
  </si>
  <si>
    <t>网络视角下钢琴集体教学模式的研究</t>
  </si>
  <si>
    <t>吴继彬</t>
  </si>
  <si>
    <t>J624.16/286</t>
  </si>
  <si>
    <t>978-7-5575-3279-6</t>
  </si>
  <si>
    <t>钢琴即兴伴奏能力培养和训练</t>
  </si>
  <si>
    <t>姚礼</t>
  </si>
  <si>
    <t>J624.16/287</t>
  </si>
  <si>
    <t>978-7-5180-4633-1</t>
  </si>
  <si>
    <t>钢琴演奏艺术理论与教学实践探究</t>
  </si>
  <si>
    <t>周韵</t>
  </si>
  <si>
    <t>J624.16/288</t>
  </si>
  <si>
    <t>978-7-5108-8339-2</t>
  </si>
  <si>
    <t>在琴键上漫舞: 钢琴演奏与教学实践</t>
  </si>
  <si>
    <t>印亭蓉, 胥娟</t>
  </si>
  <si>
    <t>J624.16/289</t>
  </si>
  <si>
    <t>978-7-5068-7517-2</t>
  </si>
  <si>
    <t>高师钢琴教育的多元化探索与实践</t>
  </si>
  <si>
    <t>王毓</t>
  </si>
  <si>
    <t>J624.16/290</t>
  </si>
  <si>
    <t>978-7-206-18091-0</t>
  </si>
  <si>
    <t>现代钢琴演奏技巧与表现力研究</t>
  </si>
  <si>
    <t>王春峰</t>
  </si>
  <si>
    <t>J624.16/291</t>
  </si>
  <si>
    <t>978-7-5581-7523-0</t>
  </si>
  <si>
    <t>钢琴演奏技巧与艺术素养培养研究</t>
  </si>
  <si>
    <t>李楠</t>
  </si>
  <si>
    <t>J624.16/292</t>
  </si>
  <si>
    <t>978-7-5575-5715-7</t>
  </si>
  <si>
    <t>钢琴艺术指导与器乐演奏</t>
  </si>
  <si>
    <t>徐斐斐</t>
  </si>
  <si>
    <t>J624.16/293</t>
  </si>
  <si>
    <t>978-7-5639-7587-7</t>
  </si>
  <si>
    <t>钢琴演奏技术与技巧训练研究</t>
  </si>
  <si>
    <t>李靓</t>
  </si>
  <si>
    <t>J624.16/294</t>
  </si>
  <si>
    <t>978-7-5639-7110-7</t>
  </si>
  <si>
    <t>多维视角下的钢琴教学与技法研究</t>
  </si>
  <si>
    <t>王光启</t>
  </si>
  <si>
    <t>J624.16/295</t>
  </si>
  <si>
    <t>978-7-5639-6796-4</t>
  </si>
  <si>
    <t>新时期钢琴教育教学与实践问题思考</t>
  </si>
  <si>
    <t>朱璐</t>
  </si>
  <si>
    <t>J624.16/296</t>
  </si>
  <si>
    <t>978-7-5639-7430-6</t>
  </si>
  <si>
    <t>钢琴作品的演奏与教学研究</t>
  </si>
  <si>
    <t>商蕤</t>
  </si>
  <si>
    <t>J624.16/297</t>
  </si>
  <si>
    <t>978-7-5639-7746-8</t>
  </si>
  <si>
    <t>钢琴教学思维与艺术</t>
  </si>
  <si>
    <t>宋一</t>
  </si>
  <si>
    <t>J624.16/298</t>
  </si>
  <si>
    <t>978-7-5489-4078-4</t>
  </si>
  <si>
    <t>钢琴表演艺术及其实践</t>
  </si>
  <si>
    <t>杨旭, 李桂璟</t>
  </si>
  <si>
    <t>J624.16/299</t>
  </si>
  <si>
    <t>978-7-5200-0509-8</t>
  </si>
  <si>
    <t>钢琴教学的体系与发展研究</t>
  </si>
  <si>
    <t>熊茵</t>
  </si>
  <si>
    <t>中国大地出版社</t>
  </si>
  <si>
    <t>J624.16/300</t>
  </si>
  <si>
    <t>978-7-5575-4949-7</t>
  </si>
  <si>
    <t>钢琴教学与演奏</t>
  </si>
  <si>
    <t>苏薇</t>
  </si>
  <si>
    <t>J624.16/301</t>
  </si>
  <si>
    <t>978-7-5575-3549-0</t>
  </si>
  <si>
    <t>钢琴演奏与舞台表演</t>
  </si>
  <si>
    <t>林溪中</t>
  </si>
  <si>
    <t>J624.16/302</t>
  </si>
  <si>
    <t>978-7-5575-4874-2</t>
  </si>
  <si>
    <t>中国传统元素在钢琴演奏与教学中的发展与创新</t>
  </si>
  <si>
    <t>林林</t>
  </si>
  <si>
    <t>J624.16/303</t>
  </si>
  <si>
    <t>978-7-5575-4932-9</t>
  </si>
  <si>
    <t>现代钢琴艺术指导与器乐的融合发展</t>
  </si>
  <si>
    <t>张钟文</t>
  </si>
  <si>
    <t>J624.16/304</t>
  </si>
  <si>
    <t>978-7-5581-6636-5</t>
  </si>
  <si>
    <t>钢琴演奏技术与风格研究</t>
  </si>
  <si>
    <t>任瑞</t>
  </si>
  <si>
    <t>J624.16/305</t>
  </si>
  <si>
    <t>978-7-5068-7804-3</t>
  </si>
  <si>
    <t>论钢琴演奏的触键</t>
  </si>
  <si>
    <t>丁好</t>
  </si>
  <si>
    <t>J624.16/306</t>
  </si>
  <si>
    <t>978-7-5639-7547-1</t>
  </si>
  <si>
    <t>钢琴伴奏与中国舞蹈艺术融合研究</t>
  </si>
  <si>
    <t>张雅青</t>
  </si>
  <si>
    <t>J624.16/307</t>
  </si>
  <si>
    <t>978-7-5166-5238-1</t>
  </si>
  <si>
    <t>现代钢琴艺术指导理论与实践探索</t>
  </si>
  <si>
    <t>王琛琛</t>
  </si>
  <si>
    <t>J624.16/308</t>
  </si>
  <si>
    <t>978-7-5581-9475-7</t>
  </si>
  <si>
    <t>钢琴演奏的肢体语言与表现力研究</t>
  </si>
  <si>
    <t>温婧, 和海霞</t>
  </si>
  <si>
    <t>J624.16/309</t>
  </si>
  <si>
    <t>978-7-5166-4878-0</t>
  </si>
  <si>
    <t>钢琴伴奏键盘和声与音型法</t>
  </si>
  <si>
    <t>谢世超</t>
  </si>
  <si>
    <t>J624.16/310</t>
  </si>
  <si>
    <t>978-7-5360-9382-9</t>
  </si>
  <si>
    <t>约翰·汤普森简易钢琴教程. 1</t>
  </si>
  <si>
    <t>花城音乐工作室订</t>
  </si>
  <si>
    <t>J624.16/311/1</t>
  </si>
  <si>
    <t>978-7-5360-9383-6</t>
  </si>
  <si>
    <t>约翰·汤普森简易钢琴教程. 2</t>
  </si>
  <si>
    <t>J624.16/311/2</t>
  </si>
  <si>
    <t>978-7-5360-9384-3</t>
  </si>
  <si>
    <t>约翰·汤普森简易钢琴教程. 3</t>
  </si>
  <si>
    <t>J624.16/311/3</t>
  </si>
  <si>
    <t>978-7-5396-7016-4</t>
  </si>
  <si>
    <t>哈农钢琴练指法: 视频讲解 精注版</t>
  </si>
  <si>
    <t>(法) 哈农</t>
  </si>
  <si>
    <t>J624.16/39-3</t>
  </si>
  <si>
    <t>978-7-5581-9299-9</t>
  </si>
  <si>
    <t>西方经典钢琴作品解读与诠释</t>
  </si>
  <si>
    <t>庞博</t>
  </si>
  <si>
    <t>J624.17/17</t>
  </si>
  <si>
    <t>978-7-5444-9842-5</t>
  </si>
  <si>
    <t>借题集: 《贝多芬钢琴奏鸣曲》研究六题</t>
  </si>
  <si>
    <t>邹彦</t>
  </si>
  <si>
    <t>J624.17/18</t>
  </si>
  <si>
    <t>978-7-5727-0112-2</t>
  </si>
  <si>
    <t>架子鼓: 1-7级</t>
  </si>
  <si>
    <t>J625.96/22/1</t>
  </si>
  <si>
    <t>架子鼓: 8-10级</t>
  </si>
  <si>
    <t>J625.96/22/2</t>
  </si>
  <si>
    <t>978-7-5670-2860-9</t>
  </si>
  <si>
    <t>纽比特音乐爵士鼓系统教材</t>
  </si>
  <si>
    <t>崔石光</t>
  </si>
  <si>
    <t>J625.96/23</t>
  </si>
  <si>
    <t>978-7-5396-7106-2</t>
  </si>
  <si>
    <t>爵士鼓基础教程</t>
  </si>
  <si>
    <t>韩先富</t>
  </si>
  <si>
    <t>J625.96/24</t>
  </si>
  <si>
    <t>978-7-5208-0715-9</t>
  </si>
  <si>
    <t>室内乐发展与教育研究</t>
  </si>
  <si>
    <t>冯巧婷</t>
  </si>
  <si>
    <t>J627.0/3</t>
  </si>
  <si>
    <t>978-7-5103-2675-2</t>
  </si>
  <si>
    <t>伽利娜·乌斯特沃尔斯卡娅五部交响曲研究</t>
  </si>
  <si>
    <t>徐玲</t>
  </si>
  <si>
    <t>J627.7/12=2D</t>
  </si>
  <si>
    <t>978-7-5523-1828-9</t>
  </si>
  <si>
    <t>雅马哈管乐队训练教程: 教学指南</t>
  </si>
  <si>
    <t>J627/22</t>
  </si>
  <si>
    <t>978-7-5581-8415-4</t>
  </si>
  <si>
    <t>电子管风琴演奏之道</t>
  </si>
  <si>
    <t>王欧林</t>
  </si>
  <si>
    <t>J628.16/21</t>
  </si>
  <si>
    <t>978-7-5167-4654-7</t>
  </si>
  <si>
    <t>竹笛入门教程</t>
  </si>
  <si>
    <t>王溪</t>
  </si>
  <si>
    <t>J632.116/13</t>
  </si>
  <si>
    <t>978-7-5692-6803-4</t>
  </si>
  <si>
    <t>笙音乐表演艺术品级次第研究</t>
  </si>
  <si>
    <t>熊学峰</t>
  </si>
  <si>
    <t>J632.12/2</t>
  </si>
  <si>
    <t>978-7-5639-7105-3</t>
  </si>
  <si>
    <t>笙乐器的发展与应用研究</t>
  </si>
  <si>
    <t>田野</t>
  </si>
  <si>
    <t>J632.12/3</t>
  </si>
  <si>
    <t>978-7-5180-8933-8</t>
  </si>
  <si>
    <t>中国笙演奏艺术与乐队应用研究</t>
  </si>
  <si>
    <t>曹可欣</t>
  </si>
  <si>
    <t>J632.126/2</t>
  </si>
  <si>
    <t>978-7-5534-6128-1</t>
  </si>
  <si>
    <t>二胡演奏艺术与流派风格探析</t>
  </si>
  <si>
    <t>张蕊蕊</t>
  </si>
  <si>
    <t>J632.216/28</t>
  </si>
  <si>
    <t>978-7-5047-7489-7</t>
  </si>
  <si>
    <t>二胡演奏之技</t>
  </si>
  <si>
    <t>赵寒阳</t>
  </si>
  <si>
    <t>J632.216/29</t>
  </si>
  <si>
    <t>978-7-5575-5132-2</t>
  </si>
  <si>
    <t>二胡演奏与教学研究</t>
  </si>
  <si>
    <t>霍永康</t>
  </si>
  <si>
    <t>J632.216/30</t>
  </si>
  <si>
    <t>978-7-5671-3785-1</t>
  </si>
  <si>
    <t>开源·溯流·繁衍: 汉唐时期弹拨类乐器的历史与流变述论</t>
  </si>
  <si>
    <t>张晓东</t>
  </si>
  <si>
    <t>J632.3/11</t>
  </si>
  <si>
    <t>978-7-101-15129-9</t>
  </si>
  <si>
    <t>溪山琴况 琴声十六法</t>
  </si>
  <si>
    <t>徐樑, 陈忱</t>
  </si>
  <si>
    <t>中华书局</t>
  </si>
  <si>
    <t>J632.31/19</t>
  </si>
  <si>
    <t>978-7-5396-5552-9</t>
  </si>
  <si>
    <t>实用古筝演奏教程</t>
  </si>
  <si>
    <t>杨红</t>
  </si>
  <si>
    <t>J632.32/10</t>
  </si>
  <si>
    <t>978-7-5639-6910-4</t>
  </si>
  <si>
    <t>古筝文化与指序练习之法</t>
  </si>
  <si>
    <t>白娟, 于红岩</t>
  </si>
  <si>
    <t>J632.32/11</t>
  </si>
  <si>
    <t>978-7-5534-7341-3</t>
  </si>
  <si>
    <t>古筝演奏技法与当代艺术创新实践</t>
  </si>
  <si>
    <t>赵鲁琴</t>
  </si>
  <si>
    <t>J632.326/28</t>
  </si>
  <si>
    <t>978-7-5670-2942-2</t>
  </si>
  <si>
    <t>大数据语境下琵琶艺术的发展与探索</t>
  </si>
  <si>
    <t>王琛</t>
  </si>
  <si>
    <t>J632.33/3</t>
  </si>
  <si>
    <t>978-7-5709-0949-0</t>
  </si>
  <si>
    <t>当代扬琴教学研究</t>
  </si>
  <si>
    <t>J632.516/7</t>
  </si>
  <si>
    <t>978-7-5143-9262-3</t>
  </si>
  <si>
    <t>流行非洲鼓快速入门与提高</t>
  </si>
  <si>
    <t>J632.526/2</t>
  </si>
  <si>
    <t>978-7-5180-6568-4</t>
  </si>
  <si>
    <t>琴史</t>
  </si>
  <si>
    <t>(宋) 朱长文</t>
  </si>
  <si>
    <t>J632/27-3</t>
  </si>
  <si>
    <t>978-7-5690-2808-9</t>
  </si>
  <si>
    <t>新课程理念下的基础器乐教与学探究</t>
  </si>
  <si>
    <t>崔长勇</t>
  </si>
  <si>
    <t>J632/41</t>
  </si>
  <si>
    <t>978-7-5462-3193-8</t>
  </si>
  <si>
    <t>中华三原调排箫基础教程: 固定唱名法简谱版</t>
  </si>
  <si>
    <t>J632/42</t>
  </si>
  <si>
    <t>978-7-5639-7744-4</t>
  </si>
  <si>
    <t>高校音乐人才培养模式创新与实践</t>
  </si>
  <si>
    <t>刘美麟</t>
  </si>
  <si>
    <t>J6-4/23</t>
  </si>
  <si>
    <t>978-7-5208-1753-0</t>
  </si>
  <si>
    <t>音乐教育概论</t>
  </si>
  <si>
    <t>赵晓明</t>
  </si>
  <si>
    <t>J6-4/24</t>
  </si>
  <si>
    <t>978-7-5117-3786-1</t>
  </si>
  <si>
    <t>音乐教育理论与科研方法</t>
  </si>
  <si>
    <t>马津, 马东风</t>
  </si>
  <si>
    <t>J6-4/25</t>
  </si>
  <si>
    <t>978-7-5672-3309-6</t>
  </si>
  <si>
    <t>陈田鹤音乐作品全集: 器乐卷</t>
  </si>
  <si>
    <t>蒲方</t>
  </si>
  <si>
    <t>J641/18/1</t>
  </si>
  <si>
    <t>978-7-5672-3304-1</t>
  </si>
  <si>
    <t>陈田鹤音乐作品全集: 歌剧卷</t>
  </si>
  <si>
    <t>J641/18/2</t>
  </si>
  <si>
    <t>978-7-5671-3402-7</t>
  </si>
  <si>
    <t>电影中的时代曲与救亡歌: 左翼电影歌曲经典赏析</t>
  </si>
  <si>
    <t>王思思</t>
  </si>
  <si>
    <t>J642.4/2</t>
  </si>
  <si>
    <t>978-7-5130-7149-9</t>
  </si>
  <si>
    <t>唱响: 中国合唱新作品集</t>
  </si>
  <si>
    <t>王金峰</t>
  </si>
  <si>
    <t>J642.53/18</t>
  </si>
  <si>
    <t>978-7-5190-4022-2</t>
  </si>
  <si>
    <t>采桑子合唱作品选</t>
  </si>
  <si>
    <t>华敏, 康和</t>
  </si>
  <si>
    <t>J642.53/19</t>
  </si>
  <si>
    <t>978-7-5039-6682-8</t>
  </si>
  <si>
    <t>中国声乐作品集</t>
  </si>
  <si>
    <t>董华, 张天彤</t>
  </si>
  <si>
    <t>J642/86</t>
  </si>
  <si>
    <t>978-7-5039-6912-6</t>
  </si>
  <si>
    <t>中国小号作品解析. 一</t>
  </si>
  <si>
    <t>J647.16/4/1</t>
  </si>
  <si>
    <t>978-7-5039-6535-7</t>
  </si>
  <si>
    <t>中国小号作品解析. 二</t>
  </si>
  <si>
    <t>J647.16/4/2</t>
  </si>
  <si>
    <t>978-7-5525-5388-8</t>
  </si>
  <si>
    <t>弦乐独奏重奏曲集</t>
  </si>
  <si>
    <t>韩春</t>
  </si>
  <si>
    <t>阳光出版社</t>
  </si>
  <si>
    <t>J647.21/10</t>
  </si>
  <si>
    <t>J647.21/10-2</t>
  </si>
  <si>
    <t>978-7-5523-2047-3</t>
  </si>
  <si>
    <t>小提琴钢琴合奏入门曲集</t>
  </si>
  <si>
    <t>林华, 叶琳芳</t>
  </si>
  <si>
    <t>J647.21/11</t>
  </si>
  <si>
    <t>J647.21/11-2</t>
  </si>
  <si>
    <t>978-7-5047-7576-4</t>
  </si>
  <si>
    <t>酒吧路演吉他弹唱曲集</t>
  </si>
  <si>
    <t>李成福</t>
  </si>
  <si>
    <t>J647.32/102</t>
  </si>
  <si>
    <t>978-7-5396-7256-4</t>
  </si>
  <si>
    <t>易上手流行钢琴分类曲集</t>
  </si>
  <si>
    <t>周安</t>
  </si>
  <si>
    <t>J647.41/129</t>
  </si>
  <si>
    <t>978-7-5726-0173-6</t>
  </si>
  <si>
    <t>萌新必弹简谱钢琴精选集</t>
  </si>
  <si>
    <t>张瑶</t>
  </si>
  <si>
    <t>J647.41/130=D</t>
  </si>
  <si>
    <t>978-7-5690-4011-1</t>
  </si>
  <si>
    <t>中国古典舞基本功扶把训练钢琴伴奏曲选</t>
  </si>
  <si>
    <t>骆媛媛, 李代强</t>
  </si>
  <si>
    <t>J647.41/131</t>
  </si>
  <si>
    <t>978-7-5396-7351-6</t>
  </si>
  <si>
    <t>易上手分级流行钢琴曲集</t>
  </si>
  <si>
    <t>陈思桦</t>
  </si>
  <si>
    <t>J647.41/132</t>
  </si>
  <si>
    <t>978-7-5523-2185-2</t>
  </si>
  <si>
    <t>秦土情</t>
  </si>
  <si>
    <t>周展曲</t>
  </si>
  <si>
    <t>J647.41/133</t>
  </si>
  <si>
    <t>978-7-5644-3445-8</t>
  </si>
  <si>
    <t>值得珍藏的中小型钢琴演奏会名曲集: 中国作品精选</t>
  </si>
  <si>
    <t>沈建国</t>
  </si>
  <si>
    <t>J647.41/134</t>
  </si>
  <si>
    <t>978-7-5396-6923-6</t>
  </si>
  <si>
    <t>琴境故事</t>
  </si>
  <si>
    <t>牟诩, 张梦洁</t>
  </si>
  <si>
    <t>J647.41/135</t>
  </si>
  <si>
    <t>978-7-103-05902-9</t>
  </si>
  <si>
    <t>交响乐 乡音乡情</t>
  </si>
  <si>
    <t>林戈尔曲</t>
  </si>
  <si>
    <t>J647.611/25</t>
  </si>
  <si>
    <t>978-7-5720-1051-4</t>
  </si>
  <si>
    <t>双排键电子琴经典红歌曲集</t>
  </si>
  <si>
    <t>殷默刚, 程虹曲</t>
  </si>
  <si>
    <t>J647.71/6</t>
  </si>
  <si>
    <t>978-7-5668-2920-7</t>
  </si>
  <si>
    <t>长号中国风: 长号中国作品精选</t>
  </si>
  <si>
    <t>闫瑜</t>
  </si>
  <si>
    <t>J647/14</t>
  </si>
  <si>
    <t>978-7-5477-4044-6</t>
  </si>
  <si>
    <t>二胡经典小品集: 从零开始由浅入深实用教程</t>
  </si>
  <si>
    <t>王国潼, 王憓</t>
  </si>
  <si>
    <t>J648.21/31</t>
  </si>
  <si>
    <t>978-7-5143-6551-1</t>
  </si>
  <si>
    <t>二胡考级实用教程. 1. 第一-二级</t>
  </si>
  <si>
    <t>王志伟</t>
  </si>
  <si>
    <t>J648.21/32/1</t>
  </si>
  <si>
    <t>978-7-5143-6552-8</t>
  </si>
  <si>
    <t>二胡考级实用教程. 2. 第三-四级</t>
  </si>
  <si>
    <t>J648.21/32/2</t>
  </si>
  <si>
    <t>978-7-5143-6532-0</t>
  </si>
  <si>
    <t>二胡考级实用教程. 3. 第五-七级</t>
  </si>
  <si>
    <t>J648.21/32/3</t>
  </si>
  <si>
    <t>978-7-5143-6534-4</t>
  </si>
  <si>
    <t>二胡考级实用教程. 4. 第八-十级</t>
  </si>
  <si>
    <t>J648.21/32/4</t>
  </si>
  <si>
    <t>978-7-5010-6373-4</t>
  </si>
  <si>
    <t>太古正音琴譜. 上册</t>
  </si>
  <si>
    <t>(明) 張大命輯</t>
  </si>
  <si>
    <t>文物出版社</t>
  </si>
  <si>
    <t>J648.31/8/1</t>
  </si>
  <si>
    <t>太古正音琴譜. 下册</t>
  </si>
  <si>
    <t>J648.31/8/2</t>
  </si>
  <si>
    <t>978-7-5143-9095-7</t>
  </si>
  <si>
    <t>刘德海琵琶练习曲</t>
  </si>
  <si>
    <t>刘德海</t>
  </si>
  <si>
    <t>J648.33/11=D</t>
  </si>
  <si>
    <t>978-7-5621-9995-3</t>
  </si>
  <si>
    <t>德奥艺术歌曲108首. 四. 舒曼声乐套曲《诗人之恋》: 高、中、低音调</t>
  </si>
  <si>
    <t>贾棣然</t>
  </si>
  <si>
    <t>J652.5/17/4</t>
  </si>
  <si>
    <t>978-7-5697-0467-9</t>
  </si>
  <si>
    <t>花腔女高音精选曲集</t>
  </si>
  <si>
    <t>林弥忠, 刘子殷</t>
  </si>
  <si>
    <t>J652/65</t>
  </si>
  <si>
    <t>978-7-5697-0199-9</t>
  </si>
  <si>
    <t>法国歌剧咏叹调选集: 男中音</t>
  </si>
  <si>
    <t>施恒</t>
  </si>
  <si>
    <t>J653.2/4</t>
  </si>
  <si>
    <t>978-7-5672-3598-4</t>
  </si>
  <si>
    <t>陆华柏音乐文集</t>
  </si>
  <si>
    <t>丁卫萍</t>
  </si>
  <si>
    <t>J6-53/23</t>
  </si>
  <si>
    <t>978-7-5523-2160-9</t>
  </si>
  <si>
    <t>管建华音乐论文集</t>
  </si>
  <si>
    <t>管建华</t>
  </si>
  <si>
    <t>J6-53/24</t>
  </si>
  <si>
    <t>978-7-5523-2065-7</t>
  </si>
  <si>
    <t>中国风双簧管重奏作品集. 1. 瑶乡音画</t>
  </si>
  <si>
    <t>孙铭红</t>
  </si>
  <si>
    <t>J657.13/2/1</t>
  </si>
  <si>
    <t>中国风双簧管重奏作品集. 2. 遗忘</t>
  </si>
  <si>
    <t>J657.13/2/2</t>
  </si>
  <si>
    <t>中国风双簧管重奏作品集. 3. 红河山歌</t>
  </si>
  <si>
    <t>J657.13/2/3</t>
  </si>
  <si>
    <t>中国风双簧管重奏作品集. 4. 弄堂i为双簧管、柔音双簧管、英国管、上低音双簧管与钢琴而作</t>
  </si>
  <si>
    <t>J657.13/2/4</t>
  </si>
  <si>
    <t>中国风双簧管重奏作品集. 5. 花卉·山戏</t>
  </si>
  <si>
    <t>J657.13/2/5</t>
  </si>
  <si>
    <t>中国风双簧管重奏作品集. 6. 自由探戈</t>
  </si>
  <si>
    <t>J657.13/2/6</t>
  </si>
  <si>
    <t>中国风双簧管重奏作品集. 7. 南迦巴瓦峰印象</t>
  </si>
  <si>
    <t>J657.13/2/7</t>
  </si>
  <si>
    <t>中国风双簧管重奏作品集. 8. 台湾民谣组曲</t>
  </si>
  <si>
    <t>J657.13/2/8</t>
  </si>
  <si>
    <t>J657.13/2-2/1</t>
  </si>
  <si>
    <t>J657.13/2-2/2</t>
  </si>
  <si>
    <t>J657.13/2-2/3</t>
  </si>
  <si>
    <t>J657.13/2-2/4</t>
  </si>
  <si>
    <t>J657.13/2-2/5</t>
  </si>
  <si>
    <t>J657.13/2-2/6</t>
  </si>
  <si>
    <t>J657.13/2-2/7</t>
  </si>
  <si>
    <t>J657.13/2-2/8</t>
  </si>
  <si>
    <t>978-7-5523-2038-1</t>
  </si>
  <si>
    <t>轻松登台小提琴音乐会曲集. 1: 附钢琴伴奏谱</t>
  </si>
  <si>
    <t>者彼得·莫尔斯</t>
  </si>
  <si>
    <t>J657.21/28/1</t>
  </si>
  <si>
    <t>轻松登台小提琴音乐会曲集. 2: 附钢琴伴奏谱</t>
  </si>
  <si>
    <t>J657.21/28/2</t>
  </si>
  <si>
    <t>轻松登台小提琴音乐会曲集. 3: 附钢琴伴奏谱</t>
  </si>
  <si>
    <t>J657.21/28/3</t>
  </si>
  <si>
    <t>轻松登台小提琴音乐会曲集. 1. 小提琴谱: 附钢琴伴奏谱</t>
  </si>
  <si>
    <t>J657.21/28-2/1</t>
  </si>
  <si>
    <t>轻松登台小提琴音乐会曲集. 2. 小提琴谱: 附钢琴伴奏谱</t>
  </si>
  <si>
    <t>J657.21/28-2/2</t>
  </si>
  <si>
    <t>轻松登台小提琴音乐会曲集. 3. 小提琴谱: 附钢琴伴奏谱</t>
  </si>
  <si>
    <t>J657.21/28-2/3</t>
  </si>
  <si>
    <t>978-7-5720-0655-5</t>
  </si>
  <si>
    <t>中提琴经典协奏曲原创华彩集: 暨上海音乐学院中提琴专业学生优秀作品选</t>
  </si>
  <si>
    <t>刘念总审订</t>
  </si>
  <si>
    <t>J657.22/2</t>
  </si>
  <si>
    <t>978-7-5396-6946-5</t>
  </si>
  <si>
    <t>双吉他金曲优选集</t>
  </si>
  <si>
    <t>向嵬</t>
  </si>
  <si>
    <t>J657.32/61</t>
  </si>
  <si>
    <t>978-7-5396-7018-8</t>
  </si>
  <si>
    <t>吉他弹唱超精选: 视频教学版</t>
  </si>
  <si>
    <t>王一</t>
  </si>
  <si>
    <t>J657.32/62</t>
  </si>
  <si>
    <t>978-7-5396-7280-9</t>
  </si>
  <si>
    <t>莫扎特28首中级钢琴曲集</t>
  </si>
  <si>
    <t>陈学元注</t>
  </si>
  <si>
    <t>J657.41/241</t>
  </si>
  <si>
    <t>978-7-5722-1947-4</t>
  </si>
  <si>
    <t>巴赫初级钢琴曲集</t>
  </si>
  <si>
    <t>J657.41/242</t>
  </si>
  <si>
    <t>978-7-5495-5316-7</t>
  </si>
  <si>
    <t>巴赫创意曲集: 埃德温·费舍尔注释版</t>
  </si>
  <si>
    <t>陈学元</t>
  </si>
  <si>
    <t>J657.41/243</t>
  </si>
  <si>
    <t>978-7-5495-4874-3</t>
  </si>
  <si>
    <t>巴赫初级钢琴曲集: 原始版+注释版</t>
  </si>
  <si>
    <t>J657.41/244</t>
  </si>
  <si>
    <t>978-7-5396-7061-4</t>
  </si>
  <si>
    <t>指尖琴书: 经典与流行钢琴优选集</t>
  </si>
  <si>
    <t>J657.41/245</t>
  </si>
  <si>
    <t>978-7-5697-0225-5</t>
  </si>
  <si>
    <t>奇妙的音乐之旅. 1A. 钢琴练习曲集</t>
  </si>
  <si>
    <t>(美) 伊丽娜·戈林</t>
  </si>
  <si>
    <t>J657.411/61/1</t>
  </si>
  <si>
    <t>978-7-5697-0224-8</t>
  </si>
  <si>
    <t>奇妙的音乐之旅. 1A. 钢琴独奏曲集</t>
  </si>
  <si>
    <t>J657.411/61/2</t>
  </si>
  <si>
    <t>978-7-5396-7281-6</t>
  </si>
  <si>
    <t>泰勒曼36首键盘幻想曲集 (TW33)</t>
  </si>
  <si>
    <t>周强注</t>
  </si>
  <si>
    <t>J657.414/2</t>
  </si>
  <si>
    <t>978-7-5523-2240-8</t>
  </si>
  <si>
    <t>手风琴乐团中外名曲重奏、合奏曲集. 1: 五线谱版</t>
  </si>
  <si>
    <t>张新化, 王家祥, 丁鹏</t>
  </si>
  <si>
    <t>J657.43/6/1</t>
  </si>
  <si>
    <t>手风琴乐团中外名曲重奏、合奏曲集. 2: 五线谱版</t>
  </si>
  <si>
    <t>J657.43/6/2</t>
  </si>
  <si>
    <t>手风琴乐团中外名曲重奏、合奏曲集. 3: 简谱版</t>
  </si>
  <si>
    <t>J657.43/6/3</t>
  </si>
  <si>
    <t>978-7-5130-7392-9</t>
  </si>
  <si>
    <t>中国数字音乐IP发展现状与版权问题研究</t>
  </si>
  <si>
    <t>崔恒勇, 高正熙</t>
  </si>
  <si>
    <t>J692/6</t>
  </si>
  <si>
    <t>978-7-5151-0758-5</t>
  </si>
  <si>
    <t>中国内地交响乐团竞争力评价研究</t>
  </si>
  <si>
    <t>肖雄, 张卉雨</t>
  </si>
  <si>
    <t>西苑出版社</t>
  </si>
  <si>
    <t>J692/7</t>
  </si>
  <si>
    <t>978-7-5457-2337-3</t>
  </si>
  <si>
    <t>现代性: 新时期以来话剧的发展轨迹与特点</t>
  </si>
  <si>
    <t>张磊</t>
  </si>
  <si>
    <t>三晋出版社</t>
  </si>
  <si>
    <t>J809.2/62</t>
  </si>
  <si>
    <t>978-7-5570-2602-8</t>
  </si>
  <si>
    <t>即兴续篇</t>
  </si>
  <si>
    <t>(英) 基思·约翰斯通</t>
  </si>
  <si>
    <t>J812.2/24</t>
  </si>
  <si>
    <t>978-7-5180-4060-5</t>
  </si>
  <si>
    <t>中国戏剧文化研究</t>
  </si>
  <si>
    <t>J82/34</t>
  </si>
  <si>
    <t>978-7-104-05034-6</t>
  </si>
  <si>
    <t>戏曲艺术: 守正创新与融合发展</t>
  </si>
  <si>
    <t>中国戏曲文化周组委会</t>
  </si>
  <si>
    <t>J82/35</t>
  </si>
  <si>
    <t>978-7-5680-6584-9</t>
  </si>
  <si>
    <t>图解日本歌舞伎</t>
  </si>
  <si>
    <t>(日) 新居典子</t>
  </si>
  <si>
    <t>J835/2</t>
  </si>
  <si>
    <t>978-7-5596-4910-2</t>
  </si>
  <si>
    <t>电影色彩学</t>
  </si>
  <si>
    <t>李力, 梁明</t>
  </si>
  <si>
    <t>J90/117=D</t>
  </si>
  <si>
    <t>978-7-5108-9284-4</t>
  </si>
  <si>
    <t>布达佩斯大饭店: 韦斯·安德森作品典藏</t>
  </si>
  <si>
    <t>(德) 马特·佐勒·塞茨</t>
  </si>
  <si>
    <t>J905.712/47</t>
  </si>
  <si>
    <t>978-7-302-58256-4</t>
  </si>
  <si>
    <t>历史学原来很有趣: 16位大师的精华课</t>
  </si>
  <si>
    <t>曲水</t>
  </si>
  <si>
    <t>K0/90</t>
  </si>
  <si>
    <t>978-7-5203-8956-3</t>
  </si>
  <si>
    <t>珍奇屋中的世界史</t>
  </si>
  <si>
    <t xml:space="preserve">(法) 克里斯蒂安·格拉塔洛浦 (Christian Grataloup) </t>
  </si>
  <si>
    <t>K109/318</t>
  </si>
  <si>
    <t>978-7-5180-3966-1</t>
  </si>
  <si>
    <t>中国传统文化掌上行</t>
  </si>
  <si>
    <t>唐红梅</t>
  </si>
  <si>
    <t>K203/661</t>
  </si>
  <si>
    <t>978-7-03-070050-6</t>
  </si>
  <si>
    <t>中华古代文明之光. 上</t>
  </si>
  <si>
    <t>毛锋</t>
  </si>
  <si>
    <t>K203/662/1</t>
  </si>
  <si>
    <t>中华古代文明之光. 下</t>
  </si>
  <si>
    <t>K203/662/2</t>
  </si>
  <si>
    <t>978-7-214-07459-1</t>
  </si>
  <si>
    <t>西学东渐与中国事情</t>
  </si>
  <si>
    <t>(日) 增田涉</t>
  </si>
  <si>
    <t>K203/663</t>
  </si>
  <si>
    <t>978-7-5550-2400-2</t>
  </si>
  <si>
    <t>文化遗产与现代文明</t>
  </si>
  <si>
    <t>陈文章, 杨健民</t>
  </si>
  <si>
    <t>K203-53/29</t>
  </si>
  <si>
    <t>978-7-100-03240-7</t>
  </si>
  <si>
    <t>史記地名考. 上</t>
  </si>
  <si>
    <t>錢穆</t>
  </si>
  <si>
    <t>K204.2/171/1</t>
  </si>
  <si>
    <t>史記地名考. 下</t>
  </si>
  <si>
    <t>K204.2/171/2</t>
  </si>
  <si>
    <t>978-7-200-15094-0</t>
  </si>
  <si>
    <t>中国历史讲话</t>
  </si>
  <si>
    <t>熊十力</t>
  </si>
  <si>
    <t>K207/61-2</t>
  </si>
  <si>
    <t>978-7-5217-2003-7</t>
  </si>
  <si>
    <t>文化的江山. 05. 走向世界历史的国度</t>
  </si>
  <si>
    <t>刘刚, 李冬君</t>
  </si>
  <si>
    <t>K209/439/5</t>
  </si>
  <si>
    <t>978-7-214-26585-2</t>
  </si>
  <si>
    <t>今文《尚书》汉字文化研究</t>
  </si>
  <si>
    <t>翟明女</t>
  </si>
  <si>
    <t>K221.04/41</t>
  </si>
  <si>
    <t>978-7-200-12078-3</t>
  </si>
  <si>
    <t>两宋史纲</t>
  </si>
  <si>
    <t>张荫麟</t>
  </si>
  <si>
    <t>K244/9</t>
  </si>
  <si>
    <t>978-7-5496-3496-5</t>
  </si>
  <si>
    <t>瓯影</t>
  </si>
  <si>
    <t>金丹霞</t>
  </si>
  <si>
    <t>K295.53/18</t>
  </si>
  <si>
    <t>978-7-5550-2674-7</t>
  </si>
  <si>
    <t>金银山下</t>
  </si>
  <si>
    <t>张先强</t>
  </si>
  <si>
    <t>K295.75/3</t>
  </si>
  <si>
    <t>978-7-5201-8833-3</t>
  </si>
  <si>
    <t>木材的流动: 清代清水江下游地区的市场、权力与社会</t>
  </si>
  <si>
    <t>中山大学历史人类学研究中心</t>
  </si>
  <si>
    <t>K297/12</t>
  </si>
  <si>
    <t>978-7-5493-9536-1</t>
  </si>
  <si>
    <t>中华历史名人风采</t>
  </si>
  <si>
    <t>张山东</t>
  </si>
  <si>
    <t>K820.2/130</t>
  </si>
  <si>
    <t>978-7-5577-0847-4</t>
  </si>
  <si>
    <t>中国经济学家人物研究</t>
  </si>
  <si>
    <t>白卫星</t>
  </si>
  <si>
    <t>K825.31/48</t>
  </si>
  <si>
    <t>978-7-5559-1188-3</t>
  </si>
  <si>
    <t>萧红传</t>
  </si>
  <si>
    <t>赵京龙</t>
  </si>
  <si>
    <t>K825.6/1101</t>
  </si>
  <si>
    <t>978-7-5594-3820-1</t>
  </si>
  <si>
    <t>陈白尘评传</t>
  </si>
  <si>
    <t>周安华</t>
  </si>
  <si>
    <t>K825.6/1102</t>
  </si>
  <si>
    <t>978-7-200-12276-3</t>
  </si>
  <si>
    <t>鲁迅批判</t>
  </si>
  <si>
    <t>李长之</t>
  </si>
  <si>
    <t>K825.6/94-2</t>
  </si>
  <si>
    <t>978-7-100-12825-4</t>
  </si>
  <si>
    <t>唐代城市乐人研究</t>
  </si>
  <si>
    <t>欧燕</t>
  </si>
  <si>
    <t>K825.76/111</t>
  </si>
  <si>
    <t>978-7-112-26535-0</t>
  </si>
  <si>
    <t>梁思成与林徽因: 我的父亲母亲</t>
  </si>
  <si>
    <t>梁再冰口述</t>
  </si>
  <si>
    <t>中国建筑工业出版社</t>
  </si>
  <si>
    <t>K826.16/171</t>
  </si>
  <si>
    <t>978-7-301-32553-7</t>
  </si>
  <si>
    <t>故宫里的江南: 清代宫廷珍玩与苏作</t>
  </si>
  <si>
    <t>吴中博物馆</t>
  </si>
  <si>
    <t>K872.5/3</t>
  </si>
  <si>
    <t>978-7-5496-3494-1</t>
  </si>
  <si>
    <t>瓯物</t>
  </si>
  <si>
    <t>伍显军, 陈培培</t>
  </si>
  <si>
    <t>K872.553/2</t>
  </si>
  <si>
    <t>978-7-5457-2292-5</t>
  </si>
  <si>
    <t>红色藏品故事</t>
  </si>
  <si>
    <t>中共武乡县委宣传部</t>
  </si>
  <si>
    <t>K872/7</t>
  </si>
  <si>
    <t>978-7-200-13143-7</t>
  </si>
  <si>
    <t>金石丛话</t>
  </si>
  <si>
    <t>施蛰存</t>
  </si>
  <si>
    <t>K87-49/20-2</t>
  </si>
  <si>
    <t>978-7-301-32254-3</t>
  </si>
  <si>
    <t>如何读中国瓷: 大都会艺术博物馆藏中国陶瓷精品导览</t>
  </si>
  <si>
    <t>(美) 李丹丽</t>
  </si>
  <si>
    <t>K876.34/74</t>
  </si>
  <si>
    <t>978-7-301-32631-2</t>
  </si>
  <si>
    <t>现代礼仪</t>
  </si>
  <si>
    <t>郭学贤</t>
  </si>
  <si>
    <t>K891.26/213=2D</t>
  </si>
  <si>
    <t>978-7-200-11970-1</t>
  </si>
  <si>
    <t>民俗与迷信</t>
  </si>
  <si>
    <t>江绍原</t>
  </si>
  <si>
    <t>K892/146</t>
  </si>
  <si>
    <t>978-7-5713-1471-2</t>
  </si>
  <si>
    <t>大运河文化的传承与创新</t>
  </si>
  <si>
    <t>姜师立</t>
  </si>
  <si>
    <t>K928.42/54</t>
  </si>
  <si>
    <t>978-7-5496-3493-4</t>
  </si>
  <si>
    <t>瓯景</t>
  </si>
  <si>
    <t>夏真</t>
  </si>
  <si>
    <t>K928.705/13</t>
  </si>
  <si>
    <t>978-7-301-32351-9</t>
  </si>
  <si>
    <t>设计人类学: 转型中的物品文化</t>
  </si>
  <si>
    <t>(奥) 艾莉森·J. 克拉克</t>
  </si>
  <si>
    <t>TB21/51</t>
  </si>
  <si>
    <t>978-7-5537-9807-3</t>
  </si>
  <si>
    <t>工业设计考研快题高分攻略</t>
  </si>
  <si>
    <t>突围设计考研</t>
  </si>
  <si>
    <t>TB47/52</t>
  </si>
  <si>
    <t>978-7-5180-5043-7</t>
  </si>
  <si>
    <t>工业产品艺术设计与表现技法研究</t>
  </si>
  <si>
    <t>周楠, 王丽霞</t>
  </si>
  <si>
    <t>TB472/246</t>
  </si>
  <si>
    <t>978-7-5180-3990-6</t>
  </si>
  <si>
    <t>数字化建设: 工业设计理论与方法研究</t>
  </si>
  <si>
    <t>刘刚</t>
  </si>
  <si>
    <t>TB472/247</t>
  </si>
  <si>
    <t>978-7-5180-4437-5</t>
  </si>
  <si>
    <t>包装设计与工艺设计</t>
  </si>
  <si>
    <t>牛笑一, 蔡汉忠</t>
  </si>
  <si>
    <t>TB482/40</t>
  </si>
  <si>
    <t>978-7-121-41507-4</t>
  </si>
  <si>
    <t>电气工程师自学成才手册: 提高篇</t>
  </si>
  <si>
    <t>蔡杏山</t>
  </si>
  <si>
    <t>TM/86=2D</t>
  </si>
  <si>
    <t>978-7-121-41369-8</t>
  </si>
  <si>
    <t>电力电子技术</t>
  </si>
  <si>
    <t>王云亮</t>
  </si>
  <si>
    <t>TM1/48=5D</t>
  </si>
  <si>
    <t>978-7-111-68450-3</t>
  </si>
  <si>
    <t>多相永磁同步电动机直接转矩控制</t>
  </si>
  <si>
    <t>周扬忠</t>
  </si>
  <si>
    <t>TM351/4</t>
  </si>
  <si>
    <t>978-7-121-37698-6</t>
  </si>
  <si>
    <t>电工与电子技术</t>
  </si>
  <si>
    <t>于桂君, 于宝琦, 刘德政</t>
  </si>
  <si>
    <t>TM-43/30</t>
  </si>
  <si>
    <t>978-7-121-37523-1</t>
  </si>
  <si>
    <t>电工技术</t>
  </si>
  <si>
    <t>刘陵顺, 王晶, 李建海</t>
  </si>
  <si>
    <t>TM-43/31</t>
  </si>
  <si>
    <t>978-7-121-36753-3</t>
  </si>
  <si>
    <t>电工从入门到成才</t>
  </si>
  <si>
    <t>韩雪涛</t>
  </si>
  <si>
    <t>TM-49/16</t>
  </si>
  <si>
    <t>978-7-5198-5007-4</t>
  </si>
  <si>
    <t>电气控制与PLC综合应用技术</t>
  </si>
  <si>
    <t>赵江稳</t>
  </si>
  <si>
    <t>TM571.2/41=2D</t>
  </si>
  <si>
    <t>978-7-5198-6150-6</t>
  </si>
  <si>
    <t>分布式潮流控制器技术及应用</t>
  </si>
  <si>
    <t xml:space="preserve">裘鹏 ...  </t>
  </si>
  <si>
    <t>TM571.2/42</t>
  </si>
  <si>
    <t>978-7-111-68078-9</t>
  </si>
  <si>
    <t>S7-1200 PLC编程及应用</t>
  </si>
  <si>
    <t>廖常初</t>
  </si>
  <si>
    <t>TM571.6/53=4D</t>
  </si>
  <si>
    <t>978-7-302-58924-2</t>
  </si>
  <si>
    <t>西门子S7-200 SMART PLC实战精讲</t>
  </si>
  <si>
    <t>徐斌山, 李国晶</t>
  </si>
  <si>
    <t>TM571.61/28</t>
  </si>
  <si>
    <t>978-7-122-38807-0</t>
  </si>
  <si>
    <t>零基础学西门子S7-200 SMART PLC编程及应用</t>
  </si>
  <si>
    <t>贾鸿莉, 张可鑫</t>
  </si>
  <si>
    <t>TM571.61/29</t>
  </si>
  <si>
    <t>978-7-111-67613-3</t>
  </si>
  <si>
    <t>PLC、变频器与人机界面实战手册: 西门子篇</t>
  </si>
  <si>
    <t>TM571.61/30</t>
  </si>
  <si>
    <t>978-7-122-38442-3</t>
  </si>
  <si>
    <t>西门子S7-1200 PLC从入门到精通</t>
  </si>
  <si>
    <t>赵春生</t>
  </si>
  <si>
    <t>TM571.61/31</t>
  </si>
  <si>
    <t>978-7-121-40587-7</t>
  </si>
  <si>
    <t>西门子S7-1200 PLC编程技术</t>
  </si>
  <si>
    <t>工控帮教研组</t>
  </si>
  <si>
    <t>TM571.61/32</t>
  </si>
  <si>
    <t>978-7-5198-5483-6</t>
  </si>
  <si>
    <t>PLC、变频器、触摸屏综合应用实训</t>
  </si>
  <si>
    <t>阮友德</t>
  </si>
  <si>
    <t>TM571.61/33=2D</t>
  </si>
  <si>
    <t>978-7-122-37860-6</t>
  </si>
  <si>
    <t>西门子S7-200 SMART PLC编程从入门到实践</t>
  </si>
  <si>
    <t>韩相争</t>
  </si>
  <si>
    <t>TM571.61/34</t>
  </si>
  <si>
    <t>978-7-111-68439-8</t>
  </si>
  <si>
    <t>S7-1200/1500 PLC应用技术</t>
  </si>
  <si>
    <t>TM571.61/35=2D</t>
  </si>
  <si>
    <t>978-7-111-68241-7</t>
  </si>
  <si>
    <t>西门子S7-200 SMART PLC编程与应用案例精选</t>
  </si>
  <si>
    <t>叶志明, 马艳, 刘华波</t>
  </si>
  <si>
    <t>TM571.61/36</t>
  </si>
  <si>
    <t>978-7-5198-6361-6</t>
  </si>
  <si>
    <t>变电站防误技术与管理培训教材</t>
  </si>
  <si>
    <t>TM63/15</t>
  </si>
  <si>
    <t>978-7-5198-5369-3</t>
  </si>
  <si>
    <t>MATLAB在电力系统中的应用</t>
  </si>
  <si>
    <t>蔡超豪</t>
  </si>
  <si>
    <t>TM7/33</t>
  </si>
  <si>
    <t>978-7-04-053660-7</t>
  </si>
  <si>
    <t>电力系统分析</t>
  </si>
  <si>
    <t>孟祥萍, 高嬿</t>
  </si>
  <si>
    <t>高等教育出版社</t>
  </si>
  <si>
    <t>TM711.2/2=3D</t>
  </si>
  <si>
    <t>978-7-03-054045-4</t>
  </si>
  <si>
    <t>电力系统分析基础</t>
  </si>
  <si>
    <t>滕云</t>
  </si>
  <si>
    <t>TM711.2/3</t>
  </si>
  <si>
    <t>978-7-5198-5403-4</t>
  </si>
  <si>
    <t>韦钢</t>
  </si>
  <si>
    <t>TM711.2/4=2D</t>
  </si>
  <si>
    <t>978-7-03-053263-3</t>
  </si>
  <si>
    <t>电力系统分析理论</t>
  </si>
  <si>
    <t>刘天琪, 邱晓燕</t>
  </si>
  <si>
    <t>TM711/8=3D</t>
  </si>
  <si>
    <t>978-7-121-38104-1</t>
  </si>
  <si>
    <t>供配电技术及应用</t>
  </si>
  <si>
    <t>王燕锋, 李润生</t>
  </si>
  <si>
    <t>TM72/13</t>
  </si>
  <si>
    <t>978-7-5198-5999-2</t>
  </si>
  <si>
    <t>高压直流输电运行维护智能化技术</t>
  </si>
  <si>
    <t>张海凤</t>
  </si>
  <si>
    <t>TM726.1/3</t>
  </si>
  <si>
    <t>978-7-5198-5912-1</t>
  </si>
  <si>
    <t>配电自动化终端建设及改造</t>
  </si>
  <si>
    <t>TM76/13</t>
  </si>
  <si>
    <t>978-7-5198-4622-0</t>
  </si>
  <si>
    <t>电力系统继电保护原理及应用</t>
  </si>
  <si>
    <t>杨晓敏</t>
  </si>
  <si>
    <t>TM77/10=2D</t>
  </si>
  <si>
    <t>978-7-5198-5766-0</t>
  </si>
  <si>
    <t>继电保护典型隐患案例分析及防范</t>
  </si>
  <si>
    <t>王其林, 冯宗建, 陈择栖</t>
  </si>
  <si>
    <t>TM77/8</t>
  </si>
  <si>
    <t>978-7-122-36696-2</t>
  </si>
  <si>
    <t>电力系统继电保护: 原理·算例·实例</t>
  </si>
  <si>
    <t>周长锁, 史德明, 孙庆楠</t>
  </si>
  <si>
    <t>TM77/9</t>
  </si>
  <si>
    <t>978-7-5198-5786-8</t>
  </si>
  <si>
    <t>高电压技术</t>
  </si>
  <si>
    <t xml:space="preserve">方瑜 ...  </t>
  </si>
  <si>
    <t>TM8/4</t>
  </si>
  <si>
    <t>978-7-03-070513-6</t>
  </si>
  <si>
    <t>智能穿戴光纤与光子集成</t>
  </si>
  <si>
    <t>李鸿强</t>
  </si>
  <si>
    <t>TN87/4</t>
  </si>
  <si>
    <t>978-7-5180-4442-9</t>
  </si>
  <si>
    <t>通信技术与物联网研究</t>
  </si>
  <si>
    <t>何腊梅</t>
  </si>
  <si>
    <t>TN91/100</t>
  </si>
  <si>
    <t>978-7-5576-6958-4</t>
  </si>
  <si>
    <t>现代通信理论与技术研究</t>
  </si>
  <si>
    <t>李宏升</t>
  </si>
  <si>
    <t>TN91/101</t>
  </si>
  <si>
    <t>978-7-5221-1317-3</t>
  </si>
  <si>
    <t>通信电子系统实用抗干扰技术及其应用</t>
  </si>
  <si>
    <t>黄乘顺, 张应华</t>
  </si>
  <si>
    <t>TN91/102</t>
  </si>
  <si>
    <t>978-7-5639-6464-2</t>
  </si>
  <si>
    <t>通信工程与信号传输</t>
  </si>
  <si>
    <t>范磊, 王琪, 田鹏</t>
  </si>
  <si>
    <t>TN91/99</t>
  </si>
  <si>
    <t>978-7-03-069798-1</t>
  </si>
  <si>
    <t>信息论基础教程</t>
  </si>
  <si>
    <t>翟明岳</t>
  </si>
  <si>
    <t>TN911.2/40</t>
  </si>
  <si>
    <t>978-7-121-38588-9</t>
  </si>
  <si>
    <t>RFID技术原理及应用</t>
  </si>
  <si>
    <t>潘春伟</t>
  </si>
  <si>
    <t>TN911.23/42</t>
  </si>
  <si>
    <t>978-7-122-35679-6</t>
  </si>
  <si>
    <t>射频识别系统设计及智能制造应用</t>
  </si>
  <si>
    <t>任春年, 王景景, 曾宪武</t>
  </si>
  <si>
    <t>TN911.23/43</t>
  </si>
  <si>
    <t>978-7-5710-0388-3</t>
  </si>
  <si>
    <t>微弱信号检测及无损探测技术研究</t>
  </si>
  <si>
    <t>许雪梅</t>
  </si>
  <si>
    <t>TN911.23/44</t>
  </si>
  <si>
    <t>978-7-111-69594-3</t>
  </si>
  <si>
    <t>CMOS模拟与混合信号集成电路设计: 创新与实战</t>
  </si>
  <si>
    <t>马来) 阿珠纳·马尔祖基</t>
  </si>
  <si>
    <t>TN911.7/53</t>
  </si>
  <si>
    <t>978-7-5603-9553-1</t>
  </si>
  <si>
    <t>数字信号处理</t>
  </si>
  <si>
    <t>王军, 孙继禹, 韩宇辉</t>
  </si>
  <si>
    <t>TN911.72/206</t>
  </si>
  <si>
    <t>978-7-5208-1754-7</t>
  </si>
  <si>
    <t>现代数字信号处理算法及应用研究</t>
  </si>
  <si>
    <t>邹永祥</t>
  </si>
  <si>
    <t>TN911.72/207</t>
  </si>
  <si>
    <t>978-7-5672-3609-7</t>
  </si>
  <si>
    <t>DSP技术原理与应用系统设计实验指导书</t>
  </si>
  <si>
    <t>邵雷, 曹洪龙, 胡剑凌</t>
  </si>
  <si>
    <t>TN911.72/208</t>
  </si>
  <si>
    <t>978-7-5603-8476-4</t>
  </si>
  <si>
    <t>数字图像处理技术及应用研究</t>
  </si>
  <si>
    <t>侯培文, 蔡仲博</t>
  </si>
  <si>
    <t>TN911.73/113</t>
  </si>
  <si>
    <t>978-7-122-37450-9</t>
  </si>
  <si>
    <t>数字图像检测与控制技术: 理论及实例</t>
  </si>
  <si>
    <t>谭彧, 陈兵旗</t>
  </si>
  <si>
    <t>TN911.73/114</t>
  </si>
  <si>
    <t>978-7-5639-7584-6</t>
  </si>
  <si>
    <t>人工智能背景下图像处理技术的应用研究</t>
  </si>
  <si>
    <t>蓝贤桂, 刘春, 高健</t>
  </si>
  <si>
    <t>TN911.73/115</t>
  </si>
  <si>
    <t>978-7-5652-3535-1</t>
  </si>
  <si>
    <t>数字图像的变换处理与实现</t>
  </si>
  <si>
    <t>郭显久</t>
  </si>
  <si>
    <t>辽宁师范大学出版社</t>
  </si>
  <si>
    <t>TN911.73/116</t>
  </si>
  <si>
    <t>978-7-5692-6412-8</t>
  </si>
  <si>
    <t>无监督特征学习与图像情感分析研究</t>
  </si>
  <si>
    <t>李祖贺</t>
  </si>
  <si>
    <t>TN911.73/117</t>
  </si>
  <si>
    <t>978-7-5166-5105-6</t>
  </si>
  <si>
    <t>基于边缘保持滤波的多聚焦图像融合算法研究</t>
  </si>
  <si>
    <t>张永新</t>
  </si>
  <si>
    <t>TN911.73/118</t>
  </si>
  <si>
    <t>978-7-111-69084-9</t>
  </si>
  <si>
    <t>通信原理</t>
  </si>
  <si>
    <t xml:space="preserve">隋晓红 ...  </t>
  </si>
  <si>
    <t>TN911/14-2</t>
  </si>
  <si>
    <t>978-7-5763-0272-1</t>
  </si>
  <si>
    <t>通信概论</t>
  </si>
  <si>
    <t>孙鹏娇, 黄博, 罗丛波</t>
  </si>
  <si>
    <t>TN911/90</t>
  </si>
  <si>
    <t>978-7-118-12346-3</t>
  </si>
  <si>
    <t>无线电监测自动化系统与组成</t>
  </si>
  <si>
    <t xml:space="preserve">(俄) 安纳托尼·M. 让姆波夫斯基 ...  </t>
  </si>
  <si>
    <t>TN911/91</t>
  </si>
  <si>
    <t>978-7-115-57908-9</t>
  </si>
  <si>
    <t>AI智能语音技术与产业创新实践</t>
  </si>
  <si>
    <t>李荪, 曾然然, 殷治纲</t>
  </si>
  <si>
    <t>TN912.34/5</t>
  </si>
  <si>
    <t>978-7-83002-697-4</t>
  </si>
  <si>
    <t>路由交换技术与网络安全</t>
  </si>
  <si>
    <t>卢宏才, 成思豪, 牛泉林</t>
  </si>
  <si>
    <t>北京希望电子出版社</t>
  </si>
  <si>
    <t>TN915.05/57</t>
  </si>
  <si>
    <t>978-7-115-56034-6</t>
  </si>
  <si>
    <t>网络空间安全导论</t>
  </si>
  <si>
    <t>360安全人才能力发展中心</t>
  </si>
  <si>
    <t>TN915.08/15</t>
  </si>
  <si>
    <t>978-7-5596-5049-8</t>
  </si>
  <si>
    <t>密码了不起</t>
  </si>
  <si>
    <t>刘巍然</t>
  </si>
  <si>
    <t>TN918.1/37</t>
  </si>
  <si>
    <t>978-7-5639-7145-9</t>
  </si>
  <si>
    <t>密码学与网络安全应用研究</t>
  </si>
  <si>
    <t>朱林</t>
  </si>
  <si>
    <t>TN918.1/38</t>
  </si>
  <si>
    <t>978-7-5443-9195-5</t>
  </si>
  <si>
    <t>密码的故事</t>
  </si>
  <si>
    <t>(英) 阿尔·西米诺</t>
  </si>
  <si>
    <t>海南出版社</t>
  </si>
  <si>
    <t>TN918.1/39</t>
  </si>
  <si>
    <t>978-7-5066-9795-8</t>
  </si>
  <si>
    <t>中国密码学发展报告. 2020</t>
  </si>
  <si>
    <t>中国密码学会</t>
  </si>
  <si>
    <t>中国标准出版社</t>
  </si>
  <si>
    <t>TN918.1/40/2020</t>
  </si>
  <si>
    <t>978-7-5155-2027-8</t>
  </si>
  <si>
    <t>破译者. 上册: 人类密码史</t>
  </si>
  <si>
    <t>(美) 戴维·卡恩</t>
  </si>
  <si>
    <t>TN918.2/3/1</t>
  </si>
  <si>
    <t>破译者. 下册: 人类密码史</t>
  </si>
  <si>
    <t>TN918.2/3/2</t>
  </si>
  <si>
    <t>978-7-5720-0556-5</t>
  </si>
  <si>
    <t>密码俱乐部: 用数学做加密和解密的游戏</t>
  </si>
  <si>
    <t>(美) 珍妮特·贝辛格, 维拉·普莱斯</t>
  </si>
  <si>
    <t>TN918.2-49/1-2</t>
  </si>
  <si>
    <t>978-7-03-070119-0</t>
  </si>
  <si>
    <t>泄露攻击下可证明安全的公钥密码机制</t>
  </si>
  <si>
    <t>周彦伟</t>
  </si>
  <si>
    <t>TN918.4/3</t>
  </si>
  <si>
    <t>978-7-5096-7574-8</t>
  </si>
  <si>
    <t>基于NTRU格的数字签名体制的研究</t>
  </si>
  <si>
    <t>谢佳</t>
  </si>
  <si>
    <t>TN918/2</t>
  </si>
  <si>
    <t>978-7-03-067446-3</t>
  </si>
  <si>
    <t>分量分解新型变换及其应用研究</t>
  </si>
  <si>
    <t>徐晓刚, 徐冠雷, 王勋</t>
  </si>
  <si>
    <t>TN919.8/13</t>
  </si>
  <si>
    <t>978-7-5682-8842-2</t>
  </si>
  <si>
    <t>基于学习与调制的图像重建: 超分辨率、光谱成像与相干显微</t>
  </si>
  <si>
    <t>张雪松</t>
  </si>
  <si>
    <t>TN919.8/14</t>
  </si>
  <si>
    <t>978-7-118-12306-7</t>
  </si>
  <si>
    <t>光电图像处理技术及其应用</t>
  </si>
  <si>
    <t xml:space="preserve">周浦城 ...  </t>
  </si>
  <si>
    <t>TN919.8/15</t>
  </si>
  <si>
    <t>978-7-03-061291-5</t>
  </si>
  <si>
    <t>云计算图像加密算法研究</t>
  </si>
  <si>
    <t>李莉, 韦鹏程, 杨华千</t>
  </si>
  <si>
    <t>TN919.81/8</t>
  </si>
  <si>
    <t>978-7-5170-9520-0</t>
  </si>
  <si>
    <t>无线多天线协作通信系统的研究</t>
  </si>
  <si>
    <t>张燕</t>
  </si>
  <si>
    <t>TN92/126</t>
  </si>
  <si>
    <t>978-7-5717-0050-8</t>
  </si>
  <si>
    <t>量子通信: 世界信息科技的前沿阵地</t>
  </si>
  <si>
    <t>李大光, 翁永斌</t>
  </si>
  <si>
    <t>河北科学技术出版社</t>
  </si>
  <si>
    <t>TN929.1/25</t>
  </si>
  <si>
    <t>978-7-118-12353-1</t>
  </si>
  <si>
    <t>自由空间光通信技术</t>
  </si>
  <si>
    <t>(印) 赫曼尼·考沙尔, 维兰德·库马尔·杰恩, 舒普洛特·卡尔</t>
  </si>
  <si>
    <t>TN929.1/26</t>
  </si>
  <si>
    <t>978-7-5684-1640-5</t>
  </si>
  <si>
    <t>光纤通信接入与传输实验教程</t>
  </si>
  <si>
    <t>左官芳, 张银胜</t>
  </si>
  <si>
    <t>TN929.11/56</t>
  </si>
  <si>
    <t>978-7-5606-5899-5</t>
  </si>
  <si>
    <t>移动通信技术</t>
  </si>
  <si>
    <t>周彬</t>
  </si>
  <si>
    <t>TN929.5/227</t>
  </si>
  <si>
    <t>978-7-115-55890-9</t>
  </si>
  <si>
    <t>6G技术发展及演进</t>
  </si>
  <si>
    <t>许光斌</t>
  </si>
  <si>
    <t>TN929.5/228</t>
  </si>
  <si>
    <t>978-7-115-55368-3</t>
  </si>
  <si>
    <t>大话移动通信</t>
  </si>
  <si>
    <t>周康林, 丁奇</t>
  </si>
  <si>
    <t>TN929.5/229=2D</t>
  </si>
  <si>
    <t>978-7-5682-9486-7</t>
  </si>
  <si>
    <t>移动网络规划与优化</t>
  </si>
  <si>
    <t>顾艳华, 陈雪娇</t>
  </si>
  <si>
    <t>TN929.5/230</t>
  </si>
  <si>
    <t>978-7-115-57743-6</t>
  </si>
  <si>
    <t>6G网络按需服务关键技术</t>
  </si>
  <si>
    <t xml:space="preserve">廖建新 ...  </t>
  </si>
  <si>
    <t>TN929.5/231</t>
  </si>
  <si>
    <t>978-7-5208-1082-1</t>
  </si>
  <si>
    <t>5G+: 除了速度, 5G还能带来什么</t>
  </si>
  <si>
    <t>简播联创团队</t>
  </si>
  <si>
    <t>TN929.5/232</t>
  </si>
  <si>
    <t>978-7-5221-1305-0</t>
  </si>
  <si>
    <t>5G移动通信及其关键技术</t>
  </si>
  <si>
    <t>申时凯, 佘玉梅</t>
  </si>
  <si>
    <t>TN929.5/233</t>
  </si>
  <si>
    <t>978-7-115-55553-3</t>
  </si>
  <si>
    <t>5G承载网网络规划与组网设计</t>
  </si>
  <si>
    <t xml:space="preserve">张优训 ...  </t>
  </si>
  <si>
    <t>TN929.5/234</t>
  </si>
  <si>
    <t>978-7-122-37500-1</t>
  </si>
  <si>
    <t>5G+: 九大垂直领域的5G智慧赋能</t>
  </si>
  <si>
    <t>张进财</t>
  </si>
  <si>
    <t>TN929.5/235</t>
  </si>
  <si>
    <t>978-7-5359-7519-5</t>
  </si>
  <si>
    <t>5G的世界: 万物互联</t>
  </si>
  <si>
    <t>薛泉</t>
  </si>
  <si>
    <t>TN929.5/236/1</t>
  </si>
  <si>
    <t>978-7-5359-7520-1</t>
  </si>
  <si>
    <t>5G的世界: 智能制造</t>
  </si>
  <si>
    <t>总薛泉</t>
  </si>
  <si>
    <t>TN929.5/236/2</t>
  </si>
  <si>
    <t>978-7-5359-7523-2</t>
  </si>
  <si>
    <t>5G的世界: 智慧医疗</t>
  </si>
  <si>
    <t>薛泉总</t>
  </si>
  <si>
    <t>TN929.5/236/3</t>
  </si>
  <si>
    <t>978-7-5359-7522-5</t>
  </si>
  <si>
    <t>5G的世界: 智慧交通</t>
  </si>
  <si>
    <t>TN929.5/236/4</t>
  </si>
  <si>
    <t>978-7-300-28425-5</t>
  </si>
  <si>
    <t>5G机会: 5G将带来哪些机会, 如何把握</t>
  </si>
  <si>
    <t>项立刚</t>
  </si>
  <si>
    <t>TN929.5/237</t>
  </si>
  <si>
    <t>978-7-5517-2209-4</t>
  </si>
  <si>
    <t>移动通信</t>
  </si>
  <si>
    <t>董国芳, 邢传玺</t>
  </si>
  <si>
    <t>TN929.5/238</t>
  </si>
  <si>
    <t>978-7-5057-4918-4</t>
  </si>
  <si>
    <t>5G大时代</t>
  </si>
  <si>
    <t>张靖笙</t>
  </si>
  <si>
    <t>中国友谊出版公司</t>
  </si>
  <si>
    <t>TN929.5/239</t>
  </si>
  <si>
    <t>978-7-115-56768-0</t>
  </si>
  <si>
    <t>Android移动开发基础案例教程</t>
  </si>
  <si>
    <t>黑马程序员</t>
  </si>
  <si>
    <t>TN929.53/349=2D</t>
  </si>
  <si>
    <t>978-7-115-56315-6</t>
  </si>
  <si>
    <t>5G网络技术与规划设计基础</t>
  </si>
  <si>
    <t xml:space="preserve">蓝俊锋 ...  </t>
  </si>
  <si>
    <t>TN929.53/466</t>
  </si>
  <si>
    <t>978-7-5682-9864-3</t>
  </si>
  <si>
    <t>基于Android物联网技术应用</t>
  </si>
  <si>
    <t>王浩</t>
  </si>
  <si>
    <t>TN929.53/467</t>
  </si>
  <si>
    <t>978-7-5664-2116-6</t>
  </si>
  <si>
    <t>智能手机初级操作教程</t>
  </si>
  <si>
    <t>TN929.53/468</t>
  </si>
  <si>
    <t>978-7-115-55341-6</t>
  </si>
  <si>
    <t>全栈式微信小程序云开发实战</t>
  </si>
  <si>
    <t>孙芳, 梁大业, 林彬</t>
  </si>
  <si>
    <t>TN929.53/469</t>
  </si>
  <si>
    <t>978-7-115-57242-4</t>
  </si>
  <si>
    <t>深入浅出React Native</t>
  </si>
  <si>
    <t>陈陆扬</t>
  </si>
  <si>
    <t>TN929.53/470</t>
  </si>
  <si>
    <t>978-7-115-55065-1</t>
  </si>
  <si>
    <t>微信小程序开发项目教程</t>
  </si>
  <si>
    <t>TN929.53/471</t>
  </si>
  <si>
    <t>978-7-5208-1098-2</t>
  </si>
  <si>
    <t>5G品牌营销</t>
  </si>
  <si>
    <t>柳家俊</t>
  </si>
  <si>
    <t>TN929.53/472</t>
  </si>
  <si>
    <t>978-7-111-69609-4</t>
  </si>
  <si>
    <t>深入浅出Electron: 原理、工程与实践</t>
  </si>
  <si>
    <t>刘晓伦</t>
  </si>
  <si>
    <t>TN929.53/473</t>
  </si>
  <si>
    <t>978-7-115-56290-6</t>
  </si>
  <si>
    <t>小程序开发原理与实战</t>
  </si>
  <si>
    <t>王贝珊, 戴頔, 李成熙</t>
  </si>
  <si>
    <t>TN929.53/474</t>
  </si>
  <si>
    <t>978-7-5221-1489-7</t>
  </si>
  <si>
    <t>轻松玩转智能手机: 智能时代, 父母们的诗和远方</t>
  </si>
  <si>
    <t>刘三满</t>
  </si>
  <si>
    <t>TN929.53/475</t>
  </si>
  <si>
    <t>978-7-121-37206-3</t>
  </si>
  <si>
    <t>Android高效进阶: 从数据到AI</t>
  </si>
  <si>
    <t>胡强</t>
  </si>
  <si>
    <t>TN929.53/476</t>
  </si>
  <si>
    <t>978-7-302-58747-7</t>
  </si>
  <si>
    <t>安卓Frida逆向与抓包实战</t>
  </si>
  <si>
    <t>陈佳林</t>
  </si>
  <si>
    <t>TN929.53/477</t>
  </si>
  <si>
    <t>978-7-115-57675-0</t>
  </si>
  <si>
    <t>昇腾AI应用开发</t>
  </si>
  <si>
    <t>北京博海迪信息科技有限公司</t>
  </si>
  <si>
    <t>TN929.53/478</t>
  </si>
  <si>
    <t>978-7-122-37102-7</t>
  </si>
  <si>
    <t>Android开发从入门到进阶实战</t>
  </si>
  <si>
    <t>钱慎一, 刘芳华</t>
  </si>
  <si>
    <t>TN929.53/479</t>
  </si>
  <si>
    <t>978-7-5194-6243-7</t>
  </si>
  <si>
    <t>数字影像研究: 基于互联网时代</t>
  </si>
  <si>
    <t>吴毅, 孔苗苗</t>
  </si>
  <si>
    <t>TN946/5</t>
  </si>
  <si>
    <t>978-7-121-42353-6</t>
  </si>
  <si>
    <t>网店短视频制作实战宝典: Premiere Pro+After Effects</t>
  </si>
  <si>
    <t>方国平</t>
  </si>
  <si>
    <t>TN948.4/10</t>
  </si>
  <si>
    <t>978-7-111-69268-3</t>
  </si>
  <si>
    <t>微信视频号全流程实战</t>
  </si>
  <si>
    <t>冯阳阳</t>
  </si>
  <si>
    <t>TN948.4/11</t>
  </si>
  <si>
    <t>978-7-5225-0384-4</t>
  </si>
  <si>
    <t>短视频制作与营销全攻略</t>
  </si>
  <si>
    <t>侯凤菊</t>
  </si>
  <si>
    <t>TN948.4/12</t>
  </si>
  <si>
    <t>978-7-115-55343-0</t>
  </si>
  <si>
    <t>短视频制作全能一本通</t>
  </si>
  <si>
    <t>刘庆振, 安琪, 王凌峰</t>
  </si>
  <si>
    <t>TN948.4/9</t>
  </si>
  <si>
    <t>978-7-5685-2998-3</t>
  </si>
  <si>
    <t>什么是自动化?</t>
  </si>
  <si>
    <t>王宏伟, 王东, 夏浩</t>
  </si>
  <si>
    <t>TP1/3</t>
  </si>
  <si>
    <t>978-7-5763-0004-8</t>
  </si>
  <si>
    <t>交互设计原理与方法</t>
  </si>
  <si>
    <t>马华</t>
  </si>
  <si>
    <t>TP11/32</t>
  </si>
  <si>
    <t>978-7-5682-9620-5</t>
  </si>
  <si>
    <t>自动控制原理</t>
  </si>
  <si>
    <t>吴秀华, 邹秋滢, 刘潭</t>
  </si>
  <si>
    <t>TP13/70</t>
  </si>
  <si>
    <t>978-7-03-070455-9</t>
  </si>
  <si>
    <t>云控制与决策理论及其应用</t>
  </si>
  <si>
    <t>夏元清</t>
  </si>
  <si>
    <t>TP13/71</t>
  </si>
  <si>
    <t>978-7-5689-2864-9</t>
  </si>
  <si>
    <t>解码智能时代. 2021. 从中国国际智能产业博览会瞭望全球智能产业</t>
  </si>
  <si>
    <t>黄桷树财经</t>
  </si>
  <si>
    <t>TP18/578</t>
  </si>
  <si>
    <t>978-7-5689-2880-9</t>
  </si>
  <si>
    <t>解码智能时代. 2021. 来自未来的数智图谱</t>
  </si>
  <si>
    <t>信风智库</t>
  </si>
  <si>
    <t>TP18/579</t>
  </si>
  <si>
    <t>978-7-5669-1992-2</t>
  </si>
  <si>
    <t>从人工智能到社会伦理</t>
  </si>
  <si>
    <t xml:space="preserve">王晗 ...  </t>
  </si>
  <si>
    <t>TP18/580</t>
  </si>
  <si>
    <t>978-7-115-55845-9</t>
  </si>
  <si>
    <t>人工智能技术</t>
  </si>
  <si>
    <t>华为技术有限公司</t>
  </si>
  <si>
    <t>TP18/581</t>
  </si>
  <si>
    <t>978-7-301-32305-2</t>
  </si>
  <si>
    <t>人工智能导论</t>
  </si>
  <si>
    <t>李云红</t>
  </si>
  <si>
    <t>TP18/582</t>
  </si>
  <si>
    <t>978-7-5763-0020-8</t>
  </si>
  <si>
    <t>智能开源硬件基础</t>
  </si>
  <si>
    <t>高立, 兰名荥</t>
  </si>
  <si>
    <t>TP18/583</t>
  </si>
  <si>
    <t>978-7-5689-2881-6</t>
  </si>
  <si>
    <t>解码智能时代. 2021. 前沿趋势10人谈</t>
  </si>
  <si>
    <t>TP18/584</t>
  </si>
  <si>
    <t>978-7-5221-1365-4</t>
  </si>
  <si>
    <t>基于人工智能算法的研究与应用</t>
  </si>
  <si>
    <t>韦鹏程, 赵宇, 张宗银</t>
  </si>
  <si>
    <t>TP18/585</t>
  </si>
  <si>
    <t>978-7-5221-1322-7</t>
  </si>
  <si>
    <t>基于人工智能的知识图谱技术研究</t>
  </si>
  <si>
    <t>韦鹏程, 张向华, 彭亚飞</t>
  </si>
  <si>
    <t>TP18/586</t>
  </si>
  <si>
    <t>978-7-5603-8808-3</t>
  </si>
  <si>
    <t>智能化的自适应系统: 人和人工智能交互共栖的优化设计</t>
  </si>
  <si>
    <t>Ming Hou, Simon Banbury, Catherine Burn</t>
  </si>
  <si>
    <t>TP18/587</t>
  </si>
  <si>
    <t>978-7-5581-9404-7</t>
  </si>
  <si>
    <t>现代智能信息处理及应用</t>
  </si>
  <si>
    <t>王家林</t>
  </si>
  <si>
    <t>TP18/588</t>
  </si>
  <si>
    <t>978-7-5439-7998-7</t>
  </si>
  <si>
    <t>人工智能简史</t>
  </si>
  <si>
    <t>施鹤群</t>
  </si>
  <si>
    <t>TP18/589</t>
  </si>
  <si>
    <t>978-7-5165-2491-6</t>
  </si>
  <si>
    <t>人工智能</t>
  </si>
  <si>
    <t>何泽奇, 韩芳, 曾辉</t>
  </si>
  <si>
    <t>TP18/590</t>
  </si>
  <si>
    <t>978-7-5639-6879-4</t>
  </si>
  <si>
    <t>人工智能技术的发展及应用研究</t>
  </si>
  <si>
    <t>谭阳</t>
  </si>
  <si>
    <t>TP18/591</t>
  </si>
  <si>
    <t>978-7-03-068226-0</t>
  </si>
  <si>
    <t>人工智能与电气应用</t>
  </si>
  <si>
    <t xml:space="preserve">胡维昊 ... </t>
  </si>
  <si>
    <t>TP18/592</t>
  </si>
  <si>
    <t>978-7-121-39478-2</t>
  </si>
  <si>
    <t>图深度学习</t>
  </si>
  <si>
    <t>马耀, 汤继良</t>
  </si>
  <si>
    <t>TP181/324</t>
  </si>
  <si>
    <t>978-7-115-57321-6</t>
  </si>
  <si>
    <t>机器学习流水线实战</t>
  </si>
  <si>
    <t>(美) 汉内斯·哈普克, 凯瑟琳·纳尔逊</t>
  </si>
  <si>
    <t>TP181/325</t>
  </si>
  <si>
    <t>978-7-302-59472-7</t>
  </si>
  <si>
    <t>机器学习导论</t>
  </si>
  <si>
    <t>张旭东</t>
  </si>
  <si>
    <t>TP181/326</t>
  </si>
  <si>
    <t>978-7-5170-9911-6</t>
  </si>
  <si>
    <t>写给新手的深度学习. 2. 用Python实现的循环神经网络RNN和VAE、GAN</t>
  </si>
  <si>
    <t>(日) 我妻幸长</t>
  </si>
  <si>
    <t>TP181/327/2</t>
  </si>
  <si>
    <t>978-7-115-57295-0</t>
  </si>
  <si>
    <t>演化学习: 理论与算法进展</t>
  </si>
  <si>
    <t>周志华, 俞扬, 钱超</t>
  </si>
  <si>
    <t>TP181/328</t>
  </si>
  <si>
    <t>978-7-115-56356-9</t>
  </si>
  <si>
    <t>图解机器学习算法</t>
  </si>
  <si>
    <t>(日) 秋庭伸也, 杉山阿圣, 寺田学</t>
  </si>
  <si>
    <t>TP181/329</t>
  </si>
  <si>
    <t>978-7-115-55240-2</t>
  </si>
  <si>
    <t>机器学习算法评估实战</t>
  </si>
  <si>
    <t>宋亚统</t>
  </si>
  <si>
    <t>TP181/330</t>
  </si>
  <si>
    <t>978-7-5639-6885-5</t>
  </si>
  <si>
    <t>深度核机器学习技术及应用</t>
  </si>
  <si>
    <t>刘冰, 尹洪涛, 付平</t>
  </si>
  <si>
    <t>TP181/331</t>
  </si>
  <si>
    <t>978-7-302-59523-6</t>
  </si>
  <si>
    <t>基于知识图谱的学科主题演化分析与预测</t>
  </si>
  <si>
    <t>霍朝光</t>
  </si>
  <si>
    <t>TP181/332</t>
  </si>
  <si>
    <t>978-7-115-57532-6</t>
  </si>
  <si>
    <t>联邦学习: 原理与算法</t>
  </si>
  <si>
    <t xml:space="preserve">王健宗 ...  </t>
  </si>
  <si>
    <t>TP181/333</t>
  </si>
  <si>
    <t>978-7-5606-6054-7</t>
  </si>
  <si>
    <t>机器学习的综合基础</t>
  </si>
  <si>
    <t>张军英,杨利英</t>
  </si>
  <si>
    <t>TP181/334</t>
  </si>
  <si>
    <t>978-7-5020-7223-0</t>
  </si>
  <si>
    <t>人工神经网络</t>
  </si>
  <si>
    <t>谭云亮, 于凤海</t>
  </si>
  <si>
    <t>TP183/98</t>
  </si>
  <si>
    <t>978-7-206-17639-5</t>
  </si>
  <si>
    <t>高校自动化专业课程建设与教学改革</t>
  </si>
  <si>
    <t>段翠翠</t>
  </si>
  <si>
    <t>TP2/7</t>
  </si>
  <si>
    <t>978-7-5487-4663-8</t>
  </si>
  <si>
    <t>智能传感器技术及其在电气系统中的应用研究</t>
  </si>
  <si>
    <t>杨磊</t>
  </si>
  <si>
    <t>TP212.6/11</t>
  </si>
  <si>
    <t>978-7-5221-0846-9</t>
  </si>
  <si>
    <t>物联网环境中智能传感系统关键技术研究与应用</t>
  </si>
  <si>
    <t>周岳斌</t>
  </si>
  <si>
    <t>TP212.6/12</t>
  </si>
  <si>
    <t>978-7-121-36963-6</t>
  </si>
  <si>
    <t>传感器与物联网技术</t>
  </si>
  <si>
    <t>魏虹</t>
  </si>
  <si>
    <t>TP212/136=2D</t>
  </si>
  <si>
    <t>978-7-5682-8348-9</t>
  </si>
  <si>
    <t>信息获取技术</t>
  </si>
  <si>
    <t>张振海, 张振山, 李科杰</t>
  </si>
  <si>
    <t>TP212/137</t>
  </si>
  <si>
    <t>978-7-5615-8261-9</t>
  </si>
  <si>
    <t>传感器原理及应用</t>
  </si>
  <si>
    <t>王淑坤, 蔡凡, 何惜琴</t>
  </si>
  <si>
    <t>TP212/138</t>
  </si>
  <si>
    <t>978-7-122-37580-3</t>
  </si>
  <si>
    <t>光纤传感原理与技术</t>
  </si>
  <si>
    <t>冯亭</t>
  </si>
  <si>
    <t>TP212/139</t>
  </si>
  <si>
    <t>978-7-5682-8568-1</t>
  </si>
  <si>
    <t>传感器技术及应用</t>
  </si>
  <si>
    <t>李东晶</t>
  </si>
  <si>
    <t>TP212/140</t>
  </si>
  <si>
    <t>978-7-5221-0771-4</t>
  </si>
  <si>
    <t>无线传感关键技术及其应用研究</t>
  </si>
  <si>
    <t>王鑫, 孙彩锋</t>
  </si>
  <si>
    <t>TP212/141</t>
  </si>
  <si>
    <t>978-7-5682-9402-7</t>
  </si>
  <si>
    <t>无线传感器网络定位跟踪算法研究</t>
  </si>
  <si>
    <t>周伟, 高鹏, 易军</t>
  </si>
  <si>
    <t>TP212/142</t>
  </si>
  <si>
    <t>978-7-5650-4950-7</t>
  </si>
  <si>
    <t>传感器与固体电解质</t>
  </si>
  <si>
    <t>王洪涛, 韩燕</t>
  </si>
  <si>
    <t>TP212/143</t>
  </si>
  <si>
    <t>978-7-5647-8752-3</t>
  </si>
  <si>
    <t>传感器原理与应用</t>
  </si>
  <si>
    <t>吕科, 王晓冬, 韩海花</t>
  </si>
  <si>
    <t>TP212/144</t>
  </si>
  <si>
    <t>978-7-111-66359-1</t>
  </si>
  <si>
    <t>电磁超声传感器与电磁超声非接触测量</t>
  </si>
  <si>
    <t>(日) 平尾雅彦, 荻博次</t>
  </si>
  <si>
    <t>TP212/145</t>
  </si>
  <si>
    <t>978-7-5180-6619-3</t>
  </si>
  <si>
    <t>两轮机器人的运动控制与应用研究</t>
  </si>
  <si>
    <t>王佐勋, 王桂娟, 颜安</t>
  </si>
  <si>
    <t>TP24/29</t>
  </si>
  <si>
    <t>978-7-5166-5210-7</t>
  </si>
  <si>
    <t>基于多模态感知的人手动作捕捉与识别</t>
  </si>
  <si>
    <t>薛亚许</t>
  </si>
  <si>
    <t>TP241/2</t>
  </si>
  <si>
    <t>978-7-118-12265-7</t>
  </si>
  <si>
    <t>仿人机械臂的生物启发式控制: 鲁棒和自适应方法</t>
  </si>
  <si>
    <t>(美) Adam Spiers, Said Ghani Khan, Guido Herrmann</t>
  </si>
  <si>
    <t>TP241/3</t>
  </si>
  <si>
    <t>978-7-5682-8412-7</t>
  </si>
  <si>
    <t>工业机器人协作应用基础</t>
  </si>
  <si>
    <t>杨振, 艾益民</t>
  </si>
  <si>
    <t>TP242.2/51</t>
  </si>
  <si>
    <t>978-7-5682-8713-5</t>
  </si>
  <si>
    <t>工业机器人技术与应用</t>
  </si>
  <si>
    <t>赵元, 李承欣, 李俊宇</t>
  </si>
  <si>
    <t>TP242.2/52</t>
  </si>
  <si>
    <t>978-7-5661-3101-0</t>
  </si>
  <si>
    <t>工业机器人技术基础</t>
  </si>
  <si>
    <t>李福武, 卢运娇, 李晓峰</t>
  </si>
  <si>
    <t>TP242.2/53</t>
  </si>
  <si>
    <t>978-7-5221-0696-0</t>
  </si>
  <si>
    <t>智能制造时代的工业机器人技术及应用研究</t>
  </si>
  <si>
    <t>张荣</t>
  </si>
  <si>
    <t>TP242.2/54</t>
  </si>
  <si>
    <t>978-7-5639-7208-1</t>
  </si>
  <si>
    <t>工业机器人操作与编程</t>
  </si>
  <si>
    <t>王瑊, 王东成</t>
  </si>
  <si>
    <t>TP242.2/55</t>
  </si>
  <si>
    <t>978-7-122-38371-6</t>
  </si>
  <si>
    <t>工业机器人基础操作与编程</t>
  </si>
  <si>
    <t>双精准示范专业建设教材组</t>
  </si>
  <si>
    <t>TP242.2/56</t>
  </si>
  <si>
    <t>978-7-5603-9573-9</t>
  </si>
  <si>
    <t>工业机器人系统技术应用</t>
  </si>
  <si>
    <t>张明文, 顾三鸿</t>
  </si>
  <si>
    <t>TP242.2/57</t>
  </si>
  <si>
    <t>978-7-121-38215-4</t>
  </si>
  <si>
    <t>工业机器人的用户自定制配置设计模式</t>
  </si>
  <si>
    <t>李靖</t>
  </si>
  <si>
    <t>TP242.2/58</t>
  </si>
  <si>
    <t>978-7-5692-9058-5</t>
  </si>
  <si>
    <t>移动机器人自主导航关键技术及应用</t>
  </si>
  <si>
    <t>吕太之, 张娟, 乔大雷</t>
  </si>
  <si>
    <t>TP242.6/44</t>
  </si>
  <si>
    <t>978-7-118-12037-0</t>
  </si>
  <si>
    <t>基于多视图几何的惯性: 立体视觉组合导航方法研究</t>
  </si>
  <si>
    <t xml:space="preserve">孔祥龙 ...  </t>
  </si>
  <si>
    <t>TP242.6/45</t>
  </si>
  <si>
    <t>978-7-5221-0216-0</t>
  </si>
  <si>
    <t>图像处理与视觉测量</t>
  </si>
  <si>
    <t>李明磊</t>
  </si>
  <si>
    <t>TP242.6/46</t>
  </si>
  <si>
    <t>978-7-121-41358-2</t>
  </si>
  <si>
    <t>生物启发步行机器人</t>
  </si>
  <si>
    <t>(德) Poramate Manoonpong</t>
  </si>
  <si>
    <t>TP242/91</t>
  </si>
  <si>
    <t>978-7-122-35919-3</t>
  </si>
  <si>
    <t>机器人设计与制作入门</t>
  </si>
  <si>
    <t>明子成, 李茗妍</t>
  </si>
  <si>
    <t>TP242/92</t>
  </si>
  <si>
    <t>978-7-5603-8641-6</t>
  </si>
  <si>
    <t>机器人关节用旋转变压器的现代设计方法</t>
  </si>
  <si>
    <t>尚静</t>
  </si>
  <si>
    <t>TP242/93</t>
  </si>
  <si>
    <t>978-7-111-69742-8</t>
  </si>
  <si>
    <t>机器人SLAM导航: 核心技术与实战</t>
  </si>
  <si>
    <t>张虎</t>
  </si>
  <si>
    <t>TP242/94</t>
  </si>
  <si>
    <t>978-7-118-12079-0</t>
  </si>
  <si>
    <t>移动作业机器人感知、规划与控制</t>
  </si>
  <si>
    <t xml:space="preserve">王耀南 ...  </t>
  </si>
  <si>
    <t>TP242/95</t>
  </si>
  <si>
    <t>978-7-5180-7922-3</t>
  </si>
  <si>
    <t>网络化控制系统随机时延研究</t>
  </si>
  <si>
    <t>葛愿</t>
  </si>
  <si>
    <t>TP273/174</t>
  </si>
  <si>
    <t>978-7-5682-9814-8</t>
  </si>
  <si>
    <t>过程控制系统</t>
  </si>
  <si>
    <t>纪振平</t>
  </si>
  <si>
    <t>TP273/175</t>
  </si>
  <si>
    <t>978-7-121-38140-9</t>
  </si>
  <si>
    <t>工业过程控制及安全技术</t>
  </si>
  <si>
    <t>王华忠</t>
  </si>
  <si>
    <t>TP273/176</t>
  </si>
  <si>
    <t>978-7-5221-0279-5</t>
  </si>
  <si>
    <t>智能控制理论与技术</t>
  </si>
  <si>
    <t>周国娟</t>
  </si>
  <si>
    <t>TP273/177</t>
  </si>
  <si>
    <t>978-7-5221-0746-2</t>
  </si>
  <si>
    <t>大数据分析与数据挖掘技术研究</t>
  </si>
  <si>
    <t>刘燕</t>
  </si>
  <si>
    <t>TP274/668</t>
  </si>
  <si>
    <t>978-7-5121-4622-8</t>
  </si>
  <si>
    <t>数据资源规划与管理实践实验指导书</t>
  </si>
  <si>
    <t xml:space="preserve">陈刚 ...  </t>
  </si>
  <si>
    <t>北京交通大学出版社</t>
  </si>
  <si>
    <t>TP274/669</t>
  </si>
  <si>
    <t>978-7-121-40485-6</t>
  </si>
  <si>
    <t>业务架构·应用架构·数据架构实战</t>
  </si>
  <si>
    <t>温昱</t>
  </si>
  <si>
    <t>TP274/670</t>
  </si>
  <si>
    <t>978-7-5682-9257-3</t>
  </si>
  <si>
    <t>数据挖掘技术与应用</t>
  </si>
  <si>
    <t>由育阳</t>
  </si>
  <si>
    <t>TP274/671</t>
  </si>
  <si>
    <t>978-7-5639-6502-1</t>
  </si>
  <si>
    <t>大数据挖掘技术及分析</t>
  </si>
  <si>
    <t>蒋瀚洋</t>
  </si>
  <si>
    <t>TP274/672</t>
  </si>
  <si>
    <t>978-7-5096-8076-6</t>
  </si>
  <si>
    <t>大数据环境下局部模式挖掘关键技术研究</t>
  </si>
  <si>
    <t>姜涛</t>
  </si>
  <si>
    <t>TP274/673</t>
  </si>
  <si>
    <t>978-7-5198-5294-8</t>
  </si>
  <si>
    <t>基于Apache Spark的流处理</t>
  </si>
  <si>
    <t>(美) 杰拉德·马斯, 弗朗索瓦·加里洛</t>
  </si>
  <si>
    <t>TP274/674</t>
  </si>
  <si>
    <t>978-7-121-42181-5</t>
  </si>
  <si>
    <t>大数据治理: 理论与方法</t>
  </si>
  <si>
    <t>王宏志, 李默涵</t>
  </si>
  <si>
    <t>TP274/675</t>
  </si>
  <si>
    <t>978-7-115-53778-2</t>
  </si>
  <si>
    <t>Hadoop应用开发与案例实战</t>
  </si>
  <si>
    <t>穆建平, 王建, 商程</t>
  </si>
  <si>
    <t>TP274/676</t>
  </si>
  <si>
    <t>978-7-122-37908-5</t>
  </si>
  <si>
    <t>数据科学与智能技术概论</t>
  </si>
  <si>
    <t>刘培胜, 常东超</t>
  </si>
  <si>
    <t>TP274/677</t>
  </si>
  <si>
    <t>978-7-115-55926-5</t>
  </si>
  <si>
    <t>大数据可视化技术</t>
  </si>
  <si>
    <t>吕云翔</t>
  </si>
  <si>
    <t>TP274/678</t>
  </si>
  <si>
    <t>978-7-111-69629-2</t>
  </si>
  <si>
    <t>Flink技术内幕: 架构设计与实现原理</t>
  </si>
  <si>
    <t xml:space="preserve">罗江宇 ...  </t>
  </si>
  <si>
    <t>TP274/679</t>
  </si>
  <si>
    <t>978-7-5639-7389-7</t>
  </si>
  <si>
    <t>信息化背景下高校大数据技术与应用专业人才培养模式转型与升级研究</t>
  </si>
  <si>
    <t>付雯</t>
  </si>
  <si>
    <t>TP274/680</t>
  </si>
  <si>
    <t>978-7-5150-2513-1</t>
  </si>
  <si>
    <t>数据要素领导干部读本</t>
  </si>
  <si>
    <t>李纪珍, 钟宏</t>
  </si>
  <si>
    <t>TP274/681</t>
  </si>
  <si>
    <t>978-7-5610-9891-2</t>
  </si>
  <si>
    <t>大数据开发技术与行业应用研究</t>
  </si>
  <si>
    <t>TP274/682</t>
  </si>
  <si>
    <t>978-7-115-57601-9</t>
  </si>
  <si>
    <t>Spark快速大数据分析</t>
  </si>
  <si>
    <t xml:space="preserve">(美) 朱尔斯·S. 达米吉 ...  </t>
  </si>
  <si>
    <t>TP274/683</t>
  </si>
  <si>
    <t>978-7-118-11203-0</t>
  </si>
  <si>
    <t>大数据分析: 从战略规划到企业集成, 用工具、技术、NoSQL数据库和图分析等方法构建大数据分析</t>
  </si>
  <si>
    <t>(美) 大卫·洛辛</t>
  </si>
  <si>
    <t>TP274/684</t>
  </si>
  <si>
    <t>978-7-03-070183-1</t>
  </si>
  <si>
    <t>复杂不完备数据智能分析方法</t>
  </si>
  <si>
    <t xml:space="preserve">鄂旭 ...  </t>
  </si>
  <si>
    <t>TP274/685</t>
  </si>
  <si>
    <t>978-7-5165-2792-4</t>
  </si>
  <si>
    <t>大数据技术基础</t>
  </si>
  <si>
    <t>覃事刚, 姚瑶, 李奇</t>
  </si>
  <si>
    <t>TP274/686=2D</t>
  </si>
  <si>
    <t>978-7-5221-0511-6</t>
  </si>
  <si>
    <t>数据挖掘技术在文本等数据上的应用研究</t>
  </si>
  <si>
    <t>姜明洋</t>
  </si>
  <si>
    <t>TP274/687</t>
  </si>
  <si>
    <t>978-7-01-023768-8</t>
  </si>
  <si>
    <t>大数据创新发展与知识产权保护</t>
  </si>
  <si>
    <t>高莉</t>
  </si>
  <si>
    <t>TP274/688</t>
  </si>
  <si>
    <t>978-7-121-42180-8</t>
  </si>
  <si>
    <t>大数据导论: 大数据思维、技术与应用</t>
  </si>
  <si>
    <t xml:space="preserve">何明 ...  </t>
  </si>
  <si>
    <t>TP274/689=2D</t>
  </si>
  <si>
    <t>978-7-115-56005-6</t>
  </si>
  <si>
    <t>Presto实战</t>
  </si>
  <si>
    <t>(美) 马特·富勒, 曼弗雷德·莫泽, 马丁·特拉韦尔索</t>
  </si>
  <si>
    <t>TP274/690</t>
  </si>
  <si>
    <t>978-7-5198-5481-2</t>
  </si>
  <si>
    <t>Apache OpenWhisk学习手册</t>
  </si>
  <si>
    <t>(美) 米歇尔·西巴拉</t>
  </si>
  <si>
    <t>TP274/691</t>
  </si>
  <si>
    <t>978-7-5096-7909-8</t>
  </si>
  <si>
    <t>大数据服务风险元传递模型</t>
  </si>
  <si>
    <t>孙宝军</t>
  </si>
  <si>
    <t>TP274/692</t>
  </si>
  <si>
    <t>978-7-118-12328-9</t>
  </si>
  <si>
    <t>数据驱动控制方法与精密运动控制实现</t>
  </si>
  <si>
    <t>曹荣敏</t>
  </si>
  <si>
    <t>TP274/693</t>
  </si>
  <si>
    <t>978-7-5202-1034-8</t>
  </si>
  <si>
    <t>数据时代: 可编程未来的哲学指南</t>
  </si>
  <si>
    <t xml:space="preserve">(意) 科西莫·亚卡托 </t>
  </si>
  <si>
    <t>TP274/694</t>
  </si>
  <si>
    <t>978-7-5194-6114-0</t>
  </si>
  <si>
    <t>大数据技术哲学分析</t>
  </si>
  <si>
    <t>李君亮</t>
  </si>
  <si>
    <t>TP274/695</t>
  </si>
  <si>
    <t>978-7-300-28232-9</t>
  </si>
  <si>
    <t>数据治理之论</t>
  </si>
  <si>
    <t>梅宏</t>
  </si>
  <si>
    <t>TP274/696</t>
  </si>
  <si>
    <t>978-7-5608-7674-0</t>
  </si>
  <si>
    <t>数据中心节能技术应用标准</t>
  </si>
  <si>
    <t>单位上海市建筑科学研究院 (集团) 有限公司, 上海市建筑建材业市场管理总站</t>
  </si>
  <si>
    <t>TP274/697</t>
  </si>
  <si>
    <t>978-7-5217-2193-5</t>
  </si>
  <si>
    <t>数据安全实操指南: 不可不知的个人隐私侵犯陷阱</t>
  </si>
  <si>
    <t>(新加坡) 凯文·谢泼德森, (新加坡) 威廉·丘, (澳) 琳恩·博克索尔</t>
  </si>
  <si>
    <t>TP274/698</t>
  </si>
  <si>
    <t>978-7-5096-7934-0</t>
  </si>
  <si>
    <t>大数据分析基础: 数据降维方法研究</t>
  </si>
  <si>
    <t>郑月锋</t>
  </si>
  <si>
    <t>TP274/699</t>
  </si>
  <si>
    <t>978-7-115-56157-2</t>
  </si>
  <si>
    <t>Hadoop 3实战指南</t>
  </si>
  <si>
    <t>孙志伟</t>
  </si>
  <si>
    <t>TP274-62/2</t>
  </si>
  <si>
    <t>978-7-5682-7524-8</t>
  </si>
  <si>
    <t>自动化生产线安装与调试项目化教程</t>
  </si>
  <si>
    <t>马静, 胡素梅, 张学芳</t>
  </si>
  <si>
    <t>TP278/5</t>
  </si>
  <si>
    <t>978-7-5635-6145-2</t>
  </si>
  <si>
    <t>大学计算机实践教程</t>
  </si>
  <si>
    <t>蒋加伏, 张林峰</t>
  </si>
  <si>
    <t>北京邮电大学出版社</t>
  </si>
  <si>
    <t>TP3/1341=6D</t>
  </si>
  <si>
    <t>978-7-5615-8339-5</t>
  </si>
  <si>
    <t>信息技术</t>
  </si>
  <si>
    <t>《信息技术》组</t>
  </si>
  <si>
    <t>TP3/1493</t>
  </si>
  <si>
    <t>978-7-5603-8562-4</t>
  </si>
  <si>
    <t>大学计算机基础实验指导</t>
  </si>
  <si>
    <t>徐娜, 姜春风</t>
  </si>
  <si>
    <t>TP3/1494</t>
  </si>
  <si>
    <t>978-7-5578-8150-4</t>
  </si>
  <si>
    <t>计算机应用技术及其创新发展研究</t>
  </si>
  <si>
    <t>常春燕, 荣喜丰</t>
  </si>
  <si>
    <t>TP3/1495</t>
  </si>
  <si>
    <t>978-7-5763-0176-2</t>
  </si>
  <si>
    <t>大学计算机</t>
  </si>
  <si>
    <t>王晓燕, 张桂霞, 张华忠</t>
  </si>
  <si>
    <t>TP3/1496</t>
  </si>
  <si>
    <t>978-7-111-69379-6</t>
  </si>
  <si>
    <t>CCF 2020-2021中国计算机科学技术发展报告</t>
  </si>
  <si>
    <t>中国计算机学会</t>
  </si>
  <si>
    <t>TP3/1497</t>
  </si>
  <si>
    <t>978-7-5635-6519-1</t>
  </si>
  <si>
    <t>大学计算机基础: 项目化实训教程</t>
  </si>
  <si>
    <t>蒋加伏</t>
  </si>
  <si>
    <t>TP3/1498=4D</t>
  </si>
  <si>
    <t>978-7-5635-6521-4</t>
  </si>
  <si>
    <t>大学计算机基础: 项目化教程</t>
  </si>
  <si>
    <t>TP3/1499=4D</t>
  </si>
  <si>
    <t>978-7-5635-6163-6</t>
  </si>
  <si>
    <t>大学计算机实验教程</t>
  </si>
  <si>
    <t>王小平, 李柳柏</t>
  </si>
  <si>
    <t>TP3/1500=2D</t>
  </si>
  <si>
    <t>978-7-5194-6232-1</t>
  </si>
  <si>
    <t>主体参与教学研究: 以计算机教学为视角</t>
  </si>
  <si>
    <t>李占宣, 郑秋菊, 王晓</t>
  </si>
  <si>
    <t>TP3/1501</t>
  </si>
  <si>
    <t>978-7-5635-6458-3</t>
  </si>
  <si>
    <t>计算思维与信息技术导论上机实践</t>
  </si>
  <si>
    <t>刘陶, 于丽, 李慧颖</t>
  </si>
  <si>
    <t>TP3/1502</t>
  </si>
  <si>
    <t>978-7-5578-8149-8</t>
  </si>
  <si>
    <t>计算机技术与物联网研究</t>
  </si>
  <si>
    <t>TP3/1503</t>
  </si>
  <si>
    <t>978-7-5578-7549-7</t>
  </si>
  <si>
    <t>计算机教学与网络安全管理</t>
  </si>
  <si>
    <t>李旭炯, 何登平, 曹型兵</t>
  </si>
  <si>
    <t>TP3/1504</t>
  </si>
  <si>
    <t>978-7-5615-8211-4</t>
  </si>
  <si>
    <t>大学计算机基础: 走进智能时代</t>
  </si>
  <si>
    <t>郭躬德</t>
  </si>
  <si>
    <t>TP3/1505</t>
  </si>
  <si>
    <t>978-7-308-21605-0</t>
  </si>
  <si>
    <t>大学计算机基础</t>
  </si>
  <si>
    <t>TP3/1506</t>
  </si>
  <si>
    <t>978-7-5682-9860-5</t>
  </si>
  <si>
    <t>计算机基础</t>
  </si>
  <si>
    <t>张帆, 赵莉, 谭玲丽</t>
  </si>
  <si>
    <t>TP3/1507</t>
  </si>
  <si>
    <t>978-7-5682-9011-1</t>
  </si>
  <si>
    <t>计算机导论</t>
  </si>
  <si>
    <t>张万民</t>
  </si>
  <si>
    <t>TP3/1508=2D</t>
  </si>
  <si>
    <t>978-7-5178-4472-3</t>
  </si>
  <si>
    <t>大学信息技术基础</t>
  </si>
  <si>
    <t>毛科技, 陈立建</t>
  </si>
  <si>
    <t>TP3/1509</t>
  </si>
  <si>
    <t>978-7-5178-4469-3</t>
  </si>
  <si>
    <t>大学信息技术基础实验教程</t>
  </si>
  <si>
    <t>毛科技, 竺超明</t>
  </si>
  <si>
    <t>TP3/1510</t>
  </si>
  <si>
    <t>978-7-5661-2429-6</t>
  </si>
  <si>
    <t>计算机文化基础</t>
  </si>
  <si>
    <t>詹慧珍, 姚继超, 叶会连</t>
  </si>
  <si>
    <t>TP3/1511</t>
  </si>
  <si>
    <t>978-7-5639-6991-3</t>
  </si>
  <si>
    <t>新时期计算机教育教学改革与实践</t>
  </si>
  <si>
    <t>曹灏柏</t>
  </si>
  <si>
    <t>TP3/1512</t>
  </si>
  <si>
    <t>978-7-5639-6869-5</t>
  </si>
  <si>
    <t>“双创”视阈下计算机专业应用型人才培养模式研究</t>
  </si>
  <si>
    <t>刘冰, 屈冠群</t>
  </si>
  <si>
    <t>TP3/1513</t>
  </si>
  <si>
    <t>978-7-5681-6955-4</t>
  </si>
  <si>
    <t>基于应用能力培养的计算机实践教学体系构建与实施</t>
  </si>
  <si>
    <t>佘玉梅, 申时凯</t>
  </si>
  <si>
    <t>TP3/1514</t>
  </si>
  <si>
    <t>978-7-5576-9606-1</t>
  </si>
  <si>
    <t>“互联网+”时代计算机应用技术与信息化创新研究</t>
  </si>
  <si>
    <t>余萍</t>
  </si>
  <si>
    <t>TP3/1515</t>
  </si>
  <si>
    <t>978-7-5685-3006-4</t>
  </si>
  <si>
    <t>什么是计算机?</t>
  </si>
  <si>
    <t>嵩天</t>
  </si>
  <si>
    <t>TP3/1516</t>
  </si>
  <si>
    <t>978-7-5635-6523-8</t>
  </si>
  <si>
    <t>大学计算机应用实践教程</t>
  </si>
  <si>
    <t>周新媛, 许劲, 周舟</t>
  </si>
  <si>
    <t>TP3/1517</t>
  </si>
  <si>
    <t>978-7-5635-6524-5</t>
  </si>
  <si>
    <t>大学计算机基础实践教程</t>
  </si>
  <si>
    <t>刘砚秋</t>
  </si>
  <si>
    <t>TP3/1518=2D</t>
  </si>
  <si>
    <t>978-7-115-57347-6</t>
  </si>
  <si>
    <t>计算机英语</t>
  </si>
  <si>
    <t>司爱侠, 张强华</t>
  </si>
  <si>
    <t>TP3/652=4D</t>
  </si>
  <si>
    <t>978-7-5221-0545-1</t>
  </si>
  <si>
    <t>“互联网+”时代计算机算法的应用及其实践研究</t>
  </si>
  <si>
    <t>崔迪</t>
  </si>
  <si>
    <t>TP301.6/123</t>
  </si>
  <si>
    <t>978-7-115-55693-6</t>
  </si>
  <si>
    <t>二进制分析实战</t>
  </si>
  <si>
    <t>(荷) 丹尼斯·安德里斯</t>
  </si>
  <si>
    <t>TP301.6/124</t>
  </si>
  <si>
    <t>978-7-309-16009-3</t>
  </si>
  <si>
    <t>基于群智能最优化算法的投影寻踪理论: 新进展、应用及软件</t>
  </si>
  <si>
    <t>楼文高</t>
  </si>
  <si>
    <t>TP301.6/125</t>
  </si>
  <si>
    <t>978-7-5632-4054-8</t>
  </si>
  <si>
    <t>计算机算法</t>
  </si>
  <si>
    <t xml:space="preserve">刘洪波 ...  </t>
  </si>
  <si>
    <t>TP301.6/126</t>
  </si>
  <si>
    <t>978-7-115-50902-4</t>
  </si>
  <si>
    <t>算法设计与分析</t>
  </si>
  <si>
    <t>张小东</t>
  </si>
  <si>
    <t>TP301.6/127</t>
  </si>
  <si>
    <t>978-7-5221-1311-1</t>
  </si>
  <si>
    <t>杰林码原理及应用</t>
  </si>
  <si>
    <t>王杰林</t>
  </si>
  <si>
    <t>TP301.6/128</t>
  </si>
  <si>
    <t>978-7-5170-9939-0</t>
  </si>
  <si>
    <t>推荐系统关键技术的研究</t>
  </si>
  <si>
    <t>田保军</t>
  </si>
  <si>
    <t>TP301.6/129</t>
  </si>
  <si>
    <t>978-7-5606-5945-9</t>
  </si>
  <si>
    <t>计算机组成原理</t>
  </si>
  <si>
    <t>傅篱</t>
  </si>
  <si>
    <t>TP301/33</t>
  </si>
  <si>
    <t>978-7-121-41179-3</t>
  </si>
  <si>
    <t>计算机视觉技术</t>
  </si>
  <si>
    <t xml:space="preserve">李红蕾 ...  </t>
  </si>
  <si>
    <t>TP302.7/29</t>
  </si>
  <si>
    <t>978-7-5578-8172-6</t>
  </si>
  <si>
    <t>AI改变世界: 基于计算机视觉的人物关系挖掘</t>
  </si>
  <si>
    <t>秦晓倩</t>
  </si>
  <si>
    <t>TP302.7/30</t>
  </si>
  <si>
    <t>978-7-111-69570-7</t>
  </si>
  <si>
    <t>计算机组成与设计: 硬件/软件接口</t>
  </si>
  <si>
    <t>(美) 戴维·A. 帕特森(David A. Patterson), 约翰·L. 亨尼斯(John L. Hennessy)</t>
  </si>
  <si>
    <t>TP303/16-3</t>
  </si>
  <si>
    <t>978-7-03-066187-6</t>
  </si>
  <si>
    <t>视频隐写与隐写分析</t>
  </si>
  <si>
    <t>赵险峰, 张弘, 曹纭</t>
  </si>
  <si>
    <t>TP309.7/28</t>
  </si>
  <si>
    <t>978-7-5221-1152-0</t>
  </si>
  <si>
    <t>基于可信计算的访问控制理论与方法</t>
  </si>
  <si>
    <t>马新强, 黄羿, 刘友缘</t>
  </si>
  <si>
    <t>TP309/146</t>
  </si>
  <si>
    <t>978-7-5198-5672-4</t>
  </si>
  <si>
    <t>像计算机科学家一样思考Java</t>
  </si>
  <si>
    <t>(美) 艾伦 B. 唐尼, 克里斯·梅菲尔德</t>
  </si>
  <si>
    <t>TP31/42-2</t>
  </si>
  <si>
    <t>978-7-115-55787-2</t>
  </si>
  <si>
    <t>Web数据可视化: ECharts版</t>
  </si>
  <si>
    <t>范路桥, 张良均</t>
  </si>
  <si>
    <t>TP31/65</t>
  </si>
  <si>
    <t>978-7-122-36082-3</t>
  </si>
  <si>
    <t>编程数学</t>
  </si>
  <si>
    <t>金玉子</t>
  </si>
  <si>
    <t>TP311.1/273</t>
  </si>
  <si>
    <t>978-7-5068-7567-7</t>
  </si>
  <si>
    <t>UI设计的理论与实践</t>
  </si>
  <si>
    <t>曲轩</t>
  </si>
  <si>
    <t>TP311.1/274</t>
  </si>
  <si>
    <t>978-7-5639-6946-3</t>
  </si>
  <si>
    <t>如何生成复杂图案</t>
  </si>
  <si>
    <t>钱晓帆</t>
  </si>
  <si>
    <t>TP311.1/275</t>
  </si>
  <si>
    <t>978-7-5180-8807-2</t>
  </si>
  <si>
    <t>代码坏味检测方法研究及重构分析</t>
  </si>
  <si>
    <t>姜德迅</t>
  </si>
  <si>
    <t>TP311.11/30</t>
  </si>
  <si>
    <t>978-7-111-69425-0</t>
  </si>
  <si>
    <t>数据结构与算法: Python语言描述</t>
  </si>
  <si>
    <t>裘宗燕</t>
  </si>
  <si>
    <t>TP311.12/115=2D</t>
  </si>
  <si>
    <t>978-7-115-49828-1</t>
  </si>
  <si>
    <t>图解数据结构与算法</t>
  </si>
  <si>
    <t>汪建</t>
  </si>
  <si>
    <t>TP311.12/156</t>
  </si>
  <si>
    <t>978-7-83002-719-3</t>
  </si>
  <si>
    <t>数据结构: C语言版</t>
  </si>
  <si>
    <t>李俊梅, 汤池, 张喜全</t>
  </si>
  <si>
    <t>TP311.12/157</t>
  </si>
  <si>
    <t>978-7-5682-9910-7</t>
  </si>
  <si>
    <t>数据结构</t>
  </si>
  <si>
    <t>朱保平, 俞研</t>
  </si>
  <si>
    <t>TP311.12/158</t>
  </si>
  <si>
    <t>978-7-5603-8560-0</t>
  </si>
  <si>
    <t>数据结构与算法</t>
  </si>
  <si>
    <t>唐友, 刘胜达</t>
  </si>
  <si>
    <t>TP311.12/159</t>
  </si>
  <si>
    <t>978-7-115-54484-1</t>
  </si>
  <si>
    <t>数据结构与算法: C语言篇</t>
  </si>
  <si>
    <t>千锋教育高教产品研发部</t>
  </si>
  <si>
    <t>TP311.12/160</t>
  </si>
  <si>
    <t>978-7-5639-7199-2</t>
  </si>
  <si>
    <t>数据库管理与应用技术研究</t>
  </si>
  <si>
    <t>申永芳</t>
  </si>
  <si>
    <t>TP311.13/279</t>
  </si>
  <si>
    <t>978-7-312-05117-3</t>
  </si>
  <si>
    <t>数据库技术与应用</t>
  </si>
  <si>
    <t>袁广林, 陈萍</t>
  </si>
  <si>
    <t>TP311.13/280</t>
  </si>
  <si>
    <t>978-7-5763-0209-7</t>
  </si>
  <si>
    <t>数据库原理与基础</t>
  </si>
  <si>
    <t>张晖, 郑斌, 林钦</t>
  </si>
  <si>
    <t>TP311.13/281</t>
  </si>
  <si>
    <t>978-7-5198-4679-4</t>
  </si>
  <si>
    <t>数据库系统原理教程</t>
  </si>
  <si>
    <t xml:space="preserve">葛洪伟 ...  </t>
  </si>
  <si>
    <t>TP311.13/282</t>
  </si>
  <si>
    <t>978-7-111-69558-5</t>
  </si>
  <si>
    <t>数据库系统原理及应用: 基于达梦8</t>
  </si>
  <si>
    <t>李辉, 张守帅</t>
  </si>
  <si>
    <t>TP311.13/283</t>
  </si>
  <si>
    <t>978-7-115-57137-3</t>
  </si>
  <si>
    <t>图数据库实战</t>
  </si>
  <si>
    <t>(美) 戴夫·贝克伯杰, 乔希·佩里曼</t>
  </si>
  <si>
    <t>TP311.135.9/2</t>
  </si>
  <si>
    <t>978-7-121-35530-1</t>
  </si>
  <si>
    <t>网络攻防实战研究: MySQL数据库安全</t>
  </si>
  <si>
    <t>祝烈煌, 董健, 胡光俊</t>
  </si>
  <si>
    <t>TP311.138SQ/163</t>
  </si>
  <si>
    <t>978-7-115-57739-9</t>
  </si>
  <si>
    <t>持续交付2.0: 业务引领的DevOps精要</t>
  </si>
  <si>
    <t>乔梁</t>
  </si>
  <si>
    <t>TP311.5/270=D</t>
  </si>
  <si>
    <t>978-7-302-56429-4</t>
  </si>
  <si>
    <t>软件设计和体系结构: 微课视频版</t>
  </si>
  <si>
    <t>秦航</t>
  </si>
  <si>
    <t>TP311.5/343=2D</t>
  </si>
  <si>
    <t>978-7-115-53421-7</t>
  </si>
  <si>
    <t>持续交付实战</t>
  </si>
  <si>
    <t>(德) 埃伯哈德·沃尔夫</t>
  </si>
  <si>
    <t>TP311.5/344</t>
  </si>
  <si>
    <t>978-7-5639-7436-8</t>
  </si>
  <si>
    <t>计算机软件课程设计与教学研究</t>
  </si>
  <si>
    <t>高永强</t>
  </si>
  <si>
    <t>TP311.5/345</t>
  </si>
  <si>
    <t>978-7-5661-3277-2</t>
  </si>
  <si>
    <t>软件工程</t>
  </si>
  <si>
    <t>蔡静颖, 王振峰, 张海</t>
  </si>
  <si>
    <t>TP311.5/346</t>
  </si>
  <si>
    <t>978-7-115-53736-2</t>
  </si>
  <si>
    <t>The clean coder: a code of conduct for conduct for professional programmers</t>
  </si>
  <si>
    <t>Robert C. Martin</t>
  </si>
  <si>
    <t>TP311.52/172</t>
  </si>
  <si>
    <t>978-7-5464-2365-4</t>
  </si>
  <si>
    <t>未来智慧校园运维技术力提升与应用</t>
  </si>
  <si>
    <t>谢明, 肖齐凯</t>
  </si>
  <si>
    <t>TP311.53/4</t>
  </si>
  <si>
    <t>978-7-5221-1035-6</t>
  </si>
  <si>
    <t>软件测试技术及应用研究</t>
  </si>
  <si>
    <t>魏晋强</t>
  </si>
  <si>
    <t>TP311.55/31</t>
  </si>
  <si>
    <t>978-7-115-56387-3</t>
  </si>
  <si>
    <t>软件自动化测试实战: 基于开源测试工具</t>
  </si>
  <si>
    <t>于涌, 李晓茹</t>
  </si>
  <si>
    <t>TP311.55/32</t>
  </si>
  <si>
    <t>978-7-5684-1512-5</t>
  </si>
  <si>
    <t>人工智能技术增强变异测试的理论及应用</t>
  </si>
  <si>
    <t>党向盈, 巩敦卫, 姚香娟</t>
  </si>
  <si>
    <t>TP311.55/33</t>
  </si>
  <si>
    <t>978-7-121-41603-3</t>
  </si>
  <si>
    <t>Python高效开发实战: Django、Tornado、Flask、Twisted</t>
  </si>
  <si>
    <t>刘长龙</t>
  </si>
  <si>
    <t>TP311.561/308=3D</t>
  </si>
  <si>
    <t>978-7-115-50538-5</t>
  </si>
  <si>
    <t>写给程序员的Python教程</t>
  </si>
  <si>
    <t>(挪) 罗伯特·斯莫尔希雷, (美) 奥斯汀·宾厄姆</t>
  </si>
  <si>
    <t>TP311.561/405</t>
  </si>
  <si>
    <t>978-7-115-57317-9</t>
  </si>
  <si>
    <t>Python程序开发: 初级</t>
  </si>
  <si>
    <t>中慧云启科技集团有限公司</t>
  </si>
  <si>
    <t>TP311.561/406</t>
  </si>
  <si>
    <t>978-7-111-67150-3</t>
  </si>
  <si>
    <t>Intro to python for computer science and data science: learning to program with ai, big data and the cloud</t>
  </si>
  <si>
    <t>Paul Deitel, Harvey Deitel</t>
  </si>
  <si>
    <t>TP311.561/407</t>
  </si>
  <si>
    <t>978-7-115-56385-9</t>
  </si>
  <si>
    <t>数亦有道: Python数据科学指南</t>
  </si>
  <si>
    <t>王树义, 翟羽佳</t>
  </si>
  <si>
    <t>TP311.561/408</t>
  </si>
  <si>
    <t>978-7-115-56062-9</t>
  </si>
  <si>
    <t>Python计算机视觉和自然语言处理: 开发机器人应用系统</t>
  </si>
  <si>
    <t>(西) 阿尔瓦罗·莫雷纳·阿尔贝罗拉, 贡萨洛·莫利纳·加列戈, 乌奈·加雷·马埃斯特雷</t>
  </si>
  <si>
    <t>TP311.561/409</t>
  </si>
  <si>
    <t>978-7-115-56723-9</t>
  </si>
  <si>
    <t>Python计算机视觉与深度学习实战</t>
  </si>
  <si>
    <t>郭卡, 戴亮</t>
  </si>
  <si>
    <t>TP311.561/410</t>
  </si>
  <si>
    <t>978-7-115-56242-5</t>
  </si>
  <si>
    <t>用Python学数学</t>
  </si>
  <si>
    <t>(美) 彼得·法雷尔</t>
  </si>
  <si>
    <t>TP311.561/411</t>
  </si>
  <si>
    <t>978-7-111-65976-1</t>
  </si>
  <si>
    <t>超简单: 用Python让Excel飞起来</t>
  </si>
  <si>
    <t>王秀文, 郭明鑫, 王宇韬</t>
  </si>
  <si>
    <t>TP311.561/412</t>
  </si>
  <si>
    <t>978-7-5165-2786-3</t>
  </si>
  <si>
    <t>Python编程案例教程</t>
  </si>
  <si>
    <t>高登, 刘洋, 原锦明</t>
  </si>
  <si>
    <t>TP311.561/413=2D</t>
  </si>
  <si>
    <t>978-7-111-62314-4</t>
  </si>
  <si>
    <t>Python大规模机器学习</t>
  </si>
  <si>
    <t>(荷) 巴斯蒂安·贾丁, (意) 卢卡·马萨罗, 阿尔贝托·博斯凯蒂</t>
  </si>
  <si>
    <t>TP311.561/414</t>
  </si>
  <si>
    <t>978-7-5170-8484-6</t>
  </si>
  <si>
    <t>Python从入门到项目实战: 全程视频版</t>
  </si>
  <si>
    <t>沐言科技, 李兴华</t>
  </si>
  <si>
    <t>TP311.561/415</t>
  </si>
  <si>
    <t>978-7-313-22068-4</t>
  </si>
  <si>
    <t>常用工具软件立体化教程</t>
  </si>
  <si>
    <t>谭桂华, 王伟, 彭凯</t>
  </si>
  <si>
    <t>TP311.561/416</t>
  </si>
  <si>
    <t>978-7-5221-1501-6</t>
  </si>
  <si>
    <t>基于Python的大数据分析技术与实践研究</t>
  </si>
  <si>
    <t>马瑞敏, 贾鑫</t>
  </si>
  <si>
    <t>TP311.561/417</t>
  </si>
  <si>
    <t>978-7-122-35979-7</t>
  </si>
  <si>
    <t>Python基础与深度学习实战</t>
  </si>
  <si>
    <t xml:space="preserve">梁桥康 ...  </t>
  </si>
  <si>
    <t>TP311.561/418</t>
  </si>
  <si>
    <t>978-7-115-56405-4</t>
  </si>
  <si>
    <t>Python实现Web UI自动化测试实战: Selenium 3/4+unittest/Pytest+GitLab+Jenkins</t>
  </si>
  <si>
    <t>Storm, 李鲲程, 边宇明</t>
  </si>
  <si>
    <t>TP311.561/419</t>
  </si>
  <si>
    <t>978-7-111-68129-8</t>
  </si>
  <si>
    <t>Python编程基础</t>
  </si>
  <si>
    <t xml:space="preserve">庄浩 ...  </t>
  </si>
  <si>
    <t>TP311.561/420</t>
  </si>
  <si>
    <t>978-7-5661-2706-8</t>
  </si>
  <si>
    <t>Python程序设计基础</t>
  </si>
  <si>
    <t>陈运军, 陈玲, 李小军</t>
  </si>
  <si>
    <t>TP311.561/421</t>
  </si>
  <si>
    <t>978-7-115-54812-2</t>
  </si>
  <si>
    <t>Python编程入门与实战</t>
  </si>
  <si>
    <t>(意) 法布里奇奥·罗马诺</t>
  </si>
  <si>
    <t>TP311.561/422</t>
  </si>
  <si>
    <t>978-7-5170-9769-3</t>
  </si>
  <si>
    <t>Python科学计算入门: 基于NumPy/SymPy/SciPy/pandas的数值计算和数据处理方法</t>
  </si>
  <si>
    <t>(日) 角明</t>
  </si>
  <si>
    <t>TP311.561/423</t>
  </si>
  <si>
    <t>978-7-5170-9279-7</t>
  </si>
  <si>
    <t>Python数据分析教科书: 机器学习和数据科学中必备的数据分析技术</t>
  </si>
  <si>
    <t xml:space="preserve">(日) 寺田学 ...  </t>
  </si>
  <si>
    <t>TP311.561/424</t>
  </si>
  <si>
    <t>978-7-5170-9797-6</t>
  </si>
  <si>
    <t>用Python编程和实践! 算法入门: 用传统算法学习算法准则和算法复杂度</t>
  </si>
  <si>
    <t>(日) 增井敏克</t>
  </si>
  <si>
    <t>TP311.561/425</t>
  </si>
  <si>
    <t>978-7-5576-9686-3</t>
  </si>
  <si>
    <t>Python网络攻防入门</t>
  </si>
  <si>
    <t>樊晟</t>
  </si>
  <si>
    <t>TP311.561/426</t>
  </si>
  <si>
    <t>978-7-121-41190-8</t>
  </si>
  <si>
    <t>Python机器学习</t>
  </si>
  <si>
    <t>林耿</t>
  </si>
  <si>
    <t>TP311.561/427</t>
  </si>
  <si>
    <t>978-7-111-69821-0</t>
  </si>
  <si>
    <t>Go语言精进之路. 1: 从新手到高手的编程思想、方法和技巧</t>
  </si>
  <si>
    <t>白明</t>
  </si>
  <si>
    <t>TP312.8/36/1</t>
  </si>
  <si>
    <t>978-7-111-69822-7</t>
  </si>
  <si>
    <t>Go语言精进之路. 2: 从新手到高手的编程思想、方法和技巧</t>
  </si>
  <si>
    <t>TP312.8/36/2</t>
  </si>
  <si>
    <t>978-7-118-11863-6</t>
  </si>
  <si>
    <t>系统建模语言SysML实用指南</t>
  </si>
  <si>
    <t>(美) 桑福德·弗里德赛尔, 艾伦·摩尔, 瑞科·斯坦纳</t>
  </si>
  <si>
    <t>TP312.8/37</t>
  </si>
  <si>
    <t>978-7-111-67031-5</t>
  </si>
  <si>
    <t>深入解析Java虚拟机HotSpot</t>
  </si>
  <si>
    <t>杨易</t>
  </si>
  <si>
    <t>TP312.8/38</t>
  </si>
  <si>
    <t>978-7-03-070452-8</t>
  </si>
  <si>
    <t>C程序设计与案例教程</t>
  </si>
  <si>
    <t>蒋秀莲, 乔淑云</t>
  </si>
  <si>
    <t>TP312.8C/44</t>
  </si>
  <si>
    <t>978-7-5635-6450-7</t>
  </si>
  <si>
    <t>C语言程序课程设计</t>
  </si>
  <si>
    <t>谷晓琳, 李瑞, 郭琛</t>
  </si>
  <si>
    <t>TP312.8C/45</t>
  </si>
  <si>
    <t>978-7-5612-6584-0</t>
  </si>
  <si>
    <t>C语言程序设计理论与教学方法研究</t>
  </si>
  <si>
    <t>吴翔</t>
  </si>
  <si>
    <t>TP312.8C/46</t>
  </si>
  <si>
    <t>978-7-115-56634-8</t>
  </si>
  <si>
    <t>你真的会写代码吗</t>
  </si>
  <si>
    <t>(意) 马尔科·法埃拉</t>
  </si>
  <si>
    <t>TP312.8JA/100</t>
  </si>
  <si>
    <t>978-7-115-56518-1</t>
  </si>
  <si>
    <t>JavaScript悟道</t>
  </si>
  <si>
    <t>(美) 道格拉斯·克罗克福德</t>
  </si>
  <si>
    <t>TP312.8JA/101</t>
  </si>
  <si>
    <t>978-7-121-39941-1</t>
  </si>
  <si>
    <t>Java EE企业级应用开发技术研究</t>
  </si>
  <si>
    <t>杨树林</t>
  </si>
  <si>
    <t>TP312.8JA/102</t>
  </si>
  <si>
    <t>978-7-5198-5429-4</t>
  </si>
  <si>
    <t>基于Java的深度学习</t>
  </si>
  <si>
    <t>(印) 拉胡尔·拉吉</t>
  </si>
  <si>
    <t>TP312.8JA/103</t>
  </si>
  <si>
    <t>978-7-121-40868-7</t>
  </si>
  <si>
    <t>JavaScript二十年</t>
  </si>
  <si>
    <t>(美) Allen Wirfs-Brock, Brendan Eich</t>
  </si>
  <si>
    <t>TP312.8JA/104</t>
  </si>
  <si>
    <t>978-7-5618-6334-3</t>
  </si>
  <si>
    <t>Java程序设计</t>
  </si>
  <si>
    <t>李春青</t>
  </si>
  <si>
    <t>TP312.8JA/105</t>
  </si>
  <si>
    <t>978-7-111-69858-6</t>
  </si>
  <si>
    <t>Java多线程编程核心技术</t>
  </si>
  <si>
    <t>高洪岩</t>
  </si>
  <si>
    <t>TP312.8JA/41=3D</t>
  </si>
  <si>
    <t>978-7-5661-3269-7</t>
  </si>
  <si>
    <t>JSP案例化教程</t>
  </si>
  <si>
    <t>薛岚, 刘丽萍</t>
  </si>
  <si>
    <t>TP312.8JA/92</t>
  </si>
  <si>
    <t>978-7-121-41355-1</t>
  </si>
  <si>
    <t>Spring Boot+Vue开发实战</t>
  </si>
  <si>
    <t>朱建昕</t>
  </si>
  <si>
    <t>TP312.8JA/93</t>
  </si>
  <si>
    <t>978-7-121-37369-5</t>
  </si>
  <si>
    <t>全民学编程之Java篇: 一本人人都看得懂的编程书</t>
  </si>
  <si>
    <t>汪泳</t>
  </si>
  <si>
    <t>TP312.8JA/94</t>
  </si>
  <si>
    <t>978-7-115-55366-9</t>
  </si>
  <si>
    <t>JavaScript全栈开发</t>
  </si>
  <si>
    <t>凌杰</t>
  </si>
  <si>
    <t>TP312.8JA/95</t>
  </si>
  <si>
    <t>978-7-5682-9446-1</t>
  </si>
  <si>
    <t>Java EE编程技术</t>
  </si>
  <si>
    <t>温立辉</t>
  </si>
  <si>
    <t>TP312.8JA/96=2D</t>
  </si>
  <si>
    <t>978-7-115-52537-6</t>
  </si>
  <si>
    <t>面向对象程序设计: Java版</t>
  </si>
  <si>
    <t>武春岭, 沈廷杰</t>
  </si>
  <si>
    <t>TP312.8JA/97</t>
  </si>
  <si>
    <t>978-7-5153-6215-1</t>
  </si>
  <si>
    <t>JavaScript从入门到实战开发最强教科书: 完全版</t>
  </si>
  <si>
    <t>(日) 山田祥宽</t>
  </si>
  <si>
    <t>TP312.8JA/98</t>
  </si>
  <si>
    <t>978-7-121-42265-2</t>
  </si>
  <si>
    <t>Java高并发与集合框架: JCF和JUC源码分析与实现</t>
  </si>
  <si>
    <t>银文杰</t>
  </si>
  <si>
    <t>TP312.8JA/99</t>
  </si>
  <si>
    <t>978-7-113-27130-5</t>
  </si>
  <si>
    <t>PHP学习笔记: 从入门到实战</t>
  </si>
  <si>
    <t>甘长春</t>
  </si>
  <si>
    <t>中国铁道出版社有限公司</t>
  </si>
  <si>
    <t>TP312.8PH/8</t>
  </si>
  <si>
    <t>978-7-207-12417-3</t>
  </si>
  <si>
    <t>PHP框架技术研究与应用实践</t>
  </si>
  <si>
    <t>严仲兴</t>
  </si>
  <si>
    <t>TP312.8PH/9</t>
  </si>
  <si>
    <t>978-7-115-52127-9</t>
  </si>
  <si>
    <t>C陷阱与缺陷</t>
  </si>
  <si>
    <t>(美) 安德鲁·凯尼格</t>
  </si>
  <si>
    <t>TP312/823-2</t>
  </si>
  <si>
    <t>978-7-5115-6415-3</t>
  </si>
  <si>
    <t>话语意义的可计算性研究</t>
  </si>
  <si>
    <t>龙飞</t>
  </si>
  <si>
    <t>TP312/827</t>
  </si>
  <si>
    <t>978-7-111-66026-2</t>
  </si>
  <si>
    <t>TypeScript项目开发实战</t>
  </si>
  <si>
    <t>(英) 彼得·欧汉龙</t>
  </si>
  <si>
    <t>TP312/828</t>
  </si>
  <si>
    <t>978-7-115-57166-3</t>
  </si>
  <si>
    <t>Animate CC二维动画设计与实战</t>
  </si>
  <si>
    <t>姜巧玲, 张帆</t>
  </si>
  <si>
    <t>TP312AN/10</t>
  </si>
  <si>
    <t>978-7-115-55698-1</t>
  </si>
  <si>
    <t>从零开始: Adobe Animate CC中文版基础教程</t>
  </si>
  <si>
    <t xml:space="preserve">布克科技 ...  </t>
  </si>
  <si>
    <t>TP312AN/11=2D</t>
  </si>
  <si>
    <t>978-7-111-63547-5</t>
  </si>
  <si>
    <t>Animate CC 2018中文版入门与提高实例教程</t>
  </si>
  <si>
    <t xml:space="preserve">李娟 ... </t>
  </si>
  <si>
    <t>TP312AN/8=2D</t>
  </si>
  <si>
    <t>978-7-83002-812-1</t>
  </si>
  <si>
    <t>Adobe Animate CC动画设计与制作</t>
  </si>
  <si>
    <t>徐艳</t>
  </si>
  <si>
    <t>TP312AN/9</t>
  </si>
  <si>
    <t>978-7-111-66802-2</t>
  </si>
  <si>
    <t>程序设计实践教程: C语言版</t>
  </si>
  <si>
    <t xml:space="preserve">苏小红 ...  </t>
  </si>
  <si>
    <t>TP312C/1088</t>
  </si>
  <si>
    <t>978-7-302-49926-8</t>
  </si>
  <si>
    <t>C语言程序设计</t>
  </si>
  <si>
    <t>侯占军, 赵晓霞</t>
  </si>
  <si>
    <t>TP312C/1089</t>
  </si>
  <si>
    <t>978-7-302-51430-5</t>
  </si>
  <si>
    <t>程序设计技术: C语言</t>
  </si>
  <si>
    <t xml:space="preserve">尚展垒 ... </t>
  </si>
  <si>
    <t>TP312C/1090</t>
  </si>
  <si>
    <t>978-7-305-25167-2</t>
  </si>
  <si>
    <t>C语言程序设计: 游戏案例驱动</t>
  </si>
  <si>
    <t>赵启升, 李存华</t>
  </si>
  <si>
    <t>TP312C/1091</t>
  </si>
  <si>
    <t>978-7-5198-5913-8</t>
  </si>
  <si>
    <t>Visual C++数字图像处理</t>
  </si>
  <si>
    <t xml:space="preserve">陆玲 ...  </t>
  </si>
  <si>
    <t>TP312C/1092=2D</t>
  </si>
  <si>
    <t>978-7-5165-2789-4</t>
  </si>
  <si>
    <t>C程序设计项目教程</t>
  </si>
  <si>
    <t>魏宇红, 张少巍, 张迪</t>
  </si>
  <si>
    <t>TP312C/1093=2D</t>
  </si>
  <si>
    <t>978-7-5221-0902-2</t>
  </si>
  <si>
    <t>C语言程序设计原理与开发实例</t>
  </si>
  <si>
    <t>曹艳如, 史琨, 张梅</t>
  </si>
  <si>
    <t>TP312C/1094</t>
  </si>
  <si>
    <t>978-7-115-56519-8</t>
  </si>
  <si>
    <t>C语言程序设计: 现代方法</t>
  </si>
  <si>
    <t>(美) K.N. 金</t>
  </si>
  <si>
    <t>TP312C/117=2D</t>
  </si>
  <si>
    <t>978-7-121-42492-2</t>
  </si>
  <si>
    <t>了不起的LayaBox: HTML5游戏开发指南</t>
  </si>
  <si>
    <t>沈毅</t>
  </si>
  <si>
    <t>TP312HT/105</t>
  </si>
  <si>
    <t>978-7-115-55258-7</t>
  </si>
  <si>
    <t>H5页面创意设计: 全彩慕课版</t>
  </si>
  <si>
    <t>邓嘉琳</t>
  </si>
  <si>
    <t>TP312HT/106</t>
  </si>
  <si>
    <t>978-7-115-55976-0</t>
  </si>
  <si>
    <t>HTML+CSS+JavaScript入门经典</t>
  </si>
  <si>
    <t>(美) 珍妮弗·凯瑞恩, 朱莉·C·梅洛尼</t>
  </si>
  <si>
    <t>TP312HT/107</t>
  </si>
  <si>
    <t>978-7-115-57320-9</t>
  </si>
  <si>
    <t>HTML5与CSS3基础教程</t>
  </si>
  <si>
    <t>(美) 乔·卡萨博纳</t>
  </si>
  <si>
    <t>TP312HT/22=2D</t>
  </si>
  <si>
    <t>978-7-115-52595-6</t>
  </si>
  <si>
    <t>Java Web程序设计: 基于SSM (Spring+Spring MVC+MyBatis) 框架</t>
  </si>
  <si>
    <t>梁永先, 陈滢生, 尹校军</t>
  </si>
  <si>
    <t>TP312JA/627=2D</t>
  </si>
  <si>
    <t>978-7-121-41580-7</t>
  </si>
  <si>
    <t>写给大忙人的现代JavaScript</t>
  </si>
  <si>
    <t>(美) Cay S. Horstmann</t>
  </si>
  <si>
    <t>TP312JA/797</t>
  </si>
  <si>
    <t>978-7-115-53992-2</t>
  </si>
  <si>
    <t>JavaScript语法简明手册</t>
  </si>
  <si>
    <t>(美) 格雷格·赛德尼科夫</t>
  </si>
  <si>
    <t>TP312JA/798</t>
  </si>
  <si>
    <t>978-7-5682-7714-3</t>
  </si>
  <si>
    <t>JAVA程序设计研究</t>
  </si>
  <si>
    <t>李红日</t>
  </si>
  <si>
    <t>TP312JA/799</t>
  </si>
  <si>
    <t>978-7-111-69402-1</t>
  </si>
  <si>
    <t>Spring Boot从入门到实战</t>
  </si>
  <si>
    <t>章为忠</t>
  </si>
  <si>
    <t>TP312JA/800</t>
  </si>
  <si>
    <t>978-7-111-69223-2</t>
  </si>
  <si>
    <t>深入理解分布式事务: 原理与实战</t>
  </si>
  <si>
    <t>肖宇, 冰河</t>
  </si>
  <si>
    <t>TP316.4/20</t>
  </si>
  <si>
    <t>978-7-5612-6245-0</t>
  </si>
  <si>
    <t>大规模分布式系统的任务分配算法</t>
  </si>
  <si>
    <t>罗香玉</t>
  </si>
  <si>
    <t>TP316.4/21</t>
  </si>
  <si>
    <t>978-7-115-56604-1</t>
  </si>
  <si>
    <t>精通Linux内核开发</t>
  </si>
  <si>
    <t>(印度) 拉古·巴拉德瓦杰</t>
  </si>
  <si>
    <t>TP316.85/127</t>
  </si>
  <si>
    <t>978-7-115-55849-7</t>
  </si>
  <si>
    <t>用“芯”探索: 教你构建龙芯平台的Linux系统</t>
  </si>
  <si>
    <t>孙海勇</t>
  </si>
  <si>
    <t>TP316.85/128</t>
  </si>
  <si>
    <t>978-7-115-58064-1</t>
  </si>
  <si>
    <t>计算机操作系统实验指导: Linux版</t>
  </si>
  <si>
    <t>王红玲, 褚晓敏</t>
  </si>
  <si>
    <t>TP316.85/129</t>
  </si>
  <si>
    <t>978-7-115-55560-1</t>
  </si>
  <si>
    <t>奔跑吧Linux内核: 入门篇</t>
  </si>
  <si>
    <t>笨叔, 陈悦</t>
  </si>
  <si>
    <t>TP316.85/130=2D</t>
  </si>
  <si>
    <t>978-7-115-44492-9</t>
  </si>
  <si>
    <t>用“芯”探核: 基于龙芯的Linux内核探索解析</t>
  </si>
  <si>
    <t>陈华才</t>
  </si>
  <si>
    <t>TP316.85/131</t>
  </si>
  <si>
    <t>978-7-5482-3611-5</t>
  </si>
  <si>
    <t>Linux集群技术研究</t>
  </si>
  <si>
    <t>彭丽艳</t>
  </si>
  <si>
    <t>云南大学出版社</t>
  </si>
  <si>
    <t>TP316.85/132</t>
  </si>
  <si>
    <t>978-7-111-69572-1</t>
  </si>
  <si>
    <t>操作系统课程设计</t>
  </si>
  <si>
    <t>朱敏, 杨啸, 左劼</t>
  </si>
  <si>
    <t>TP316/210=2D</t>
  </si>
  <si>
    <t>978-7-121-37001-4</t>
  </si>
  <si>
    <t>精通Office 365云计算管理: Exchange Online篇</t>
  </si>
  <si>
    <t>世纪互联蓝云公司</t>
  </si>
  <si>
    <t>TP317.1/369</t>
  </si>
  <si>
    <t>978-7-115-55969-2</t>
  </si>
  <si>
    <t>办公自动化实用教程</t>
  </si>
  <si>
    <t>汪玉兰, 伍延斌</t>
  </si>
  <si>
    <t>TP317.1/370</t>
  </si>
  <si>
    <t>978-7-5208-1371-6</t>
  </si>
  <si>
    <t>Word Excel PPT办公应用从入门到精通</t>
  </si>
  <si>
    <t>云飞</t>
  </si>
  <si>
    <t>TP317.1/371</t>
  </si>
  <si>
    <t>978-7-5198-5431-7</t>
  </si>
  <si>
    <t>重构你的办公效率: 120个Office应用技巧</t>
  </si>
  <si>
    <t>沈敏捷</t>
  </si>
  <si>
    <t>TP317.1/372</t>
  </si>
  <si>
    <t>978-7-5153-6146-8</t>
  </si>
  <si>
    <t>Word/Excel/PPT从入门到精通</t>
  </si>
  <si>
    <t>张栋</t>
  </si>
  <si>
    <t>TP317.1/373</t>
  </si>
  <si>
    <t>978-7-5046-9040-1</t>
  </si>
  <si>
    <t>数字化学习原理与教学应用: 面向用户和设计人员的多媒体学习指南</t>
  </si>
  <si>
    <t>(美) 露丝·科尔文·克拉克, 理查德·E. 梅耶</t>
  </si>
  <si>
    <t>TP317.5/2</t>
  </si>
  <si>
    <t>978-7-111-67115-2</t>
  </si>
  <si>
    <t>短视频策划、拍摄与后期制作全流程详解: Premiere+After Effects</t>
  </si>
  <si>
    <t>一白</t>
  </si>
  <si>
    <t>TP317.53/65</t>
  </si>
  <si>
    <t>978-7-5699-4221-7</t>
  </si>
  <si>
    <t>从零开始学做视频剪辑</t>
  </si>
  <si>
    <t>赵辛睿</t>
  </si>
  <si>
    <t>TP317.53/66</t>
  </si>
  <si>
    <t>978-7-115-56929-5</t>
  </si>
  <si>
    <t>短视频策划、拍摄与制作</t>
  </si>
  <si>
    <t>邓元兵, 胡莹</t>
  </si>
  <si>
    <t>TP317.53/67</t>
  </si>
  <si>
    <t>978-7-5153-6216-8</t>
  </si>
  <si>
    <t>好玩的好设计: 把54个美学灵感装进游戏盒子</t>
  </si>
  <si>
    <t>赵勇权</t>
  </si>
  <si>
    <t>TP317.6/64</t>
  </si>
  <si>
    <t>978-7-5606-5903-9</t>
  </si>
  <si>
    <t>Python游戏化编程</t>
  </si>
  <si>
    <t>刘怡</t>
  </si>
  <si>
    <t>TP317.6/65</t>
  </si>
  <si>
    <t>978-7-121-40240-1</t>
  </si>
  <si>
    <t>FPGA的人工智能之路: 基于Intel FPGA开发的入门到实践</t>
  </si>
  <si>
    <t>张瑞</t>
  </si>
  <si>
    <t>TP331.2/29</t>
  </si>
  <si>
    <t>978-7-121-40234-0</t>
  </si>
  <si>
    <t>FPGA进阶开发与实践</t>
  </si>
  <si>
    <t xml:space="preserve">田亮 ...  </t>
  </si>
  <si>
    <t>TP331.2/30</t>
  </si>
  <si>
    <t>978-7-115-54242-7</t>
  </si>
  <si>
    <t>ARM嵌入式处理器及应用</t>
  </si>
  <si>
    <t>何兴高</t>
  </si>
  <si>
    <t>TP332.021/14</t>
  </si>
  <si>
    <t>978-7-5221-1590-0</t>
  </si>
  <si>
    <t>FPGA系统设计与优化方法研究</t>
  </si>
  <si>
    <t>张应华</t>
  </si>
  <si>
    <t>TP332.1/34</t>
  </si>
  <si>
    <t>978-7-5221-0540-6</t>
  </si>
  <si>
    <t>数字化核仪器中FPGA技术的应用实践</t>
  </si>
  <si>
    <t>周建斌, 马英杰, 洪旭</t>
  </si>
  <si>
    <t>TP332.1/35</t>
  </si>
  <si>
    <t>978-7-111-68124-3</t>
  </si>
  <si>
    <t>PLC的标准化应用: 基于西门子OMAC的面向对象的编程方法</t>
  </si>
  <si>
    <t>胡康韶</t>
  </si>
  <si>
    <t>TP332.3/34</t>
  </si>
  <si>
    <t>978-7-111-69569-1</t>
  </si>
  <si>
    <t>多处理器编程的艺术</t>
  </si>
  <si>
    <t xml:space="preserve">(美) 莫里斯·赫利希(Maurice Herlihy) ...   </t>
  </si>
  <si>
    <t>TP332/41-2</t>
  </si>
  <si>
    <t>978-7-5180-9169-0</t>
  </si>
  <si>
    <t>计算全息与图像加密</t>
  </si>
  <si>
    <t>韩超</t>
  </si>
  <si>
    <t>TP333.4/11</t>
  </si>
  <si>
    <t>978-7-111-69741-1</t>
  </si>
  <si>
    <t>电商存储系统实战: 架构设计与海量数据处理</t>
  </si>
  <si>
    <t>李玥</t>
  </si>
  <si>
    <t>TP333/11</t>
  </si>
  <si>
    <t>978-7-5682-8752-4</t>
  </si>
  <si>
    <t>磁盘阵列的性能优化与节能</t>
  </si>
  <si>
    <t>李元章, 孙志卓</t>
  </si>
  <si>
    <t>TP333/12</t>
  </si>
  <si>
    <t>978-7-122-38080-7</t>
  </si>
  <si>
    <t>深度学习触摸屏应用技术</t>
  </si>
  <si>
    <t>章祥炜, 岳媛, 浩天</t>
  </si>
  <si>
    <t>TP334.1/7</t>
  </si>
  <si>
    <t>978-7-115-55521-2</t>
  </si>
  <si>
    <t>Linux虚拟化数据中心实战</t>
  </si>
  <si>
    <t>何坤源</t>
  </si>
  <si>
    <t>TP338/20</t>
  </si>
  <si>
    <t>978-7-115-56982-0</t>
  </si>
  <si>
    <t>VMware vSphere 7.0虚拟化架构实战指南</t>
  </si>
  <si>
    <t>TP338/21</t>
  </si>
  <si>
    <t>978-7-5717-0053-9</t>
  </si>
  <si>
    <t>超级计算机: 挑战运算速度极限</t>
  </si>
  <si>
    <t>刘树勇, 韦中燊</t>
  </si>
  <si>
    <t>TP338/22</t>
  </si>
  <si>
    <t>978-7-121-41607-1</t>
  </si>
  <si>
    <t>微机原理与接口技术</t>
  </si>
  <si>
    <t xml:space="preserve">彭虎 ...  </t>
  </si>
  <si>
    <t>TP36/269=5D</t>
  </si>
  <si>
    <t>978-7-115-57119-9</t>
  </si>
  <si>
    <t>单片机原理及接口技术</t>
  </si>
  <si>
    <t>张毅刚</t>
  </si>
  <si>
    <t>TP36/293=3D</t>
  </si>
  <si>
    <t>978-7-5672-3527-4</t>
  </si>
  <si>
    <t>单片机应用技术</t>
  </si>
  <si>
    <t>刘淑芬</t>
  </si>
  <si>
    <t>TP368.1/328=2D</t>
  </si>
  <si>
    <t>978-7-121-41100-7</t>
  </si>
  <si>
    <t>单片机原理与嵌入式设计</t>
  </si>
  <si>
    <t>赵亮, 李胜铭</t>
  </si>
  <si>
    <t>TP368.1/329</t>
  </si>
  <si>
    <t>978-7-5198-2483-9</t>
  </si>
  <si>
    <t>STM8单片机应用技能实训</t>
  </si>
  <si>
    <t xml:space="preserve">程莉 ...  </t>
  </si>
  <si>
    <t>TP368.1/330</t>
  </si>
  <si>
    <t>978-7-111-68838-9</t>
  </si>
  <si>
    <t>新编单片机原理及应用</t>
  </si>
  <si>
    <t xml:space="preserve">汪贵平 ...  </t>
  </si>
  <si>
    <t>TP368.1/331=2D</t>
  </si>
  <si>
    <t>978-7-121-41118-2</t>
  </si>
  <si>
    <t>Spring Cloud开发实战</t>
  </si>
  <si>
    <t>徐文聪</t>
  </si>
  <si>
    <t>TP368.5/102</t>
  </si>
  <si>
    <t>978-7-121-40860-1</t>
  </si>
  <si>
    <t>微服务架构原理与开发实战</t>
  </si>
  <si>
    <t>张刚</t>
  </si>
  <si>
    <t>TP368.5/103</t>
  </si>
  <si>
    <t>978-7-5671-3760-8</t>
  </si>
  <si>
    <t>数字媒体实训教程</t>
  </si>
  <si>
    <t>严颖敏, 佘俊</t>
  </si>
  <si>
    <t>TP37/144</t>
  </si>
  <si>
    <t>978-7-5682-9033-3</t>
  </si>
  <si>
    <t>多媒体资源设计与制作教程: Photoshop+Illustrator+Animate+PPT</t>
  </si>
  <si>
    <t>李晓飞</t>
  </si>
  <si>
    <t>TP37/145</t>
  </si>
  <si>
    <t>978-7-5639-7585-3</t>
  </si>
  <si>
    <t>数字媒体技术与艺术美学研究</t>
  </si>
  <si>
    <t>徐晨</t>
  </si>
  <si>
    <t>TP37/146</t>
  </si>
  <si>
    <t>978-7-118-12307-4</t>
  </si>
  <si>
    <t>多媒体技术及应用</t>
  </si>
  <si>
    <t>叶含笑, 张晶</t>
  </si>
  <si>
    <t>TP37/147</t>
  </si>
  <si>
    <t>978-7-115-56635-5</t>
  </si>
  <si>
    <t>量子计算机编程: 从入门到实践</t>
  </si>
  <si>
    <t>(美) 埃里克·R. 约翰斯顿, (英) 尼古拉斯·哈里根, (西) 梅塞德丝·希梅诺-塞戈维亚</t>
  </si>
  <si>
    <t>TP385/5</t>
  </si>
  <si>
    <t>978-7-115-56423-8</t>
  </si>
  <si>
    <t>量子计算公开课: 从德谟克利特、计算复杂性到自由意志</t>
  </si>
  <si>
    <t>(美) 斯科特·阿伦森</t>
  </si>
  <si>
    <t>TP385/6</t>
  </si>
  <si>
    <t>978-7-5763-0081-9</t>
  </si>
  <si>
    <t>大学计算机应用</t>
  </si>
  <si>
    <t>际建波</t>
  </si>
  <si>
    <t>TP39/274=2D</t>
  </si>
  <si>
    <t>978-7-121-34381-0</t>
  </si>
  <si>
    <t>计算机应用基础实训教程</t>
  </si>
  <si>
    <t>汪婧, 喻瑗, 黄爱梅</t>
  </si>
  <si>
    <t>TP39/275</t>
  </si>
  <si>
    <t>978-7-5672-3706-3</t>
  </si>
  <si>
    <t>计算机应用基础实验指导</t>
  </si>
  <si>
    <t>孙涌, 王彤, 赵满群</t>
  </si>
  <si>
    <t>TP39/276</t>
  </si>
  <si>
    <t>978-7-5682-8771-5</t>
  </si>
  <si>
    <t>计算机应用基础</t>
  </si>
  <si>
    <t>陈双双, 郭晓琳</t>
  </si>
  <si>
    <t>TP39/277</t>
  </si>
  <si>
    <t>978-7-300-27738-7</t>
  </si>
  <si>
    <t>语音界面冲击: 人机交互对话的未来与应用</t>
  </si>
  <si>
    <t>(日) 河野道成</t>
  </si>
  <si>
    <t>TP391.1/25</t>
  </si>
  <si>
    <t>978-7-115-56720-8</t>
  </si>
  <si>
    <t>WPS Office办公软件应用</t>
  </si>
  <si>
    <t>赵刚, 赵秀娟</t>
  </si>
  <si>
    <t>TP391.12/146</t>
  </si>
  <si>
    <t>978-7-5654-4168-4</t>
  </si>
  <si>
    <t>面向中文社交媒体评论的词法分析</t>
  </si>
  <si>
    <t>张婧</t>
  </si>
  <si>
    <t>TP391.12/147</t>
  </si>
  <si>
    <t>978-7-115-55119-1</t>
  </si>
  <si>
    <t>Excel数据处理与分析: 数据思维+分析方法+场景应用</t>
  </si>
  <si>
    <t>姚梦珂</t>
  </si>
  <si>
    <t>TP391.13/422</t>
  </si>
  <si>
    <t>978-7-5153-6169-7</t>
  </si>
  <si>
    <t>用图表说话: Excel数据分析与图表效果完美展示全能一本通</t>
  </si>
  <si>
    <t>王倩, 杨林</t>
  </si>
  <si>
    <t>TP391.13/423</t>
  </si>
  <si>
    <t>978-7-301-31934-5</t>
  </si>
  <si>
    <t>Excel数据处理与分析应用大全</t>
  </si>
  <si>
    <t>Excel Home</t>
  </si>
  <si>
    <t>TP391.13/424</t>
  </si>
  <si>
    <t>978-7-5153-6317-2</t>
  </si>
  <si>
    <t>Excel×Python智能高效办公</t>
  </si>
  <si>
    <t>(日) 金宏和实</t>
  </si>
  <si>
    <t>TP391.13/425</t>
  </si>
  <si>
    <t>978-7-5208-1517-8</t>
  </si>
  <si>
    <t>Excel高效办公应用与技巧大全</t>
  </si>
  <si>
    <t>TP391.13/426</t>
  </si>
  <si>
    <t>978-7-5208-1526-0</t>
  </si>
  <si>
    <t>Excel数据处理与分析</t>
  </si>
  <si>
    <t>TP391.13/427</t>
  </si>
  <si>
    <t>978-7-5153-6161-1</t>
  </si>
  <si>
    <t>Excel &amp; AI数据计算机处理与分析之深度学习: 人工智能与电子表格的超完美结合</t>
  </si>
  <si>
    <t>(日) 涌井良幸, 涌井贞美</t>
  </si>
  <si>
    <t>TP391.13/428</t>
  </si>
  <si>
    <t>978-7-301-32655-8</t>
  </si>
  <si>
    <t>Excel 2019应用大全</t>
  </si>
  <si>
    <t>TP391.13/429</t>
  </si>
  <si>
    <t>978-7-301-31771-6</t>
  </si>
  <si>
    <t>Power Query数据清洗实战</t>
  </si>
  <si>
    <t>TP391.13/430</t>
  </si>
  <si>
    <t>978-7-5077-5974-7</t>
  </si>
  <si>
    <t>汉字复兴的脚步: 从铅字机械打字到电脑打字的跨越</t>
  </si>
  <si>
    <t>许寿椿</t>
  </si>
  <si>
    <t>学苑出版社</t>
  </si>
  <si>
    <t>TP391.14/140=2D</t>
  </si>
  <si>
    <t>978-7-5664-2067-1</t>
  </si>
  <si>
    <t>计算机辅助翻译教程</t>
  </si>
  <si>
    <t>潘学权, 崔启亮</t>
  </si>
  <si>
    <t>TP391.2/4=2D</t>
  </si>
  <si>
    <t>978-7-5674-2170-7</t>
  </si>
  <si>
    <t>推荐系统及其计算机仿真</t>
  </si>
  <si>
    <t>靳婷</t>
  </si>
  <si>
    <t>TP391.3/7</t>
  </si>
  <si>
    <t>978-7-121-32766-7</t>
  </si>
  <si>
    <t>自动识别技术及应用</t>
  </si>
  <si>
    <t>王伟旗, 林超, 衣马木艾山·阿布都力克木</t>
  </si>
  <si>
    <t>TP391.4/124</t>
  </si>
  <si>
    <t>978-7-121-42425-0</t>
  </si>
  <si>
    <t>Maya三维动画制作案例教程</t>
  </si>
  <si>
    <t>王威</t>
  </si>
  <si>
    <t>TP391.41/2020=3D</t>
  </si>
  <si>
    <t>978-7-5682-8280-2</t>
  </si>
  <si>
    <t>图形图像处理: Photoshop平面设计案例教程</t>
  </si>
  <si>
    <t>程洪全, 盛新海</t>
  </si>
  <si>
    <t>TP391.41/2773</t>
  </si>
  <si>
    <t>978-7-5682-9020-3</t>
  </si>
  <si>
    <t>ZBrush数字雕刻: 角色实战教程</t>
  </si>
  <si>
    <t>李榕玲, 李燕城, 林秋萍</t>
  </si>
  <si>
    <t>TP391.41/2774</t>
  </si>
  <si>
    <t>978-7-03-064711-5</t>
  </si>
  <si>
    <t>非真实感艺术风格绘制</t>
  </si>
  <si>
    <t>钱文华, 徐丹</t>
  </si>
  <si>
    <t>TP391.411/13=2D</t>
  </si>
  <si>
    <t>978-7-122-36620-7</t>
  </si>
  <si>
    <t>ChemDraw科技绘图实战进阶</t>
  </si>
  <si>
    <t>王玉路, 靳丽强</t>
  </si>
  <si>
    <t>TP391.412/140</t>
  </si>
  <si>
    <t>978-7-115-56408-5</t>
  </si>
  <si>
    <t>CorelDRAW平面设计标准教程</t>
  </si>
  <si>
    <t>周建国, 马健</t>
  </si>
  <si>
    <t>TP391.412/141=2D</t>
  </si>
  <si>
    <t>978-7-115-55019-4</t>
  </si>
  <si>
    <t>好的PPT会说话: 如何打造完美幻灯片</t>
  </si>
  <si>
    <t>TP391.412/142</t>
  </si>
  <si>
    <t>978-7-111-45901-9</t>
  </si>
  <si>
    <t>Illustrator CS6中文版基础与实例教程</t>
  </si>
  <si>
    <t>张凡</t>
  </si>
  <si>
    <t>TP391.412/143=4D</t>
  </si>
  <si>
    <t>978-7-83002-700-1</t>
  </si>
  <si>
    <t>中文版Illustrator CC平面设计实例教程</t>
  </si>
  <si>
    <t>朴承哲, 吕虹, 赵林</t>
  </si>
  <si>
    <t>TP391.412/144</t>
  </si>
  <si>
    <t>978-7-5689-2105-3</t>
  </si>
  <si>
    <t>Illustrator CC教程</t>
  </si>
  <si>
    <t>郑建楠</t>
  </si>
  <si>
    <t>TP391.412/145</t>
  </si>
  <si>
    <t>978-7-5317-4785-7</t>
  </si>
  <si>
    <t>别让PPT拖后腿: 让工作效率翻倍的PPT偷懒秘籍</t>
  </si>
  <si>
    <t>诺壹乔</t>
  </si>
  <si>
    <t>TP391.412/146</t>
  </si>
  <si>
    <t>978-7-121-42247-8</t>
  </si>
  <si>
    <t>PPT设计思维: 教你又好又快搞定幻灯片</t>
  </si>
  <si>
    <t>邵云蛟</t>
  </si>
  <si>
    <t>TP391.412/54=2D</t>
  </si>
  <si>
    <t>978-7-115-56997-4</t>
  </si>
  <si>
    <t>Adobe Camera Raw酷炫修图: RAW格式照片专业处理技法</t>
  </si>
  <si>
    <t>石礼海</t>
  </si>
  <si>
    <t>TP391.413/258=2D</t>
  </si>
  <si>
    <t>978-7-5670-2659-9</t>
  </si>
  <si>
    <t>显微图像处理与分析</t>
  </si>
  <si>
    <t xml:space="preserve">隋栋 ...  </t>
  </si>
  <si>
    <t>TP391.413/399</t>
  </si>
  <si>
    <t>978-7-115-55670-7</t>
  </si>
  <si>
    <t>After Effects CC核心应用案例教程: 全彩慕课版</t>
  </si>
  <si>
    <t>王玉军, 邹志龙</t>
  </si>
  <si>
    <t>TP391.413/400</t>
  </si>
  <si>
    <t>978-7-5682-8955-9</t>
  </si>
  <si>
    <t>Photoshop图形图像处理项目教程</t>
  </si>
  <si>
    <t>伍江华, 高欣怡, 黄纬维</t>
  </si>
  <si>
    <t>TP391.413/401</t>
  </si>
  <si>
    <t>978-7-111-69403-8</t>
  </si>
  <si>
    <t>智能图像处理: Python和OpenCV实现</t>
  </si>
  <si>
    <t>赵云龙, 葛广英</t>
  </si>
  <si>
    <t>TP391.413/402</t>
  </si>
  <si>
    <t>978-7-302-58519-0</t>
  </si>
  <si>
    <t>Photoshop 2021中文版从入门到精通</t>
  </si>
  <si>
    <t>敬伟</t>
  </si>
  <si>
    <t>TP391.413/403</t>
  </si>
  <si>
    <t>978-7-115-56739-0</t>
  </si>
  <si>
    <t>中文版Photoshop 2021入门教程</t>
  </si>
  <si>
    <t>委婉的鱼</t>
  </si>
  <si>
    <t>TP391.413/404</t>
  </si>
  <si>
    <t>978-7-5208-1436-2</t>
  </si>
  <si>
    <t>Photoshop从入门到精通</t>
  </si>
  <si>
    <t>TP391.413/405</t>
  </si>
  <si>
    <t>978-7-115-54918-1</t>
  </si>
  <si>
    <t>摄影师的后期课: 7小时学会摄影后期原理与实战</t>
  </si>
  <si>
    <t>郑志强</t>
  </si>
  <si>
    <t>TP391.413/406</t>
  </si>
  <si>
    <t>978-7-115-57288-2</t>
  </si>
  <si>
    <t>Photoshop+Illustrator+After Effects移动UI全效实战手册</t>
  </si>
  <si>
    <t xml:space="preserve">孟琴 ...  </t>
  </si>
  <si>
    <t>TP391.413/407</t>
  </si>
  <si>
    <t>978-7-115-53066-0</t>
  </si>
  <si>
    <t>摄影师的后期课: Lightroom后期技法篇</t>
  </si>
  <si>
    <t>TP391.413/408=2D</t>
  </si>
  <si>
    <t>978-7-115-55021-7</t>
  </si>
  <si>
    <t>数码摄影后期高手之路</t>
  </si>
  <si>
    <t>李涛</t>
  </si>
  <si>
    <t>TP391.413/56=2D</t>
  </si>
  <si>
    <t>978-7-115-47282-3</t>
  </si>
  <si>
    <t>摄影师的后期课: Photoshop基础入门篇</t>
  </si>
  <si>
    <t>TP391.413/61=2D</t>
  </si>
  <si>
    <t>978-7-115-57511-1</t>
  </si>
  <si>
    <t>修图师的自我修养: 商业人像摄影后期高级处理技法</t>
  </si>
  <si>
    <t>汪祎, 之南</t>
  </si>
  <si>
    <t>TP391.413/86=2D</t>
  </si>
  <si>
    <t>978-7-5578-7778-1</t>
  </si>
  <si>
    <t>3ds Max角色动画实训</t>
  </si>
  <si>
    <t>王晓, 汤力</t>
  </si>
  <si>
    <t>TP391.414/168</t>
  </si>
  <si>
    <t>978-7-5575-5605-1</t>
  </si>
  <si>
    <t>新语境下动漫创作方向研究</t>
  </si>
  <si>
    <t>王洋</t>
  </si>
  <si>
    <t>TP391.414/169</t>
  </si>
  <si>
    <t>978-7-5682-9022-7</t>
  </si>
  <si>
    <t>Substance Painter次世代PBR材质制作</t>
  </si>
  <si>
    <t>谢怀民, 林鑫, 蔡毅</t>
  </si>
  <si>
    <t>TP391.414/170</t>
  </si>
  <si>
    <t>978-7-83002-782-7</t>
  </si>
  <si>
    <t>中文版Flash CS6动画设计与制作案例教程</t>
  </si>
  <si>
    <t>郝兴高, 王文慧, 陈洁</t>
  </si>
  <si>
    <t>TP391.414/171</t>
  </si>
  <si>
    <t>978-7-5578-8148-1</t>
  </si>
  <si>
    <t>计算机动画设计与制作研究</t>
  </si>
  <si>
    <t>夏亮, 柏芸婷</t>
  </si>
  <si>
    <t>TP391.414/172</t>
  </si>
  <si>
    <t>978-7-302-58881-8</t>
  </si>
  <si>
    <t>3ds Max动画设计与制作案例实战</t>
  </si>
  <si>
    <t>王晓婷, 王中军, 刘奎</t>
  </si>
  <si>
    <t>TP391.414/173</t>
  </si>
  <si>
    <t>978-7-5763-0560-9</t>
  </si>
  <si>
    <t>计算机辅助设计项目教程</t>
  </si>
  <si>
    <t>华云</t>
  </si>
  <si>
    <t>TP391.72/463</t>
  </si>
  <si>
    <t>978-7-302-52986-6</t>
  </si>
  <si>
    <t>UG NX 12.0中文版从入门到精通</t>
  </si>
  <si>
    <t>丁源</t>
  </si>
  <si>
    <t>TP391.72/464</t>
  </si>
  <si>
    <t>978-7-83002-702-5</t>
  </si>
  <si>
    <t>中文版UG NX 10.0实例教程</t>
  </si>
  <si>
    <t>杨豪虎, 张俏, 黄晓明</t>
  </si>
  <si>
    <t>TP391.72/465</t>
  </si>
  <si>
    <t>978-7-5046-8844-6</t>
  </si>
  <si>
    <t>仿真科学与技术学科路线图</t>
  </si>
  <si>
    <t>中国仿真学会</t>
  </si>
  <si>
    <t>TP391.9/47</t>
  </si>
  <si>
    <t>978-7-5220-0697-0</t>
  </si>
  <si>
    <t>商科生的数字技术</t>
  </si>
  <si>
    <t>姚红</t>
  </si>
  <si>
    <t>中国金融出版社</t>
  </si>
  <si>
    <t>TP391.9/48</t>
  </si>
  <si>
    <t>978-7-5682-9018-0</t>
  </si>
  <si>
    <t>VR实景拍摄与制作</t>
  </si>
  <si>
    <t>李榕玲, 叶昕之, 雷乃旺</t>
  </si>
  <si>
    <t>TP391.98/48</t>
  </si>
  <si>
    <t>978-7-5166-5912-0</t>
  </si>
  <si>
    <t>用户体验的沉浸营造研究</t>
  </si>
  <si>
    <t>郭岩</t>
  </si>
  <si>
    <t>TP391.98/49</t>
  </si>
  <si>
    <t>978-7-5682-8566-7</t>
  </si>
  <si>
    <t>人群仿真</t>
  </si>
  <si>
    <t>(瑞士) 丹尼尔·塔尔曼, (巴西) 索拉亚·劳普·穆塞</t>
  </si>
  <si>
    <t>TP391.98/50</t>
  </si>
  <si>
    <t>978-7-111-69640-7</t>
  </si>
  <si>
    <t>语义学: 从数学基础到语义语用学</t>
  </si>
  <si>
    <t>(匈) 安德拉斯·科尔内</t>
  </si>
  <si>
    <t>TP391/102</t>
  </si>
  <si>
    <t>978-7-5166-5712-6</t>
  </si>
  <si>
    <t>复杂网络结构挖掘研究</t>
  </si>
  <si>
    <t>孙泽军</t>
  </si>
  <si>
    <t>TP393.02/26</t>
  </si>
  <si>
    <t>978-7-118-12042-4</t>
  </si>
  <si>
    <t>网络可靠性及评估技术</t>
  </si>
  <si>
    <t>黄宁</t>
  </si>
  <si>
    <t>TP393.021/4</t>
  </si>
  <si>
    <t>978-7-115-55174-0</t>
  </si>
  <si>
    <t>企业级云原生架构: 技术、服务与实践</t>
  </si>
  <si>
    <t xml:space="preserve">刘景应 (四牛) </t>
  </si>
  <si>
    <t>TP393.027/70</t>
  </si>
  <si>
    <t>978-7-5639-7025-4</t>
  </si>
  <si>
    <t>云计算与大数据应用研究</t>
  </si>
  <si>
    <t>舍乐莫, 刘英, 高锁军</t>
  </si>
  <si>
    <t>TP393.027/71</t>
  </si>
  <si>
    <t>978-7-115-54622-7</t>
  </si>
  <si>
    <t>云计算平台构建与5G网络云化部署</t>
  </si>
  <si>
    <t xml:space="preserve">杨炼 ... </t>
  </si>
  <si>
    <t>TP393.027/72</t>
  </si>
  <si>
    <t>978-7-5639-6897-8</t>
  </si>
  <si>
    <t>云计算与网络安全研究</t>
  </si>
  <si>
    <t>杜彩凤</t>
  </si>
  <si>
    <t>TP393.027/73</t>
  </si>
  <si>
    <t>978-7-5165-2313-1</t>
  </si>
  <si>
    <t>云计算导论</t>
  </si>
  <si>
    <t>李兆延, 罗智, 易明升</t>
  </si>
  <si>
    <t>TP393.027/74</t>
  </si>
  <si>
    <t>978-7-5639-6794-0</t>
  </si>
  <si>
    <t>网络综合布线技术教程</t>
  </si>
  <si>
    <t>黄为</t>
  </si>
  <si>
    <t>TP393.03/19</t>
  </si>
  <si>
    <t>978-7-5170-9225-4</t>
  </si>
  <si>
    <t>新一代网络管理及其信息建模研究</t>
  </si>
  <si>
    <t>徐慧, 王春枝, 陈宏伟</t>
  </si>
  <si>
    <t>TP393.07/91</t>
  </si>
  <si>
    <t>978-7-5581-8441-3</t>
  </si>
  <si>
    <t>计算机网络安全技术应用探究</t>
  </si>
  <si>
    <t>赵克宝</t>
  </si>
  <si>
    <t>TP393.08/352</t>
  </si>
  <si>
    <t>978-7-5578-7781-1</t>
  </si>
  <si>
    <t>计算机网络技术与安全研究</t>
  </si>
  <si>
    <t>薛光辉, 鲍海燕, 张虹</t>
  </si>
  <si>
    <t>TP393.08/353</t>
  </si>
  <si>
    <t>978-7-5639-7005-6</t>
  </si>
  <si>
    <t>计算机信息安全与网络技术应用</t>
  </si>
  <si>
    <t>王晓燕, 王虹, 韩雪</t>
  </si>
  <si>
    <t>TP393.08/354</t>
  </si>
  <si>
    <t>978-7-121-39952-7</t>
  </si>
  <si>
    <t>CTF竞赛权威指南: Pwn篇</t>
  </si>
  <si>
    <t>TP393.08/355</t>
  </si>
  <si>
    <t>978-7-111-67925-7</t>
  </si>
  <si>
    <t>网络安全与攻防策略: 现代威胁应对之道</t>
  </si>
  <si>
    <t>(美) 尤里·迪奥赫内斯, (阿联酋) 埃达尔·奥兹卡</t>
  </si>
  <si>
    <t>TP393.08/356</t>
  </si>
  <si>
    <t>978-7-5763-0170-0</t>
  </si>
  <si>
    <t>网络安全技术项目化教程</t>
  </si>
  <si>
    <t>杨正校, 刘坤</t>
  </si>
  <si>
    <t>TP393.08/357=2D</t>
  </si>
  <si>
    <t>978-7-5763-0510-4</t>
  </si>
  <si>
    <t>网络安全运行与维护</t>
  </si>
  <si>
    <t>穆德恒</t>
  </si>
  <si>
    <t>TP393.08/358</t>
  </si>
  <si>
    <t>978-7-5180-3977-7</t>
  </si>
  <si>
    <t>网络信息安全与技术创新</t>
  </si>
  <si>
    <t>赵智超</t>
  </si>
  <si>
    <t>TP393.08/359</t>
  </si>
  <si>
    <t>978-7-5682-9176-7</t>
  </si>
  <si>
    <t>网络安全技术</t>
  </si>
  <si>
    <t>丛佩丽, 陈震</t>
  </si>
  <si>
    <t>TP393.08/360</t>
  </si>
  <si>
    <t>978-7-5630-7251-4</t>
  </si>
  <si>
    <t>中国互联网站发展状况及网络安全报告. 2021</t>
  </si>
  <si>
    <t>TP393.08/361/2021</t>
  </si>
  <si>
    <t>978-7-5639-7196-1</t>
  </si>
  <si>
    <t>计算机网络安全关键技术研究</t>
  </si>
  <si>
    <t>刘毅新, 赵莉苹, 朱贺军</t>
  </si>
  <si>
    <t>TP393.08/362</t>
  </si>
  <si>
    <t>978-7-5578-7858-0</t>
  </si>
  <si>
    <t>计算机网络与安全</t>
  </si>
  <si>
    <t>王学周, 周鑫, 卓然</t>
  </si>
  <si>
    <t>TP393.08/363</t>
  </si>
  <si>
    <t>978-7-5639-7760-4</t>
  </si>
  <si>
    <t>网络安全与信息处理研究</t>
  </si>
  <si>
    <t>龙曼丽</t>
  </si>
  <si>
    <t>TP393.08/364</t>
  </si>
  <si>
    <t>978-7-5576-6810-5</t>
  </si>
  <si>
    <t>计算机网络安全与防御策略</t>
  </si>
  <si>
    <t>张媛, 贾晓霞</t>
  </si>
  <si>
    <t>TP393.08/365</t>
  </si>
  <si>
    <t>978-7-111-68883-9</t>
  </si>
  <si>
    <t>工业互联网安全: 架构与防御</t>
  </si>
  <si>
    <t>魏强, 王文海, 程鹏</t>
  </si>
  <si>
    <t>TP393.08/366</t>
  </si>
  <si>
    <t>978-7-309-15918-9</t>
  </si>
  <si>
    <t>多媒体与人工智能安全研究极简综述</t>
  </si>
  <si>
    <t>钱振兴, 张卫明, 李晓龙</t>
  </si>
  <si>
    <t>TP393.08/367</t>
  </si>
  <si>
    <t>978-7-5198-5480-5</t>
  </si>
  <si>
    <t>Web应用程序安全</t>
  </si>
  <si>
    <t>(美) 安德鲁·霍夫曼</t>
  </si>
  <si>
    <t>TP393.08/368</t>
  </si>
  <si>
    <t>978-7-5688-7185-3</t>
  </si>
  <si>
    <t>计算机技术与云安全</t>
  </si>
  <si>
    <t>莫有印, 赵迅, 卢星</t>
  </si>
  <si>
    <t>TP393.08/369</t>
  </si>
  <si>
    <t>978-7-5639-7055-1</t>
  </si>
  <si>
    <t>网络信息安全管理研究</t>
  </si>
  <si>
    <t>许绘香</t>
  </si>
  <si>
    <t>TP393.08/370</t>
  </si>
  <si>
    <t>978-7-5639-7029-2</t>
  </si>
  <si>
    <t>计算机信息网络安全研究</t>
  </si>
  <si>
    <t>付媛媛, 王鑫</t>
  </si>
  <si>
    <t>TP393.08/371</t>
  </si>
  <si>
    <t>978-7-115-56158-9</t>
  </si>
  <si>
    <t>墨守之道: Web服务安全架构与实践</t>
  </si>
  <si>
    <t>盛洋, 李华峰</t>
  </si>
  <si>
    <t>TP393.08/372</t>
  </si>
  <si>
    <t>978-7-301-32237-6</t>
  </si>
  <si>
    <t>Web渗透攻防实战</t>
  </si>
  <si>
    <t>陈小兵, 陈新龙, 于志鹏</t>
  </si>
  <si>
    <t>TP393.08/373</t>
  </si>
  <si>
    <t>978-7-118-12246-6</t>
  </si>
  <si>
    <t>基于图的社交网络异常检测</t>
  </si>
  <si>
    <t xml:space="preserve">成清 ...  </t>
  </si>
  <si>
    <t>TP393.08/374</t>
  </si>
  <si>
    <t>978-7-5689-2221-0</t>
  </si>
  <si>
    <t>基于PKI的强安全认证密钥交换: 安全模型、协议构造和安全分析</t>
  </si>
  <si>
    <t>杨铮</t>
  </si>
  <si>
    <t>TP393.08/375</t>
  </si>
  <si>
    <t>978-7-5682-9451-5</t>
  </si>
  <si>
    <t>黑客攻击与防范技术</t>
  </si>
  <si>
    <t>宋超</t>
  </si>
  <si>
    <t>TP393.081/20</t>
  </si>
  <si>
    <t>978-7-121-40890-8</t>
  </si>
  <si>
    <t>极限黑客攻防: CTF赛题揭秘</t>
  </si>
  <si>
    <t xml:space="preserve">天融信阿尔法实验室 ...  </t>
  </si>
  <si>
    <t>TP393.081/21</t>
  </si>
  <si>
    <t>978-7-121-40871-7</t>
  </si>
  <si>
    <t>网络安全和网络威胁情报中的数据科学</t>
  </si>
  <si>
    <t>(澳大利亚) Leslie F. Sikos, (韩) Kim-Kwang Raymond Choo</t>
  </si>
  <si>
    <t>TP393.083/5</t>
  </si>
  <si>
    <t>978-7-210-13259-2</t>
  </si>
  <si>
    <t>云端数据安全技术与架构</t>
  </si>
  <si>
    <t>李彦廷, 戴经国, 潘璟琳</t>
  </si>
  <si>
    <t>TP393.083/6</t>
  </si>
  <si>
    <t>978-7-115-54457-5</t>
  </si>
  <si>
    <t>CSS图鉴</t>
  </si>
  <si>
    <t>TP393.092.2/79</t>
  </si>
  <si>
    <t>978-7-5198-5330-3</t>
  </si>
  <si>
    <t>Web API设计</t>
  </si>
  <si>
    <t>(美) 布伦达·金, 苏拉布·萨尼, 埃米尔·舍瓦特</t>
  </si>
  <si>
    <t>TP393.092.2/80</t>
  </si>
  <si>
    <t>978-7-03-070713-0</t>
  </si>
  <si>
    <t>Web网页设计与前端开发案例教程</t>
  </si>
  <si>
    <t>丁海燕</t>
  </si>
  <si>
    <t>TP393.092.2/81=3D</t>
  </si>
  <si>
    <t>978-7-115-55961-6</t>
  </si>
  <si>
    <t>精通ASP.NET Core MVC</t>
  </si>
  <si>
    <t>(美) 亚当·弗里曼</t>
  </si>
  <si>
    <t>TP393.092.2/82</t>
  </si>
  <si>
    <t>978-7-115-56284-5</t>
  </si>
  <si>
    <t>CSS新世界</t>
  </si>
  <si>
    <t>张鑫旭</t>
  </si>
  <si>
    <t>TP393.092.2/83</t>
  </si>
  <si>
    <t>978-7-5682-8884-2</t>
  </si>
  <si>
    <t>网页设计</t>
  </si>
  <si>
    <t>任娟, 陈秋雪, 徐海波</t>
  </si>
  <si>
    <t>TP393.092.2/84</t>
  </si>
  <si>
    <t>978-7-121-36463-1</t>
  </si>
  <si>
    <t>Web前端实用技术示例教程</t>
  </si>
  <si>
    <t>廖雪花, 朱洲森</t>
  </si>
  <si>
    <t>TP393.092.2/85</t>
  </si>
  <si>
    <t>978-7-5632-3994-8</t>
  </si>
  <si>
    <t>网页设计与制作</t>
  </si>
  <si>
    <t>李琳, 曾维佳, 翟悦</t>
  </si>
  <si>
    <t>TP393.092.2/86</t>
  </si>
  <si>
    <t>978-7-5661-2745-7</t>
  </si>
  <si>
    <t>基于PHP的Dreamweaver动态网站开发</t>
  </si>
  <si>
    <t>邱建新, 门佳</t>
  </si>
  <si>
    <t>TP393.092.2/87</t>
  </si>
  <si>
    <t>978-7-5165-2801-3</t>
  </si>
  <si>
    <t>网页设计与制作案例教程</t>
  </si>
  <si>
    <t>胡秀娥</t>
  </si>
  <si>
    <t>TP393.092.2/88=2D</t>
  </si>
  <si>
    <t>978-7-5682-8887-3</t>
  </si>
  <si>
    <t>网站内容编辑</t>
  </si>
  <si>
    <t>陈秋雪</t>
  </si>
  <si>
    <t>TP393.092/1033</t>
  </si>
  <si>
    <t>978-7-115-58207-2</t>
  </si>
  <si>
    <t>Cisco软件定义广域网: SD-WAN</t>
  </si>
  <si>
    <t xml:space="preserve">(美) 杰森·古利 ...  </t>
  </si>
  <si>
    <t>TP393.2/3</t>
  </si>
  <si>
    <t>978-7-5336-9399-2</t>
  </si>
  <si>
    <t>网络强国发展战略研究</t>
  </si>
  <si>
    <t xml:space="preserve">吕本富 ...  </t>
  </si>
  <si>
    <t>TP393.4/453</t>
  </si>
  <si>
    <t>978-7-5349-9911-6</t>
  </si>
  <si>
    <t>人人都该懂的互联网思维</t>
  </si>
  <si>
    <t>(阿根廷) 伯纳多·A. 胡伯曼</t>
  </si>
  <si>
    <t>TP393.4/454</t>
  </si>
  <si>
    <t>978-7-300-28330-2</t>
  </si>
  <si>
    <t>过滤泡: 互联网对我们的隐秘操纵</t>
  </si>
  <si>
    <t>(美) 伊莱·帕里泽</t>
  </si>
  <si>
    <t>TP393.4/455</t>
  </si>
  <si>
    <t>978-7-115-56341-5</t>
  </si>
  <si>
    <t>网络互联技术项目教程</t>
  </si>
  <si>
    <t>崔升广</t>
  </si>
  <si>
    <t>TP393.4/456</t>
  </si>
  <si>
    <t>978-7-121-42315-4</t>
  </si>
  <si>
    <t>物联网与无线传感器网络</t>
  </si>
  <si>
    <t>刘伟荣</t>
  </si>
  <si>
    <t>TP393.4/457=2D</t>
  </si>
  <si>
    <t>978-7-301-30944-5</t>
  </si>
  <si>
    <t>大型互联网应用轻量级架构实战</t>
  </si>
  <si>
    <t>柳伟卫</t>
  </si>
  <si>
    <t>TP393.4/458</t>
  </si>
  <si>
    <t>978-7-5047-7424-8</t>
  </si>
  <si>
    <t>用户互联网</t>
  </si>
  <si>
    <t>李杰</t>
  </si>
  <si>
    <t>TP393.4/459</t>
  </si>
  <si>
    <t>978-7-5189-8441-1</t>
  </si>
  <si>
    <t>面向中文网络百科知识图谱的高性能并行去噪关键技术研究</t>
  </si>
  <si>
    <t>王汀</t>
  </si>
  <si>
    <t>TP393.4/460</t>
  </si>
  <si>
    <t>978-7-5164-2322-6</t>
  </si>
  <si>
    <t>互联网战略转型与创新发展</t>
  </si>
  <si>
    <t>刘千桂, 于小侠</t>
  </si>
  <si>
    <t>TP393.4/461</t>
  </si>
  <si>
    <t>978-7-5692-7229-1</t>
  </si>
  <si>
    <t>面向下一代Internet网络数据传输</t>
  </si>
  <si>
    <t>刘拥民</t>
  </si>
  <si>
    <t>TP393.4/462</t>
  </si>
  <si>
    <t>978-7-5117-3870-7</t>
  </si>
  <si>
    <t>物联网社会的治理创新研究</t>
  </si>
  <si>
    <t>吴标兵</t>
  </si>
  <si>
    <t>TP393.4/463</t>
  </si>
  <si>
    <t>978-7-111-67273-9</t>
  </si>
  <si>
    <t>AIRIOT物联网平台开发框架应用与实战</t>
  </si>
  <si>
    <t>袁宁</t>
  </si>
  <si>
    <t>TP393.4/464</t>
  </si>
  <si>
    <t>978-7-5207-1647-5</t>
  </si>
  <si>
    <t>互链网: 未来世界的连接方式</t>
  </si>
  <si>
    <t>蔡维德</t>
  </si>
  <si>
    <t>TP393.4/465</t>
  </si>
  <si>
    <t>978-7-302-54495-1</t>
  </si>
  <si>
    <t>Web安全攻防项目化实战教程</t>
  </si>
  <si>
    <t>贾如春</t>
  </si>
  <si>
    <t>TP393.408/16</t>
  </si>
  <si>
    <t>978-7-115-56438-2</t>
  </si>
  <si>
    <t>移动APT: 威胁情报分析与数据防护</t>
  </si>
  <si>
    <t>高坤, 李梓源, 徐雨晴</t>
  </si>
  <si>
    <t>TP393.408/17</t>
  </si>
  <si>
    <t>978-7-5198-5344-0</t>
  </si>
  <si>
    <t>电力物联网安全与实践</t>
  </si>
  <si>
    <t>国网辽宁省电力有限公司电力科学研究院</t>
  </si>
  <si>
    <t>TP393.408/18</t>
  </si>
  <si>
    <t>978-7-302-56324-2</t>
  </si>
  <si>
    <t>Web安全开发与攻防测试</t>
  </si>
  <si>
    <t>王顺</t>
  </si>
  <si>
    <t>TP393.408/19</t>
  </si>
  <si>
    <t>978-7-5013-6982-9</t>
  </si>
  <si>
    <t>网络健康信息风险感知研究</t>
  </si>
  <si>
    <t>赵蕊菡</t>
  </si>
  <si>
    <t>TP393.408/20</t>
  </si>
  <si>
    <t>978-7-121-42737-4</t>
  </si>
  <si>
    <t>智联网</t>
  </si>
  <si>
    <t xml:space="preserve">徐勇军 ...  </t>
  </si>
  <si>
    <t>TP393.409/135</t>
  </si>
  <si>
    <t>978-7-5578-8121-4</t>
  </si>
  <si>
    <t>物联网技术与应用</t>
  </si>
  <si>
    <t>鞠全勇, 牟福元, 刘莎</t>
  </si>
  <si>
    <t>TP393.409/136</t>
  </si>
  <si>
    <t>978-7-115-57642-2</t>
  </si>
  <si>
    <t>物联网技术</t>
  </si>
  <si>
    <t>TP393.409/137</t>
  </si>
  <si>
    <t>978-7-5578-8053-8</t>
  </si>
  <si>
    <t>物联网技术发展及创新应用研究</t>
  </si>
  <si>
    <t>宋巍, 李妍</t>
  </si>
  <si>
    <t>TP393.409/138</t>
  </si>
  <si>
    <t>978-7-5717-0592-3</t>
  </si>
  <si>
    <t>低功耗广域物联网技术开发</t>
  </si>
  <si>
    <t xml:space="preserve">褚云霞 ...  </t>
  </si>
  <si>
    <t>TP393.409/139</t>
  </si>
  <si>
    <t>978-7-115-52616-8</t>
  </si>
  <si>
    <t>创客智造: 让物体拥有“智慧”的物联网创意设计与应用</t>
  </si>
  <si>
    <t>(美) 汤姆·艾戈</t>
  </si>
  <si>
    <t>TP393.409/140</t>
  </si>
  <si>
    <t>978-7-121-40978-3</t>
  </si>
  <si>
    <t>物联网+BIM: 构建数字孪生的未来</t>
  </si>
  <si>
    <t>中国通信工业协会物联网应用分会</t>
  </si>
  <si>
    <t>TP393.409/141</t>
  </si>
  <si>
    <t>978-7-5189-7644-7</t>
  </si>
  <si>
    <t>智联未来: 从物联网到智联网</t>
  </si>
  <si>
    <t>TP393.409/142</t>
  </si>
  <si>
    <t>978-7-121-42455-7</t>
  </si>
  <si>
    <t>计算机网络实验指导书</t>
  </si>
  <si>
    <t>郭雅, 李泗兰</t>
  </si>
  <si>
    <t>TP393/599-2</t>
  </si>
  <si>
    <t>978-7-5692-9149-0</t>
  </si>
  <si>
    <t>网络社会学</t>
  </si>
  <si>
    <t>郝其宏</t>
  </si>
  <si>
    <t>TP393/659</t>
  </si>
  <si>
    <t>978-7-5581-8465-9</t>
  </si>
  <si>
    <t>计算机网络技术与应用</t>
  </si>
  <si>
    <t>马志强</t>
  </si>
  <si>
    <t>TP393/660</t>
  </si>
  <si>
    <t>978-7-5581-8463-5</t>
  </si>
  <si>
    <t>计算机网络基础</t>
  </si>
  <si>
    <t>万亚平, 刘鹏远, 温珏</t>
  </si>
  <si>
    <t>TP393/661</t>
  </si>
  <si>
    <t>978-7-5108-8059-9</t>
  </si>
  <si>
    <t>大学生网络文明素养培育研究</t>
  </si>
  <si>
    <t>姜嘉</t>
  </si>
  <si>
    <t>TP393/662</t>
  </si>
  <si>
    <t>978-7-5189-8035-2</t>
  </si>
  <si>
    <t>计算机网络数据分析研究</t>
  </si>
  <si>
    <t>(乌克兰) 亚历山大·多多诺夫, 德米特里·兰德, 弗拉基米尔·普佳京</t>
  </si>
  <si>
    <t>TP393/663</t>
  </si>
  <si>
    <t>978-7-5165-2706-1</t>
  </si>
  <si>
    <t>计算机网络技术基础实训</t>
  </si>
  <si>
    <t>王崇刚, 王道乾, 杨斌</t>
  </si>
  <si>
    <t>TP393/664</t>
  </si>
  <si>
    <t>978-7-5661-3264-2</t>
  </si>
  <si>
    <t>网络设备配置与管理</t>
  </si>
  <si>
    <t>施科, 张娜, 高亚玲</t>
  </si>
  <si>
    <t>TP393/665</t>
  </si>
  <si>
    <t>978-7-5682-7656-6</t>
  </si>
  <si>
    <t>计算机网络基础与实践</t>
  </si>
  <si>
    <t>卢晓丽, 于洋</t>
  </si>
  <si>
    <t>TP393/666</t>
  </si>
  <si>
    <t>978-7-5763-0201-1</t>
  </si>
  <si>
    <t>计算机网络工程</t>
  </si>
  <si>
    <t>邓世昆</t>
  </si>
  <si>
    <t>TP393/667</t>
  </si>
  <si>
    <t>978-7-5198-5675-5</t>
  </si>
  <si>
    <t>云原生数据中心网络</t>
  </si>
  <si>
    <t>(美) 迪内希·G. 杜特</t>
  </si>
  <si>
    <t>TP393/668</t>
  </si>
  <si>
    <t>978-7-5661-2583-5</t>
  </si>
  <si>
    <t>数据通信与网络技术</t>
  </si>
  <si>
    <t>罗学刚, 蔡炯</t>
  </si>
  <si>
    <t>TP393/669</t>
  </si>
  <si>
    <t>978-7-115-54091-1</t>
  </si>
  <si>
    <t>软件定义网络之旅: 构建更智能、更快速、更灵活的未来网络</t>
  </si>
  <si>
    <t>(美) 约翰·多诺万, 克里什·普拉布</t>
  </si>
  <si>
    <t>TP393/670</t>
  </si>
  <si>
    <t>978-7-5578-7507-7</t>
  </si>
  <si>
    <t>现代计算机网络技术与应用研究</t>
  </si>
  <si>
    <t>吴婷</t>
  </si>
  <si>
    <t>TP393/671</t>
  </si>
  <si>
    <t>978-7-118-11876-6</t>
  </si>
  <si>
    <t>多维成像</t>
  </si>
  <si>
    <t>(美) Bahram Javidi, Enrique Tajahuerce, Pedro Andres</t>
  </si>
  <si>
    <t>TP72/7</t>
  </si>
  <si>
    <t>978-7-5692-8373-0</t>
  </si>
  <si>
    <t>高光谱图像处理与分析应用</t>
  </si>
  <si>
    <t>杨桄</t>
  </si>
  <si>
    <t>TP751/25</t>
  </si>
  <si>
    <t>978-7-5030-4387-1</t>
  </si>
  <si>
    <t>面向影像对象的高分辨率遥感多特征变化检测</t>
  </si>
  <si>
    <t>陈强, 陈云浩, 杜明义</t>
  </si>
  <si>
    <t>测绘出版社</t>
  </si>
  <si>
    <t>TP751/26</t>
  </si>
  <si>
    <t>978-7-5692-7930-6</t>
  </si>
  <si>
    <t>高分辨光学遥感影像复原与目标检测技术</t>
  </si>
  <si>
    <t>高昆, 豆泽阳</t>
  </si>
  <si>
    <t>TP751/27</t>
  </si>
  <si>
    <t>978-7-118-10937-5</t>
  </si>
  <si>
    <t>基于不等定时截尾数据的卫星平台可靠性评估</t>
  </si>
  <si>
    <t>贾祥</t>
  </si>
  <si>
    <t>TP872/4</t>
  </si>
  <si>
    <t>978-7-5180-1573-3</t>
  </si>
  <si>
    <t>药物制剂制备工艺及其新发展</t>
  </si>
  <si>
    <t>陈三宝, 郭孟萍</t>
  </si>
  <si>
    <t>TQ460/12</t>
  </si>
  <si>
    <t>978-7-122-36352-7</t>
  </si>
  <si>
    <t>美容化妆品探秘</t>
  </si>
  <si>
    <t>谢珍茗</t>
  </si>
  <si>
    <t>TQ658.5/3=2D</t>
  </si>
  <si>
    <t>978-7-03-052098-2</t>
  </si>
  <si>
    <t>化妆品消费安全常识</t>
  </si>
  <si>
    <t>方洪添, 谢志洁</t>
  </si>
  <si>
    <t>TQ658/21</t>
  </si>
  <si>
    <t>978-7-110-10291-6</t>
  </si>
  <si>
    <t>你必须知道的食品安全知识</t>
  </si>
  <si>
    <t>刘少伟</t>
  </si>
  <si>
    <t>TS201.6/26</t>
  </si>
  <si>
    <t>978-7-5713-1680-8</t>
  </si>
  <si>
    <t>咖啡实用指南</t>
  </si>
  <si>
    <t>(法) 弗朗索瓦·艾蒂安</t>
  </si>
  <si>
    <t>TS273/22</t>
  </si>
  <si>
    <t>978-7-5713-1577-1</t>
  </si>
  <si>
    <t>咖啡师的冲煮秘籍</t>
  </si>
  <si>
    <t>(澳) 米奇·福克纳</t>
  </si>
  <si>
    <t>TS273/23</t>
  </si>
  <si>
    <t>978-7-5596-5372-7</t>
  </si>
  <si>
    <t>当代中国家具设计: 融合与再造</t>
  </si>
  <si>
    <t>(英) 夏洛特·菲尔, 彼得·菲尔, 瞿铮</t>
  </si>
  <si>
    <t>TS666.2/5</t>
  </si>
  <si>
    <t>978-7-5180-3944-9</t>
  </si>
  <si>
    <t>现代服装设计与立体造型技术研究</t>
  </si>
  <si>
    <t>陈鹏, 朱洪峰</t>
  </si>
  <si>
    <t>TS941.2/105</t>
  </si>
  <si>
    <t>978-7-5180-4280-7</t>
  </si>
  <si>
    <t>服装装饰细节设计方法与实践</t>
  </si>
  <si>
    <t>刘楠楠</t>
  </si>
  <si>
    <t>TS941.2/106</t>
  </si>
  <si>
    <t>978-7-5180-4440-5</t>
  </si>
  <si>
    <t>服装流行与文化影响力研究</t>
  </si>
  <si>
    <t>李昭庆</t>
  </si>
  <si>
    <t>TS941-091/4</t>
  </si>
  <si>
    <t>978-7-5680-7617-3</t>
  </si>
  <si>
    <t>蔬菜</t>
  </si>
  <si>
    <t>(日) EI出版社辑部</t>
  </si>
  <si>
    <t>TS951.5/4</t>
  </si>
  <si>
    <t>978-7-5496-3495-8</t>
  </si>
  <si>
    <t>瓯肴</t>
  </si>
  <si>
    <t>周红, 尹舒鸿</t>
  </si>
  <si>
    <t>TS971.2/89</t>
  </si>
  <si>
    <t>978-7-5180-4692-8</t>
  </si>
  <si>
    <t>茶道与日本文化的渊源与发展</t>
  </si>
  <si>
    <t>易洪艳</t>
  </si>
  <si>
    <t>TS971.21/73</t>
  </si>
  <si>
    <t>978-7-5713-1380-7</t>
  </si>
  <si>
    <t>中国茶图鉴</t>
  </si>
  <si>
    <t>李韬</t>
  </si>
  <si>
    <t>TS971.21/74</t>
  </si>
  <si>
    <t>978-7-108-05552-1</t>
  </si>
  <si>
    <t>茶: 嗜好、开拓与帝国</t>
  </si>
  <si>
    <t>(英) 罗伊·莫克塞姆</t>
  </si>
  <si>
    <t>TS971/136=2D</t>
  </si>
  <si>
    <t>978-7-122-36728-0</t>
  </si>
  <si>
    <t>皮肤养生与护肤品开发</t>
  </si>
  <si>
    <t>孟宏, 董银卯, 刘月恒</t>
  </si>
  <si>
    <t>TS974.11/7</t>
  </si>
  <si>
    <t>978-7-5189-8695-8</t>
  </si>
  <si>
    <t>肌肤的需要, 肠道最知道</t>
  </si>
  <si>
    <t>(日) 山崎舞子</t>
  </si>
  <si>
    <t>TS974.11/8</t>
  </si>
  <si>
    <t>978-7-115-56793-2</t>
  </si>
  <si>
    <t>化妆造型技术大全</t>
  </si>
  <si>
    <t>安洋</t>
  </si>
  <si>
    <t>TS974.12/11=2D</t>
  </si>
  <si>
    <t>978-7-214-08103-2</t>
  </si>
  <si>
    <t>可持续舒适空间. 上: 亚太室内设计精英邀请赛获奖作品精选集</t>
  </si>
  <si>
    <t>亚太设计中心</t>
  </si>
  <si>
    <t>TU238.2-64/10/1</t>
  </si>
  <si>
    <t>978-7-214-08328-9</t>
  </si>
  <si>
    <t>可持续舒适空间. 下: 亚太室内设计精英邀请赛获奖作品精选集</t>
  </si>
  <si>
    <t>TU238.2-64/10/2</t>
  </si>
  <si>
    <t>978-7-5335-5483-5</t>
  </si>
  <si>
    <t>品味TOP100</t>
  </si>
  <si>
    <t>华浔品味装饰</t>
  </si>
  <si>
    <t>福建科学技术出版社</t>
  </si>
  <si>
    <t>TU238.2-64/9</t>
  </si>
  <si>
    <t>978-7-122-37262-8</t>
  </si>
  <si>
    <t>机械电气控制S7-200 SMART PLC编程入门与提高</t>
  </si>
  <si>
    <t>陈继文, 于永鹏, 程伟志</t>
  </si>
  <si>
    <t>TU6/5</t>
  </si>
  <si>
    <t>978-7-200-12010-3</t>
  </si>
  <si>
    <t>新建筑与流派</t>
  </si>
  <si>
    <t>童寯</t>
  </si>
  <si>
    <t>TU-8/5</t>
  </si>
  <si>
    <t>978-7-5160-3231-2</t>
  </si>
  <si>
    <t>建筑供配电技术与设计</t>
  </si>
  <si>
    <t>曹祥红, 张华, 李跃龙</t>
  </si>
  <si>
    <t>TU85/28</t>
  </si>
  <si>
    <t>978-7-5688-6934-8</t>
  </si>
  <si>
    <t>环境设计心理学研究</t>
  </si>
  <si>
    <t>李季</t>
  </si>
  <si>
    <t>TU-856/133</t>
  </si>
  <si>
    <t>978-7-5689-0293-9</t>
  </si>
  <si>
    <t>激励变革: 建成环境中的可持续设计与行为</t>
  </si>
  <si>
    <t xml:space="preserve">(澳) 罗伯特·克罗克 (Robert Crocker) , (澳) 斯蒂芬·莱曼 (Steffen Lehmann) </t>
  </si>
  <si>
    <t>TU-856/134</t>
  </si>
  <si>
    <t>978-7-5198-4128-7</t>
  </si>
  <si>
    <t>中外环境艺术设计史</t>
  </si>
  <si>
    <t>薛娟, 耿蕾, 王海燕</t>
  </si>
  <si>
    <t>TU-856/135=2D</t>
  </si>
  <si>
    <t>978-7-5575-4474-4</t>
  </si>
  <si>
    <t>环境艺术设计原理与技法研究</t>
  </si>
  <si>
    <t>陈媛媛</t>
  </si>
  <si>
    <t>TU-856/136</t>
  </si>
  <si>
    <t>978-7-5180-4439-9</t>
  </si>
  <si>
    <t>生态视角下的环境艺术设计</t>
  </si>
  <si>
    <t>曹懿</t>
  </si>
  <si>
    <t>TU-856/137</t>
  </si>
  <si>
    <t>978-7-5517-2754-9</t>
  </si>
  <si>
    <t>基于可供性理论的环境设计方法论</t>
  </si>
  <si>
    <t>谷晓丹</t>
  </si>
  <si>
    <t>TU-856/138</t>
  </si>
  <si>
    <t>978-7-5639-7004-9</t>
  </si>
  <si>
    <t>环境艺术设计基础研究</t>
  </si>
  <si>
    <t>TU-856/139</t>
  </si>
  <si>
    <t>978-7-5639-6899-2</t>
  </si>
  <si>
    <t>审美视角下环境艺术设计的多维研究</t>
  </si>
  <si>
    <t>李楠, 任杰, 郭丽娟</t>
  </si>
  <si>
    <t>TU-856/140</t>
  </si>
  <si>
    <t>978-7-5639-7086-5</t>
  </si>
  <si>
    <t>环境艺术设计理论和实践研究</t>
  </si>
  <si>
    <t>俞洁</t>
  </si>
  <si>
    <t>TU-856/141</t>
  </si>
  <si>
    <t>978-7-5689-2687-4</t>
  </si>
  <si>
    <t>环境设计美学</t>
  </si>
  <si>
    <t>孙磊</t>
  </si>
  <si>
    <t>TU-856/142</t>
  </si>
  <si>
    <t>978-7-5647-7198-0</t>
  </si>
  <si>
    <t>环境艺术设计专业教学与实践研究</t>
  </si>
  <si>
    <t>张波, 武春焕</t>
  </si>
  <si>
    <t>TU-856/143</t>
  </si>
  <si>
    <t>978-7-214-24995-1</t>
  </si>
  <si>
    <t>后半生我想这样住</t>
  </si>
  <si>
    <t>林黛羚</t>
  </si>
  <si>
    <t>TU-856/144</t>
  </si>
  <si>
    <t>978-7-5639-7037-7</t>
  </si>
  <si>
    <t>环境艺术设计基础与表现研究</t>
  </si>
  <si>
    <t>水源, 甘露</t>
  </si>
  <si>
    <t>TU-856/145</t>
  </si>
  <si>
    <t>978-7-110-10205-3</t>
  </si>
  <si>
    <t>看不见的水</t>
  </si>
  <si>
    <t>吴普特</t>
  </si>
  <si>
    <t>TV213.4/38</t>
  </si>
  <si>
    <t>978-7-5561-2511-1</t>
  </si>
  <si>
    <t>人类疾病史: 一个百年家族的血脉、抉择与抗争</t>
  </si>
  <si>
    <t>(英) 斯蒂芬·麦甘</t>
  </si>
  <si>
    <t>R-091/20</t>
  </si>
  <si>
    <t>978-7-5578-7581-7</t>
  </si>
  <si>
    <t>谈医录: 旴江医学文史资料辑注</t>
  </si>
  <si>
    <t>左国春, 徐荣丽</t>
  </si>
  <si>
    <t>R-092/26</t>
  </si>
  <si>
    <t>978-7-122-38195-8</t>
  </si>
  <si>
    <t>运动养生良方: 让您动静结合、形神兼养</t>
  </si>
  <si>
    <t>张玉苹, 杨宇, 马淑然</t>
  </si>
  <si>
    <t>R161.1/92</t>
  </si>
  <si>
    <t>978-7-115-54292-2</t>
  </si>
  <si>
    <t>高效休息法: 世界精英这样放松大脑</t>
  </si>
  <si>
    <t>(日) 久贺谷亮</t>
  </si>
  <si>
    <t>R161/731</t>
  </si>
  <si>
    <t>978-7-5578-7854-2</t>
  </si>
  <si>
    <t>临床护士礼仪及护患沟通技巧</t>
  </si>
  <si>
    <t>R192.6/49</t>
  </si>
  <si>
    <t>978-7-117-31468-8</t>
  </si>
  <si>
    <t>医患沟通技巧及案例分析</t>
  </si>
  <si>
    <t>白冰</t>
  </si>
  <si>
    <t>R192/52</t>
  </si>
  <si>
    <t>978-7-5335-6101-7</t>
  </si>
  <si>
    <t>金匮要略诠释与临床</t>
  </si>
  <si>
    <t>戴锦成</t>
  </si>
  <si>
    <t>R222.39/10</t>
  </si>
  <si>
    <t>978-7-5578-7112-3</t>
  </si>
  <si>
    <t>当代中医常见病特色诊疗学</t>
  </si>
  <si>
    <t>种丽君, 黄华, 韩光福</t>
  </si>
  <si>
    <t>R24/56</t>
  </si>
  <si>
    <t>978-7-5335-6451-3</t>
  </si>
  <si>
    <t>六经辨证新悟</t>
  </si>
  <si>
    <t>郑安平</t>
  </si>
  <si>
    <t>R241/29</t>
  </si>
  <si>
    <t>978-7-5578-7732-3</t>
  </si>
  <si>
    <t>临床中医诊疗学</t>
  </si>
  <si>
    <t>梁少华</t>
  </si>
  <si>
    <t>R241/30</t>
  </si>
  <si>
    <t>978-7-5359-7526-3</t>
  </si>
  <si>
    <t>运动饮食1:9</t>
  </si>
  <si>
    <t>(日) 森拓郎</t>
  </si>
  <si>
    <t>R247.1/635=D</t>
  </si>
  <si>
    <t>978-7-5335-5855-0</t>
  </si>
  <si>
    <t>中医杂证治验一得</t>
  </si>
  <si>
    <t>汤万团, 陈炬烽</t>
  </si>
  <si>
    <t>R249.1/19</t>
  </si>
  <si>
    <t>978-7-5335-6470-4</t>
  </si>
  <si>
    <t>李子光医论医案集</t>
  </si>
  <si>
    <t>李学麟</t>
  </si>
  <si>
    <t>R249.7/23</t>
  </si>
  <si>
    <t>978-7-5578-7668-5</t>
  </si>
  <si>
    <t>张伦忠教授临床经验集</t>
  </si>
  <si>
    <t>张兰起</t>
  </si>
  <si>
    <t>R249.7/24</t>
  </si>
  <si>
    <t>978-7-5335-5981-6</t>
  </si>
  <si>
    <t>余天泰学术经验集</t>
  </si>
  <si>
    <t>陈勋善</t>
  </si>
  <si>
    <t>R249.76/8</t>
  </si>
  <si>
    <t>978-7-5578-7853-5</t>
  </si>
  <si>
    <t>临床中医心血管疾病诊疗思维</t>
  </si>
  <si>
    <t>吕志达</t>
  </si>
  <si>
    <t>R259.4/11</t>
  </si>
  <si>
    <t>978-7-5335-6475-9</t>
  </si>
  <si>
    <t>常见皮肤病中草药外治</t>
  </si>
  <si>
    <t>三明市卫生健康委员会, 三明市皮肤病医院</t>
  </si>
  <si>
    <t>R275/31</t>
  </si>
  <si>
    <t>978-7-5335-6361-5</t>
  </si>
  <si>
    <t>常见中药临证妙用</t>
  </si>
  <si>
    <t>蒋远征</t>
  </si>
  <si>
    <t>R282/35</t>
  </si>
  <si>
    <t>978-7-5689-2497-9</t>
  </si>
  <si>
    <t>生物材料学</t>
  </si>
  <si>
    <t xml:space="preserve">王远亮 ...  </t>
  </si>
  <si>
    <t>R318.08/2</t>
  </si>
  <si>
    <t>978-7-5596-5541-7</t>
  </si>
  <si>
    <t>不可思议的人体</t>
  </si>
  <si>
    <t>(日) 茨木保</t>
  </si>
  <si>
    <t>R32/88</t>
  </si>
  <si>
    <t>978-7-5578-7340-0</t>
  </si>
  <si>
    <t>病原生物学与免疫学</t>
  </si>
  <si>
    <t>王华, 焦嫦亮, 先国兰</t>
  </si>
  <si>
    <t>R37/38</t>
  </si>
  <si>
    <t>978-7-5720-1065-1</t>
  </si>
  <si>
    <t>病菌简史</t>
  </si>
  <si>
    <t>张文宏</t>
  </si>
  <si>
    <t>R37/39</t>
  </si>
  <si>
    <t>978-7-5578-7852-8</t>
  </si>
  <si>
    <t>常见感染性疾病临床诊疗策略</t>
  </si>
  <si>
    <t>刘理冠, 黄进发, 黄志杰</t>
  </si>
  <si>
    <t>R4/423</t>
  </si>
  <si>
    <t>978-7-5578-7342-4</t>
  </si>
  <si>
    <t>临床医学概论</t>
  </si>
  <si>
    <t>朱秋平, 洪欢山, 罗玉龙</t>
  </si>
  <si>
    <t>R4/424</t>
  </si>
  <si>
    <t>978-7-5578-7611-1</t>
  </si>
  <si>
    <t>临床综合医学研究</t>
  </si>
  <si>
    <t>刘广明, 邵汝标, 李聪</t>
  </si>
  <si>
    <t>R4/425</t>
  </si>
  <si>
    <t>978-7-5113-8511-6</t>
  </si>
  <si>
    <t>高等院校医药教育教学模式的探讨</t>
  </si>
  <si>
    <t>宋丽娟, 王宇</t>
  </si>
  <si>
    <t>R-4/6</t>
  </si>
  <si>
    <t>978-7-5578-6700-3</t>
  </si>
  <si>
    <t>临床常见病诊断与用药</t>
  </si>
  <si>
    <t>刘传夫</t>
  </si>
  <si>
    <t>R44/46=2D</t>
  </si>
  <si>
    <t>978-7-313-25172-5</t>
  </si>
  <si>
    <t>逻辑型临床思维诊断学</t>
  </si>
  <si>
    <t>杨智昉, 朱一帆, 吴宁</t>
  </si>
  <si>
    <t>R44/47</t>
  </si>
  <si>
    <t>978-7-5578-7348-6</t>
  </si>
  <si>
    <t>诊断学</t>
  </si>
  <si>
    <t>赖纪英, 岳霖琳, 洪虹</t>
  </si>
  <si>
    <t>R44/48</t>
  </si>
  <si>
    <t>978-7-5077-5840-5</t>
  </si>
  <si>
    <t>从眼睛看全身性疾病</t>
  </si>
  <si>
    <t>李顺保, 顾文卿</t>
  </si>
  <si>
    <t>R44/49</t>
  </si>
  <si>
    <t>978-7-5189-5221-2</t>
  </si>
  <si>
    <t>The 10-minute clinical assessment</t>
  </si>
  <si>
    <t>Knut Schroeder</t>
  </si>
  <si>
    <t>R44/50</t>
  </si>
  <si>
    <t>978-7-5692-7326-7</t>
  </si>
  <si>
    <t>临床疼痛治疗学</t>
  </si>
  <si>
    <t>康治臣, 易江, 刘忠良</t>
  </si>
  <si>
    <t>R441.1/21</t>
  </si>
  <si>
    <t>978-7-122-37657-2</t>
  </si>
  <si>
    <t>疼痛管理与合理用药</t>
  </si>
  <si>
    <t>曹烨君</t>
  </si>
  <si>
    <t>R441.1/22</t>
  </si>
  <si>
    <t>978-7-5439-8449-3</t>
  </si>
  <si>
    <t>神经病理疼痛性疾病典型病例</t>
  </si>
  <si>
    <t>曲勇, 彭听, 李其海</t>
  </si>
  <si>
    <t>R441.1/23</t>
  </si>
  <si>
    <t>978-7-5214-2714-1</t>
  </si>
  <si>
    <t>眩晕诊治经验集萃</t>
  </si>
  <si>
    <t>董桂英, 秦英, 支应鹏</t>
  </si>
  <si>
    <t>中国医药科技出版社</t>
  </si>
  <si>
    <t>R441.2/2</t>
  </si>
  <si>
    <t>978-7-121-36970-4</t>
  </si>
  <si>
    <t>细说眩晕</t>
  </si>
  <si>
    <t>黄丽贤, 齐宝云, 姜辉</t>
  </si>
  <si>
    <t>R441.2/3</t>
  </si>
  <si>
    <t>978-7-5690-3405-9</t>
  </si>
  <si>
    <t>常见症状诊疗手册</t>
  </si>
  <si>
    <t>吉克春农, 窦青瑜, 杨淑娟</t>
  </si>
  <si>
    <t>R441/24</t>
  </si>
  <si>
    <t>978-7-309-15576-1</t>
  </si>
  <si>
    <t>精准医疗示范体系全流程质量控制与评价手册</t>
  </si>
  <si>
    <t>顾建英</t>
  </si>
  <si>
    <t>R441/25</t>
  </si>
  <si>
    <t>978-7-117-31000-0</t>
  </si>
  <si>
    <t>健康重建: 慢性疾病康复5步法</t>
  </si>
  <si>
    <t>原Robert Zembroski</t>
  </si>
  <si>
    <t>R442.9/5</t>
  </si>
  <si>
    <t>978-7-5180-6916-3</t>
  </si>
  <si>
    <t>适用于无线胶囊内镜视频图像的TV模型图像分析与处理</t>
  </si>
  <si>
    <t>刘海英</t>
  </si>
  <si>
    <t>R443/3</t>
  </si>
  <si>
    <t>978-7-5189-8259-2</t>
  </si>
  <si>
    <t>超声新技术临床应用</t>
  </si>
  <si>
    <t>陈宝定, 李嘉, 邓学东</t>
  </si>
  <si>
    <t>R445.1/19</t>
  </si>
  <si>
    <t>978-7-5189-7027-8</t>
  </si>
  <si>
    <t>超声医学典型病例荟萃</t>
  </si>
  <si>
    <t>闫瑞玲, 谢峰, 周祖邦</t>
  </si>
  <si>
    <t>R445.1/20</t>
  </si>
  <si>
    <t>978-7-5608-8902-3</t>
  </si>
  <si>
    <t>超声设备及检查技术</t>
  </si>
  <si>
    <t>刘红, 徐辉雄</t>
  </si>
  <si>
    <t>R445.1/21</t>
  </si>
  <si>
    <t>978-7-5189-6481-9</t>
  </si>
  <si>
    <t>现代超声诊断与介入应用</t>
  </si>
  <si>
    <t xml:space="preserve">宋海霞 ... </t>
  </si>
  <si>
    <t>R445.1/22</t>
  </si>
  <si>
    <t>978-7-5719-0922-2</t>
  </si>
  <si>
    <t>超声诊断学理论与临床实践</t>
  </si>
  <si>
    <t xml:space="preserve">葛文璇 ...  </t>
  </si>
  <si>
    <t>R445.1/23</t>
  </si>
  <si>
    <t>978-7-5180-8884-3</t>
  </si>
  <si>
    <t>超声诊断学</t>
  </si>
  <si>
    <t>张小丽, 李普楠, 张中华</t>
  </si>
  <si>
    <t>R445.1/24</t>
  </si>
  <si>
    <t>978-7-5658-2914-7</t>
  </si>
  <si>
    <t>临床超声诊断</t>
  </si>
  <si>
    <t>颜芬</t>
  </si>
  <si>
    <t>R445.1/25</t>
  </si>
  <si>
    <t>978-7-5189-7483-2</t>
  </si>
  <si>
    <t>介入性超声医学临床医师备忘录</t>
  </si>
  <si>
    <t>张全斌</t>
  </si>
  <si>
    <t>R445.1/26</t>
  </si>
  <si>
    <t>978-7-5578-5423-2</t>
  </si>
  <si>
    <t>超声影像学临床应用</t>
  </si>
  <si>
    <t>R445.1/27=2D</t>
  </si>
  <si>
    <t>978-7-5719-0897-3</t>
  </si>
  <si>
    <t>实用急诊与介入超声</t>
  </si>
  <si>
    <t xml:space="preserve">李林泽 ... </t>
  </si>
  <si>
    <t>R445.1/28</t>
  </si>
  <si>
    <t>978-7-5578-7589-3</t>
  </si>
  <si>
    <t>磁共振诊断技术与临床应用</t>
  </si>
  <si>
    <t>王成龙, 文永仓, 储伟</t>
  </si>
  <si>
    <t>R445.2/6</t>
  </si>
  <si>
    <t>978-7-03-064151-9</t>
  </si>
  <si>
    <t>医学图像处理</t>
  </si>
  <si>
    <t>聂生东, 邱建峰</t>
  </si>
  <si>
    <t>R445/2-2</t>
  </si>
  <si>
    <t>978-7-5719-1142-3</t>
  </si>
  <si>
    <t>临床医学影像诊断与应用</t>
  </si>
  <si>
    <t>贾晋卫</t>
  </si>
  <si>
    <t>R445/56</t>
  </si>
  <si>
    <t>978-7-5578-6842-0</t>
  </si>
  <si>
    <t>医学影像诊断与应用</t>
  </si>
  <si>
    <t>周叶, 孟凡东, 刘志胜</t>
  </si>
  <si>
    <t>R445/57</t>
  </si>
  <si>
    <t>978-7-5719-0882-9</t>
  </si>
  <si>
    <t>现代医学临床影像学</t>
  </si>
  <si>
    <t>李剑</t>
  </si>
  <si>
    <t>R445/58</t>
  </si>
  <si>
    <t>978-7-5578-3842-3</t>
  </si>
  <si>
    <t>现代医学影像诊断与临床</t>
  </si>
  <si>
    <t>索峰</t>
  </si>
  <si>
    <t>R445/59</t>
  </si>
  <si>
    <t>978-7-5189-6056-9</t>
  </si>
  <si>
    <t>现代影像诊断实践</t>
  </si>
  <si>
    <t xml:space="preserve">侯红军 ... </t>
  </si>
  <si>
    <t>R445/60</t>
  </si>
  <si>
    <t>978-7-5649-4609-8</t>
  </si>
  <si>
    <t>现代临床医学影像诊断</t>
  </si>
  <si>
    <t>郭广春</t>
  </si>
  <si>
    <t>R445/61</t>
  </si>
  <si>
    <t>978-7-5719-1136-2</t>
  </si>
  <si>
    <t>实用医学影像诊断精要</t>
  </si>
  <si>
    <t>李超</t>
  </si>
  <si>
    <t>R445/62</t>
  </si>
  <si>
    <t>978-7-5478-4507-3</t>
  </si>
  <si>
    <t>神经影像鉴别诊断: 脊柱</t>
  </si>
  <si>
    <t>Steven P. Meyers</t>
  </si>
  <si>
    <t>R445/63</t>
  </si>
  <si>
    <t>978-7-5692-7243-7</t>
  </si>
  <si>
    <t>现代视域下医学影像学的研究与应用</t>
  </si>
  <si>
    <t>巴红珍</t>
  </si>
  <si>
    <t>R445/64</t>
  </si>
  <si>
    <t>978-7-5641-9026-2</t>
  </si>
  <si>
    <t>医学图像处理理论与应用</t>
  </si>
  <si>
    <t xml:space="preserve">董育宁 ...  </t>
  </si>
  <si>
    <t>R445/65</t>
  </si>
  <si>
    <t>978-7-5180-8799-0</t>
  </si>
  <si>
    <t>临床常见疾病影像学诊断</t>
  </si>
  <si>
    <t>郑继慧, 王丹, 王嵩</t>
  </si>
  <si>
    <t>R445/66</t>
  </si>
  <si>
    <t>978-7-5578-4578-0</t>
  </si>
  <si>
    <t>临床疾病影像诊断</t>
  </si>
  <si>
    <t>菅吉华</t>
  </si>
  <si>
    <t>R445/67=2D</t>
  </si>
  <si>
    <t>978-7-5658-3832-3</t>
  </si>
  <si>
    <t>新编临床疾病影像诊断学</t>
  </si>
  <si>
    <t>梁靖</t>
  </si>
  <si>
    <t>R445/68</t>
  </si>
  <si>
    <t>978-7-5132-5217-1</t>
  </si>
  <si>
    <t>影像让“看病”变得如此简单</t>
  </si>
  <si>
    <t>王芳军</t>
  </si>
  <si>
    <t>中国中医药出版社</t>
  </si>
  <si>
    <t>R445/69</t>
  </si>
  <si>
    <t>978-7-5658-3816-3</t>
  </si>
  <si>
    <t>实用临床影像诊断学</t>
  </si>
  <si>
    <t>江洁, 董道波, 曾庆娟</t>
  </si>
  <si>
    <t>R445/70</t>
  </si>
  <si>
    <t>978-7-5578-7503-9</t>
  </si>
  <si>
    <t>实用医学影像与检验</t>
  </si>
  <si>
    <t xml:space="preserve">侯黎伟 ... </t>
  </si>
  <si>
    <t>R445/71</t>
  </si>
  <si>
    <t>978-7-5670-2926-2</t>
  </si>
  <si>
    <t>医学影像诊断与放射技术</t>
  </si>
  <si>
    <t xml:space="preserve">霍学军 ... </t>
  </si>
  <si>
    <t>R445/72</t>
  </si>
  <si>
    <t>978-7-5349-9878-2</t>
  </si>
  <si>
    <t>临床影像学诊断指南</t>
  </si>
  <si>
    <t>王翔, 张树桐</t>
  </si>
  <si>
    <t>R445/73</t>
  </si>
  <si>
    <t>978-7-5658-4351-8</t>
  </si>
  <si>
    <t>新编实用临床检验指南</t>
  </si>
  <si>
    <t>黄华</t>
  </si>
  <si>
    <t>R446.1/11=4D</t>
  </si>
  <si>
    <t>978-7-5658-4445-4</t>
  </si>
  <si>
    <t>新编临床医学检验与中医诊疗</t>
  </si>
  <si>
    <t>秦存梅, 曹广平, 殷学光</t>
  </si>
  <si>
    <t>R446.1/66</t>
  </si>
  <si>
    <t>978-7-5578-7115-4</t>
  </si>
  <si>
    <t>实用临床检验医学</t>
  </si>
  <si>
    <t>曹法政, 徐祥坤, 宋晓</t>
  </si>
  <si>
    <t>R446.1/67</t>
  </si>
  <si>
    <t>978-7-5578-7583-1</t>
  </si>
  <si>
    <t>新编临床医学检验学</t>
  </si>
  <si>
    <t>王莉莉</t>
  </si>
  <si>
    <t>R446.1/68</t>
  </si>
  <si>
    <t>978-7-5578-7327-1</t>
  </si>
  <si>
    <t>现代临床检验进展</t>
  </si>
  <si>
    <t>秦静静</t>
  </si>
  <si>
    <t>R446.1/69</t>
  </si>
  <si>
    <t>978-7-5578-7086-7</t>
  </si>
  <si>
    <t>当代临床检验医学与检验技术</t>
  </si>
  <si>
    <t>刘玲</t>
  </si>
  <si>
    <t>R446.1/70</t>
  </si>
  <si>
    <t>978-7-5578-5642-7</t>
  </si>
  <si>
    <t>临床常规检验及实验技术指导</t>
  </si>
  <si>
    <t>刘冰</t>
  </si>
  <si>
    <t>R446.1/71=2D</t>
  </si>
  <si>
    <t>978-7-5690-4882-7</t>
  </si>
  <si>
    <t>临床血液标本采集规范与管理实践</t>
  </si>
  <si>
    <t>刘艮英</t>
  </si>
  <si>
    <t>R446.11/16</t>
  </si>
  <si>
    <t>978-7-5692-6535-4</t>
  </si>
  <si>
    <t>病理检验学实验技术与方法</t>
  </si>
  <si>
    <t>石搏, 闻春艳, 黄可欣</t>
  </si>
  <si>
    <t>R446.8/5</t>
  </si>
  <si>
    <t>978-7-5180-8381-7</t>
  </si>
  <si>
    <t>实用检验新技术</t>
  </si>
  <si>
    <t>朱光泽</t>
  </si>
  <si>
    <t>R446/83</t>
  </si>
  <si>
    <t>978-7-5388-9737-1</t>
  </si>
  <si>
    <t>现代医学检验技术与诊断基础</t>
  </si>
  <si>
    <t xml:space="preserve">张玉芹 ... </t>
  </si>
  <si>
    <t>R446/84</t>
  </si>
  <si>
    <t>978-7-5441-9548-5</t>
  </si>
  <si>
    <t>实用检验与临床</t>
  </si>
  <si>
    <t>李爱军</t>
  </si>
  <si>
    <t>R446/85</t>
  </si>
  <si>
    <t>978-7-5578-7719-4</t>
  </si>
  <si>
    <t>实用急危重症诊疗与护理</t>
  </si>
  <si>
    <t>宋方强</t>
  </si>
  <si>
    <t>R459.7/180</t>
  </si>
  <si>
    <t>978-7-5214-2685-4</t>
  </si>
  <si>
    <t>护理不良事件管理与案例分析</t>
  </si>
  <si>
    <t>王晓伟, 贾康妹</t>
  </si>
  <si>
    <t>R47/642=2D</t>
  </si>
  <si>
    <t>978-7-5719-0932-1</t>
  </si>
  <si>
    <t>现代护理学与护理管理</t>
  </si>
  <si>
    <t xml:space="preserve">王司菊 ... </t>
  </si>
  <si>
    <t>R47/736</t>
  </si>
  <si>
    <t>978-7-5719-0877-5</t>
  </si>
  <si>
    <t>实用基础护理学与护理管理</t>
  </si>
  <si>
    <t>杜爱奎</t>
  </si>
  <si>
    <t>R47/737</t>
  </si>
  <si>
    <t>978-7-5192-8829-7</t>
  </si>
  <si>
    <t>临床实用护理学理论新进展</t>
  </si>
  <si>
    <t xml:space="preserve">谢绘玲 ...  </t>
  </si>
  <si>
    <t>R47/738</t>
  </si>
  <si>
    <t>978-7-5202-0778-2</t>
  </si>
  <si>
    <t>现代临床常见病护理学</t>
  </si>
  <si>
    <t>迟海英</t>
  </si>
  <si>
    <t>R47/739</t>
  </si>
  <si>
    <t>978-7-5719-1069-3</t>
  </si>
  <si>
    <t>实用护理学与护理管理</t>
  </si>
  <si>
    <t>李雪梅</t>
  </si>
  <si>
    <t>R47/740</t>
  </si>
  <si>
    <t>978-7-5719-1167-6</t>
  </si>
  <si>
    <t>临床护理操作与护理管理</t>
  </si>
  <si>
    <t>洪梅</t>
  </si>
  <si>
    <t>R47/741</t>
  </si>
  <si>
    <t>978-7-5587-1219-7</t>
  </si>
  <si>
    <t>实用临床护理学</t>
  </si>
  <si>
    <t>杜淑媛</t>
  </si>
  <si>
    <t>云南科技出版社</t>
  </si>
  <si>
    <t>R47/742</t>
  </si>
  <si>
    <t>978-7-5670-2939-2</t>
  </si>
  <si>
    <t>临床常见疾病护理技术与应用</t>
  </si>
  <si>
    <t xml:space="preserve">袁越 ... </t>
  </si>
  <si>
    <t>R47/743</t>
  </si>
  <si>
    <t>978-7-5578-7657-9</t>
  </si>
  <si>
    <t>新编实用护理技术</t>
  </si>
  <si>
    <t>司红岩, 马改平, 赵巧</t>
  </si>
  <si>
    <t>R47/744</t>
  </si>
  <si>
    <t>978-7-5719-1003-7</t>
  </si>
  <si>
    <t>临床常见病护理精要</t>
  </si>
  <si>
    <t>徐新秀</t>
  </si>
  <si>
    <t>R47/745</t>
  </si>
  <si>
    <t>978-7-5578-6926-7</t>
  </si>
  <si>
    <t>新编临床专科护理技能</t>
  </si>
  <si>
    <t xml:space="preserve">郑菲 ... </t>
  </si>
  <si>
    <t>R47/746</t>
  </si>
  <si>
    <t>978-7-5189-7776-5</t>
  </si>
  <si>
    <t>新编临床护理学</t>
  </si>
  <si>
    <t>黄方</t>
  </si>
  <si>
    <t>R47/747</t>
  </si>
  <si>
    <t>978-7-5670-2777-0</t>
  </si>
  <si>
    <t>新编实用临床护理学</t>
  </si>
  <si>
    <t xml:space="preserve">张艳 ... </t>
  </si>
  <si>
    <t>R47/748</t>
  </si>
  <si>
    <t>978-7-5578-5352-5</t>
  </si>
  <si>
    <t>实用全科护理技术</t>
  </si>
  <si>
    <t>崔杏芳</t>
  </si>
  <si>
    <t>R47/749=2D</t>
  </si>
  <si>
    <t>978-7-5192-8827-3</t>
  </si>
  <si>
    <t>基础护理学理论与临床规范</t>
  </si>
  <si>
    <t xml:space="preserve">赵小琳 ...  </t>
  </si>
  <si>
    <t>R47/750</t>
  </si>
  <si>
    <t>978-7-5192-8830-3</t>
  </si>
  <si>
    <t>精编护理学基础与临床研究</t>
  </si>
  <si>
    <t xml:space="preserve">蔡虹 ...  </t>
  </si>
  <si>
    <t>R47/751</t>
  </si>
  <si>
    <t>978-7-5192-8826-6</t>
  </si>
  <si>
    <t>现代常见病护理与临床实践</t>
  </si>
  <si>
    <t xml:space="preserve">尹伟花 ...  </t>
  </si>
  <si>
    <t>R47/752</t>
  </si>
  <si>
    <t>978-7-5719-0914-7</t>
  </si>
  <si>
    <t>基础护理技能与护理管理</t>
  </si>
  <si>
    <t xml:space="preserve">宋时花 ... </t>
  </si>
  <si>
    <t>R47/753</t>
  </si>
  <si>
    <t>978-7-5719-0878-2</t>
  </si>
  <si>
    <t>临床护理新进展与应用</t>
  </si>
  <si>
    <t>郭玲</t>
  </si>
  <si>
    <t>R47/754</t>
  </si>
  <si>
    <t>978-7-5719-0876-8</t>
  </si>
  <si>
    <t>常见疾病护理与疾病预防</t>
  </si>
  <si>
    <t>张立</t>
  </si>
  <si>
    <t>R47/755</t>
  </si>
  <si>
    <t>978-7-5719-0879-9</t>
  </si>
  <si>
    <t>实用护理规范与临床实践</t>
  </si>
  <si>
    <t>陶红</t>
  </si>
  <si>
    <t>R47/756</t>
  </si>
  <si>
    <t>978-7-308-20623-5</t>
  </si>
  <si>
    <t>护理质量管理体系与评价标准</t>
  </si>
  <si>
    <t>阮列敏, 徐琴鸿, 刘丽萍</t>
  </si>
  <si>
    <t>R47/757</t>
  </si>
  <si>
    <t>978-7-5180-9143-0</t>
  </si>
  <si>
    <t>实用临床护理技术与护理管理</t>
  </si>
  <si>
    <t>吴雯婷</t>
  </si>
  <si>
    <t>R47/758</t>
  </si>
  <si>
    <t>978-7-5180-9144-7</t>
  </si>
  <si>
    <t>实用护理学基础与各科护理实践</t>
  </si>
  <si>
    <t>于翠翠</t>
  </si>
  <si>
    <t>R47/759</t>
  </si>
  <si>
    <t>978-7-5180-7753-3</t>
  </si>
  <si>
    <t>现代常见疾病护理学</t>
  </si>
  <si>
    <t>方梅</t>
  </si>
  <si>
    <t>R47/760</t>
  </si>
  <si>
    <t>978-7-5658-4384-6</t>
  </si>
  <si>
    <t>实用临床综合护理</t>
  </si>
  <si>
    <t>周红梅</t>
  </si>
  <si>
    <t>R47/761</t>
  </si>
  <si>
    <t>978-7-5719-0760-0</t>
  </si>
  <si>
    <t>实用护理技能与临床应用</t>
  </si>
  <si>
    <t>高桂玲</t>
  </si>
  <si>
    <t>R47/762</t>
  </si>
  <si>
    <t>978-7-5649-4701-9</t>
  </si>
  <si>
    <t>新编临床护理基础与操作</t>
  </si>
  <si>
    <t>张敏</t>
  </si>
  <si>
    <t>R47/763</t>
  </si>
  <si>
    <t>978-7-5719-1004-4</t>
  </si>
  <si>
    <t>实用护理学研究与护理新进展</t>
  </si>
  <si>
    <t xml:space="preserve">崔珍 ...  </t>
  </si>
  <si>
    <t>R47/764</t>
  </si>
  <si>
    <t>978-7-5192-8828-0</t>
  </si>
  <si>
    <t>现代临床护理理论与操作技术</t>
  </si>
  <si>
    <t xml:space="preserve">张建华 ...  </t>
  </si>
  <si>
    <t>R47/765</t>
  </si>
  <si>
    <t>978-7-122-37445-5</t>
  </si>
  <si>
    <t>临床护理实践</t>
  </si>
  <si>
    <t>魏凌</t>
  </si>
  <si>
    <t>R47/766</t>
  </si>
  <si>
    <t>978-7-5576-6488-6</t>
  </si>
  <si>
    <t>临床护理规范与护理管理</t>
  </si>
  <si>
    <t xml:space="preserve">滕晓静 ... </t>
  </si>
  <si>
    <t>R47/767</t>
  </si>
  <si>
    <t>978-7-5578-7578-7</t>
  </si>
  <si>
    <t>临床护理探索与实践</t>
  </si>
  <si>
    <t xml:space="preserve">杨志敏 ... </t>
  </si>
  <si>
    <t>R47/768</t>
  </si>
  <si>
    <t>978-7-5578-7730-9</t>
  </si>
  <si>
    <t>护理临床与实践</t>
  </si>
  <si>
    <t>马普红, 王艳娟</t>
  </si>
  <si>
    <t>R47/769</t>
  </si>
  <si>
    <t>978-7-5578-7582-4</t>
  </si>
  <si>
    <t>新编临床护理研究与实践</t>
  </si>
  <si>
    <t>王晓玲</t>
  </si>
  <si>
    <t>R47/770</t>
  </si>
  <si>
    <t>978-7-5578-7577-0</t>
  </si>
  <si>
    <t>临床护理常规与精要</t>
  </si>
  <si>
    <t>殷爱云</t>
  </si>
  <si>
    <t>R47/771</t>
  </si>
  <si>
    <t>978-7-5578-7711-8</t>
  </si>
  <si>
    <t>精编临床疾病护理精要</t>
  </si>
  <si>
    <t>苏爱萍</t>
  </si>
  <si>
    <t>R47/772</t>
  </si>
  <si>
    <t>978-7-5670-2749-7</t>
  </si>
  <si>
    <t>实用常见疾病护理</t>
  </si>
  <si>
    <t xml:space="preserve">刘爱杰 ... </t>
  </si>
  <si>
    <t>R47/773</t>
  </si>
  <si>
    <t>978-7-5719-0930-7</t>
  </si>
  <si>
    <t>新编现代护理理论与实践</t>
  </si>
  <si>
    <t xml:space="preserve">李小梅 ... </t>
  </si>
  <si>
    <t>R47/774</t>
  </si>
  <si>
    <t>978-7-5719-0921-5</t>
  </si>
  <si>
    <t>现代医学护理技术操作实践</t>
  </si>
  <si>
    <t xml:space="preserve">陈琴 ...  </t>
  </si>
  <si>
    <t>R47/775</t>
  </si>
  <si>
    <t>978-7-5719-1008-2</t>
  </si>
  <si>
    <t>精编护理学临床实践</t>
  </si>
  <si>
    <t xml:space="preserve">王秀梅 ...  </t>
  </si>
  <si>
    <t>R47/776</t>
  </si>
  <si>
    <t>978-7-5576-6982-9</t>
  </si>
  <si>
    <t>护理笔谈</t>
  </si>
  <si>
    <t>何松锦</t>
  </si>
  <si>
    <t>R47/777</t>
  </si>
  <si>
    <t>978-7-5180-8467-8</t>
  </si>
  <si>
    <t>护理教学与临床实践</t>
  </si>
  <si>
    <t>周霞, 杜金泽</t>
  </si>
  <si>
    <t>R47/778</t>
  </si>
  <si>
    <t>978-7-5180-8647-4</t>
  </si>
  <si>
    <t>现代临床常见疾病护理</t>
  </si>
  <si>
    <t>章志霞</t>
  </si>
  <si>
    <t>R47/779</t>
  </si>
  <si>
    <t>978-7-117-31412-1</t>
  </si>
  <si>
    <t>带您揭开常见病的面纱</t>
  </si>
  <si>
    <t>余旻虹, 邓海波</t>
  </si>
  <si>
    <t>R47/780</t>
  </si>
  <si>
    <t>978-7-5719-1171-3</t>
  </si>
  <si>
    <t>护理学实践与管理</t>
  </si>
  <si>
    <t>孙彦敏</t>
  </si>
  <si>
    <t>R47/781</t>
  </si>
  <si>
    <t>978-7-312-05281-1</t>
  </si>
  <si>
    <t>常见疾病护理技术</t>
  </si>
  <si>
    <t>关再凤, 孙永梅</t>
  </si>
  <si>
    <t>R47/782</t>
  </si>
  <si>
    <t>978-7-5578-7381-3</t>
  </si>
  <si>
    <t>现代常见疾病护理基础与临床实践</t>
  </si>
  <si>
    <t>陈洪芳</t>
  </si>
  <si>
    <t>R47/783</t>
  </si>
  <si>
    <t>978-7-5604-4809-1</t>
  </si>
  <si>
    <t>菜鸟护士故事集: 护理不良事件案例分析</t>
  </si>
  <si>
    <t>任燕萍</t>
  </si>
  <si>
    <t>西北大学出版社</t>
  </si>
  <si>
    <t>R47/784</t>
  </si>
  <si>
    <t>978-7-5578-6346-3</t>
  </si>
  <si>
    <t>实用护理技术与应用. 上册</t>
  </si>
  <si>
    <t>张芳芳</t>
  </si>
  <si>
    <t>R47/785=2D/1</t>
  </si>
  <si>
    <t>实用护理技术与应用. 下册</t>
  </si>
  <si>
    <t>R47/785=2D/2</t>
  </si>
  <si>
    <t>978-7-209-12885-8</t>
  </si>
  <si>
    <t>常用护理技术</t>
  </si>
  <si>
    <t>高占玲, 徐宁, 朱春风</t>
  </si>
  <si>
    <t>R47/786=2D</t>
  </si>
  <si>
    <t>978-7-5608-9111-8</t>
  </si>
  <si>
    <t>康复护理实践与探究</t>
  </si>
  <si>
    <t>沈泽群</t>
  </si>
  <si>
    <t>R47/787</t>
  </si>
  <si>
    <t>978-7-5727-0189-4</t>
  </si>
  <si>
    <t>临床护理技术与专科实践</t>
  </si>
  <si>
    <t xml:space="preserve">于红 ... </t>
  </si>
  <si>
    <t>R47/788</t>
  </si>
  <si>
    <t>978-7-5658-4025-8</t>
  </si>
  <si>
    <t>精编临床常见病护理实践</t>
  </si>
  <si>
    <t>代现勇</t>
  </si>
  <si>
    <t>R47/789</t>
  </si>
  <si>
    <t>978-7-117-32185-3</t>
  </si>
  <si>
    <t>常见疾病护理知识小百科</t>
  </si>
  <si>
    <t>陈肖敏, 葛俐俐</t>
  </si>
  <si>
    <t>R47/790</t>
  </si>
  <si>
    <t>978-7-5670-2792-3</t>
  </si>
  <si>
    <t>精编临床常见疾病护理</t>
  </si>
  <si>
    <t xml:space="preserve">张俊英 ... </t>
  </si>
  <si>
    <t>R47/791</t>
  </si>
  <si>
    <t>978-7-83005-265-2</t>
  </si>
  <si>
    <t>健康护理教育教程</t>
  </si>
  <si>
    <t xml:space="preserve">焦静 ... </t>
  </si>
  <si>
    <t>中华医学电子音像出版社</t>
  </si>
  <si>
    <t>R47/792</t>
  </si>
  <si>
    <t>978-7-5670-2120-4</t>
  </si>
  <si>
    <t>现代实用护理技术</t>
  </si>
  <si>
    <t xml:space="preserve">陈素清 ... </t>
  </si>
  <si>
    <t>R47/793</t>
  </si>
  <si>
    <t>978-7-5719-1010-5</t>
  </si>
  <si>
    <t>现代常见病护理实践</t>
  </si>
  <si>
    <t xml:space="preserve">郭英 ... </t>
  </si>
  <si>
    <t>R47/794</t>
  </si>
  <si>
    <t>978-7-5719-1150-8</t>
  </si>
  <si>
    <t>现代专科护理实践</t>
  </si>
  <si>
    <t xml:space="preserve">徐贝贝 ... </t>
  </si>
  <si>
    <t>R47/795</t>
  </si>
  <si>
    <t>978-7-5719-1105-8</t>
  </si>
  <si>
    <t>精编常见疾病护理常规</t>
  </si>
  <si>
    <t xml:space="preserve">张志燕 ... </t>
  </si>
  <si>
    <t>R47/796</t>
  </si>
  <si>
    <t>978-7-03-070106-0</t>
  </si>
  <si>
    <t>护理管理学</t>
  </si>
  <si>
    <t>米光丽</t>
  </si>
  <si>
    <t>R47-05/10</t>
  </si>
  <si>
    <t>978-7-312-05166-1</t>
  </si>
  <si>
    <t>护理心理学</t>
  </si>
  <si>
    <t>杭荣华, 刘新民</t>
  </si>
  <si>
    <t>R471/42=3D</t>
  </si>
  <si>
    <t>978-7-5727-0174-0</t>
  </si>
  <si>
    <t>急危重症常用护理评估工具与临床应用</t>
  </si>
  <si>
    <t>叶磊</t>
  </si>
  <si>
    <t>R472.2/74</t>
  </si>
  <si>
    <t>978-7-5684-1392-3</t>
  </si>
  <si>
    <t>急救护理学</t>
  </si>
  <si>
    <t>王钰, 王丽华, 吴鹏飞</t>
  </si>
  <si>
    <t>R472.2/75</t>
  </si>
  <si>
    <t>978-7-5727-0192-4</t>
  </si>
  <si>
    <t>急危重症常用护理技术规范与风险防范</t>
  </si>
  <si>
    <t>高永莉</t>
  </si>
  <si>
    <t>R472.2/76</t>
  </si>
  <si>
    <t>978-7-5578-6321-0</t>
  </si>
  <si>
    <t>实用临床护理规范</t>
  </si>
  <si>
    <t>白彦红</t>
  </si>
  <si>
    <t>R472/30</t>
  </si>
  <si>
    <t>978-7-5719-0931-4</t>
  </si>
  <si>
    <t>临床常见疾病护理学规范</t>
  </si>
  <si>
    <t>R472/31</t>
  </si>
  <si>
    <t>978-7-5719-0769-3</t>
  </si>
  <si>
    <t>内科常见疾病护理实践</t>
  </si>
  <si>
    <t>姚美英</t>
  </si>
  <si>
    <t>R473.5/123</t>
  </si>
  <si>
    <t>978-7-209-12480-5</t>
  </si>
  <si>
    <t>内科护理</t>
  </si>
  <si>
    <t>王美芝, 孙永叶, 隋青梅</t>
  </si>
  <si>
    <t>R473.5/124</t>
  </si>
  <si>
    <t>978-7-5658-3799-9</t>
  </si>
  <si>
    <t>内科临床护理技能实践</t>
  </si>
  <si>
    <t>刘萍</t>
  </si>
  <si>
    <t>R473.5/125</t>
  </si>
  <si>
    <t>978-7-5578-7510-7</t>
  </si>
  <si>
    <t>内科护理技术规范</t>
  </si>
  <si>
    <t>李娜</t>
  </si>
  <si>
    <t>R473.5/126</t>
  </si>
  <si>
    <t>978-7-5192-8833-4</t>
  </si>
  <si>
    <t>内科常见疾病护理理论与实践</t>
  </si>
  <si>
    <t xml:space="preserve">张静 ...  </t>
  </si>
  <si>
    <t>R473.5/127</t>
  </si>
  <si>
    <t>978-7-5658-4121-7</t>
  </si>
  <si>
    <t>现代内科护理与检验</t>
  </si>
  <si>
    <t>孙爱针, 李婷, 朱娟</t>
  </si>
  <si>
    <t>R473.5/128</t>
  </si>
  <si>
    <t>978-7-122-37838-5</t>
  </si>
  <si>
    <t>心血管专科护士培训手册</t>
  </si>
  <si>
    <t>李海燕, 胡鑫</t>
  </si>
  <si>
    <t>R473.54/5</t>
  </si>
  <si>
    <t>978-7-5725-0224-8</t>
  </si>
  <si>
    <t>新发呼吸道传染病护理实践指南</t>
  </si>
  <si>
    <t>河南省卫生健康委员会</t>
  </si>
  <si>
    <t>R473.56/6</t>
  </si>
  <si>
    <t>978-7-5719-0846-1</t>
  </si>
  <si>
    <t>内分泌科临床护理实践</t>
  </si>
  <si>
    <t>孙云焕</t>
  </si>
  <si>
    <t>R473.58/4</t>
  </si>
  <si>
    <t>978-7-5189-7787-1</t>
  </si>
  <si>
    <t>糖尿病护理与教育管理</t>
  </si>
  <si>
    <t>王爱红, 程玉霞</t>
  </si>
  <si>
    <t>R473.58/5</t>
  </si>
  <si>
    <t>978-7-5101-7019-5</t>
  </si>
  <si>
    <t>社会照料对中国居家老年人家庭照料的影响研究</t>
  </si>
  <si>
    <t>纪竞垚</t>
  </si>
  <si>
    <t>R473.59/36</t>
  </si>
  <si>
    <t>978-7-5103-3249-4</t>
  </si>
  <si>
    <t>养老护理员</t>
  </si>
  <si>
    <t>商务部审定家政培训教材辑委员会</t>
  </si>
  <si>
    <t>R473.59/37</t>
  </si>
  <si>
    <t>978-7-5658-3848-4</t>
  </si>
  <si>
    <t>要介护认定指导手册</t>
  </si>
  <si>
    <t>马琳</t>
  </si>
  <si>
    <t>R473.59/39</t>
  </si>
  <si>
    <t>978-7-5587-2962-1</t>
  </si>
  <si>
    <t>养老护理</t>
  </si>
  <si>
    <t>《养老护理》委会</t>
  </si>
  <si>
    <t>R473.59/40</t>
  </si>
  <si>
    <t>978-7-5189-6533-5</t>
  </si>
  <si>
    <t>304烧伤外科新护士临床护理手册</t>
  </si>
  <si>
    <t>王淑君, 周体</t>
  </si>
  <si>
    <t>R473.6/90</t>
  </si>
  <si>
    <t>978-7-5214-2705-9</t>
  </si>
  <si>
    <t>压力性损伤与造口护理</t>
  </si>
  <si>
    <t>赵恬静, 陶如英, 李卫华</t>
  </si>
  <si>
    <t>R473.6/91</t>
  </si>
  <si>
    <t>978-7-5710-1152-9</t>
  </si>
  <si>
    <t>全彩骨科手术护理</t>
  </si>
  <si>
    <t>肖映平</t>
  </si>
  <si>
    <t>R473.6/92</t>
  </si>
  <si>
    <t>978-7-5357-9804-6</t>
  </si>
  <si>
    <t>全彩神经外科手术护理</t>
  </si>
  <si>
    <t>彭罗方, 贺吉群</t>
  </si>
  <si>
    <t>R473.6/93</t>
  </si>
  <si>
    <t>978-7-5719-0845-4</t>
  </si>
  <si>
    <t>外科护理与风险防范</t>
  </si>
  <si>
    <t>王秀兰</t>
  </si>
  <si>
    <t>R473.6/94</t>
  </si>
  <si>
    <t>978-7-5727-0193-1</t>
  </si>
  <si>
    <t>足踝患者围手术期康复护理</t>
  </si>
  <si>
    <t>何月, 张晖, 王琴</t>
  </si>
  <si>
    <t>R473.6/95</t>
  </si>
  <si>
    <t>978-7-5658-3827-9</t>
  </si>
  <si>
    <t>现代外科常见病护理新进展</t>
  </si>
  <si>
    <t>邹静, 翟义, 吕明欣</t>
  </si>
  <si>
    <t>R473.6/96</t>
  </si>
  <si>
    <t>978-7-5658-3834-7</t>
  </si>
  <si>
    <t>实用妇产科护理技术</t>
  </si>
  <si>
    <t>李玲</t>
  </si>
  <si>
    <t>R473.71/29</t>
  </si>
  <si>
    <t>978-7-5103-3251-7</t>
  </si>
  <si>
    <t>母婴护理技能手册</t>
  </si>
  <si>
    <t>R473.71/86</t>
  </si>
  <si>
    <t>978-7-5578-7608-1</t>
  </si>
  <si>
    <t>儿科急危重症护理指南</t>
  </si>
  <si>
    <t>于波</t>
  </si>
  <si>
    <t>R473.72/76</t>
  </si>
  <si>
    <t>978-7-5710-1186-4</t>
  </si>
  <si>
    <t>肿瘤临床护理手册</t>
  </si>
  <si>
    <t>夏春芳, 周昔红, 姚敏</t>
  </si>
  <si>
    <t>R473.73/18</t>
  </si>
  <si>
    <t>978-7-5578-6821-5</t>
  </si>
  <si>
    <t>实用神经系统护理指南</t>
  </si>
  <si>
    <t>颜秀梅</t>
  </si>
  <si>
    <t>R473.74/23</t>
  </si>
  <si>
    <t>978-7-5214-2729-5</t>
  </si>
  <si>
    <t>精神科护士规范操作指南</t>
  </si>
  <si>
    <t>许冬梅</t>
  </si>
  <si>
    <t>R473.74/24=2D</t>
  </si>
  <si>
    <t>978-7-5132-5590-5</t>
  </si>
  <si>
    <t>中西医结合皮肤性病护理及图解</t>
  </si>
  <si>
    <t>周春姣, 陈熳妮, 李红毅</t>
  </si>
  <si>
    <t>R473.75/5</t>
  </si>
  <si>
    <t>978-7-117-31083-3</t>
  </si>
  <si>
    <t>耳鼻咽喉头颈外科常见疾病照护与康复指导手册</t>
  </si>
  <si>
    <t>周颖, 刘新颖</t>
  </si>
  <si>
    <t>R473.76/11</t>
  </si>
  <si>
    <t>978-7-5103-3252-4</t>
  </si>
  <si>
    <t>养老护理技能手册</t>
  </si>
  <si>
    <t>R473/693</t>
  </si>
  <si>
    <t>978-7-5364-9913-3</t>
  </si>
  <si>
    <t>临床护理管理标准化手册</t>
  </si>
  <si>
    <t>黄浩, 朱红</t>
  </si>
  <si>
    <t>R47-62/13</t>
  </si>
  <si>
    <t>978-7-5192-8823-5</t>
  </si>
  <si>
    <t>临床护理技能与操作规范</t>
  </si>
  <si>
    <t xml:space="preserve">甄兴燕 ...  </t>
  </si>
  <si>
    <t>R47-65/8</t>
  </si>
  <si>
    <t>978-7-5225-0290-8</t>
  </si>
  <si>
    <t>舞动理论与实践</t>
  </si>
  <si>
    <t>郝勤</t>
  </si>
  <si>
    <t>R493/31</t>
  </si>
  <si>
    <t>978-7-5166-5506-1</t>
  </si>
  <si>
    <t>戏剧治疗理论与实务</t>
  </si>
  <si>
    <t>R493/32</t>
  </si>
  <si>
    <t>978-7-5180-5557-9</t>
  </si>
  <si>
    <t>基于设备理念的老年人康复与护理研究</t>
  </si>
  <si>
    <t>邹稷</t>
  </si>
  <si>
    <t>R496/8</t>
  </si>
  <si>
    <t>978-7-03-068961-0</t>
  </si>
  <si>
    <t>全科医科概论</t>
  </si>
  <si>
    <t>路岩, 王良君</t>
  </si>
  <si>
    <t>R499/25</t>
  </si>
  <si>
    <t>978-7-5576-7552-3</t>
  </si>
  <si>
    <t>图解家庭医生必备宝典</t>
  </si>
  <si>
    <t>矫浩然</t>
  </si>
  <si>
    <t>R499/26</t>
  </si>
  <si>
    <t>978-7-5578-7714-9</t>
  </si>
  <si>
    <t>临床内科常见疾病诊治</t>
  </si>
  <si>
    <t>高顺翠</t>
  </si>
  <si>
    <t>R5/106</t>
  </si>
  <si>
    <t>978-7-5578-6840-6</t>
  </si>
  <si>
    <t>现代实用内科学</t>
  </si>
  <si>
    <t>张靖, 沙春梅, 张健</t>
  </si>
  <si>
    <t>R5/107</t>
  </si>
  <si>
    <t>978-7-5578-7720-0</t>
  </si>
  <si>
    <t>现代常见内科疾病诊治精要</t>
  </si>
  <si>
    <t>刘新云</t>
  </si>
  <si>
    <t>R5/108</t>
  </si>
  <si>
    <t>978-7-5578-7715-6</t>
  </si>
  <si>
    <t>临床内科疾病综合诊疗</t>
  </si>
  <si>
    <t>马洪波</t>
  </si>
  <si>
    <t>R5/109</t>
  </si>
  <si>
    <t>978-7-5578-7870-2</t>
  </si>
  <si>
    <t>心血管疾病临床诊疗新进展</t>
  </si>
  <si>
    <t>麻京豫, 于辉, 杨文</t>
  </si>
  <si>
    <t>R54/65</t>
  </si>
  <si>
    <t>978-7-5578-7869-6</t>
  </si>
  <si>
    <t>心血管疾病临床诊断与现代化治疗方案</t>
  </si>
  <si>
    <t>刘晓东</t>
  </si>
  <si>
    <t>R54/66</t>
  </si>
  <si>
    <t>978-7-5335-6023-2</t>
  </si>
  <si>
    <t>18导联动态心电图学</t>
  </si>
  <si>
    <t>卢喜烈</t>
  </si>
  <si>
    <t>R540.4/48</t>
  </si>
  <si>
    <t>978-7-5578-7117-8</t>
  </si>
  <si>
    <t>心血管常见病症中西医结合诊疗经验集萃</t>
  </si>
  <si>
    <t>李吉刚</t>
  </si>
  <si>
    <t>R540.5/9</t>
  </si>
  <si>
    <t>978-7-5689-2498-6</t>
  </si>
  <si>
    <t>高血压肾病</t>
  </si>
  <si>
    <t>曾春雨</t>
  </si>
  <si>
    <t>R544.1/87</t>
  </si>
  <si>
    <t>978-7-5335-6177-2</t>
  </si>
  <si>
    <t>中西医结合诊治高血压</t>
  </si>
  <si>
    <t>杨焕斌</t>
  </si>
  <si>
    <t>R544.105/14</t>
  </si>
  <si>
    <t>978-7-5578-7871-9</t>
  </si>
  <si>
    <t>血液病的中西医诊断与治疗</t>
  </si>
  <si>
    <t>罗雅琴, 黄伟, 陈健</t>
  </si>
  <si>
    <t>R552.05/2</t>
  </si>
  <si>
    <t>978-7-5719-0781-5</t>
  </si>
  <si>
    <t>新型冠状病毒肺炎 流行性感冒防控</t>
  </si>
  <si>
    <t>赵亚双, 曲章义</t>
  </si>
  <si>
    <t>R563.101/9</t>
  </si>
  <si>
    <t>978-7-5578-7226-7</t>
  </si>
  <si>
    <t>现代消化内科疾病诊治与护理</t>
  </si>
  <si>
    <t>戴文玲</t>
  </si>
  <si>
    <t>R57/64</t>
  </si>
  <si>
    <t>978-7-5335-6438-4</t>
  </si>
  <si>
    <t>功能性消化不良研究: 基础与临床</t>
  </si>
  <si>
    <t>邱清武</t>
  </si>
  <si>
    <t>R57/65</t>
  </si>
  <si>
    <t>978-7-5335-6200-7</t>
  </si>
  <si>
    <t>现代胃病研究: 基础与临床</t>
  </si>
  <si>
    <t>R573/20</t>
  </si>
  <si>
    <t>978-7-117-32380-2</t>
  </si>
  <si>
    <t>社区老年人跌倒预防控制技术指南</t>
  </si>
  <si>
    <t>国家卫生健康委疾病预防控制局, 中国疾病预防控制中心慢性非传染性疾病预防控制中心</t>
  </si>
  <si>
    <t>R592/27</t>
  </si>
  <si>
    <t>978-7-5578-7864-1</t>
  </si>
  <si>
    <t>普通外科疾病临床诊疗方案</t>
  </si>
  <si>
    <t>周传印</t>
  </si>
  <si>
    <t>R6/100</t>
  </si>
  <si>
    <t>978-7-5578-6925-0</t>
  </si>
  <si>
    <t>普通外科疾病诊治策略</t>
  </si>
  <si>
    <t xml:space="preserve">王萍 ... </t>
  </si>
  <si>
    <t>R6/101</t>
  </si>
  <si>
    <t>978-7-5578-7673-9</t>
  </si>
  <si>
    <t>外科学基础</t>
  </si>
  <si>
    <t>周益伟, 魏东庆</t>
  </si>
  <si>
    <t>R6/102</t>
  </si>
  <si>
    <t>978-7-5578-7579-4</t>
  </si>
  <si>
    <t>临床外科诊治与护理康复</t>
  </si>
  <si>
    <t>徐春红</t>
  </si>
  <si>
    <t>R6/99</t>
  </si>
  <si>
    <t>978-7-5578-6834-5</t>
  </si>
  <si>
    <t>当代麻醉学</t>
  </si>
  <si>
    <t>董学义</t>
  </si>
  <si>
    <t>R614/32</t>
  </si>
  <si>
    <t>978-7-5578-6923-6</t>
  </si>
  <si>
    <t>神经外科疾病诊断与手术精要</t>
  </si>
  <si>
    <t xml:space="preserve">陈会召 ... </t>
  </si>
  <si>
    <t>R651/29</t>
  </si>
  <si>
    <t>978-7-5578-6839-0</t>
  </si>
  <si>
    <t>现代骨科诊疗学</t>
  </si>
  <si>
    <t>刘洪亮, 朱以海, 贾先超</t>
  </si>
  <si>
    <t>R68/79</t>
  </si>
  <si>
    <t>978-7-5714-0561-8</t>
  </si>
  <si>
    <t>麦特兰德四肢关节手法物理治疗</t>
  </si>
  <si>
    <t xml:space="preserve"> (荷) 艾莉·汗格威尔德, (英) 凯文·班克斯</t>
  </si>
  <si>
    <t>R684/14</t>
  </si>
  <si>
    <t>978-7-5578-6931-1</t>
  </si>
  <si>
    <t>临床肾脏病诊疗与血液净化技术</t>
  </si>
  <si>
    <t>孙兆峰</t>
  </si>
  <si>
    <t>R692/54</t>
  </si>
  <si>
    <t>978-7-5578-7867-2</t>
  </si>
  <si>
    <t>现代妇产科疾病诊疗进展</t>
  </si>
  <si>
    <t>曹江珊</t>
  </si>
  <si>
    <t>R71/51</t>
  </si>
  <si>
    <t>978-7-5103-3247-0</t>
  </si>
  <si>
    <t>母婴护理员</t>
  </si>
  <si>
    <t>R714.61/26</t>
  </si>
  <si>
    <t>978-7-5578-7868-9</t>
  </si>
  <si>
    <t>小儿内科疾病临床诊治精粹</t>
  </si>
  <si>
    <t>别会荣</t>
  </si>
  <si>
    <t>R72/77</t>
  </si>
  <si>
    <t>978-7-5578-7391-2</t>
  </si>
  <si>
    <t>儿科临床实践</t>
  </si>
  <si>
    <t>颜丽霞, 姚家会, 何学坤</t>
  </si>
  <si>
    <t>R72/78</t>
  </si>
  <si>
    <t>978-7-5578-7612-8</t>
  </si>
  <si>
    <t>实用儿科诊治</t>
  </si>
  <si>
    <t>徐晓云</t>
  </si>
  <si>
    <t>R72/79</t>
  </si>
  <si>
    <t>978-7-5335-6082-9</t>
  </si>
  <si>
    <t>新生儿诊疗常规</t>
  </si>
  <si>
    <t>福建省立医院</t>
  </si>
  <si>
    <t>R722.1/3</t>
  </si>
  <si>
    <t>978-7-5578-6841-3</t>
  </si>
  <si>
    <t>现代肿瘤临床与护理</t>
  </si>
  <si>
    <t>段建宇, 王辉, 张新东</t>
  </si>
  <si>
    <t>R73/127</t>
  </si>
  <si>
    <t>978-7-5578-7866-5</t>
  </si>
  <si>
    <t>实用临床肿瘤学</t>
  </si>
  <si>
    <t>岳文彬, 姜东亮, 马荣龙</t>
  </si>
  <si>
    <t>R73/128</t>
  </si>
  <si>
    <t>978-7-5578-7613-5</t>
  </si>
  <si>
    <t>现代神经病学理论</t>
  </si>
  <si>
    <t>刘金泉</t>
  </si>
  <si>
    <t>R741/18</t>
  </si>
  <si>
    <t>978-7-5578-7605-0</t>
  </si>
  <si>
    <t>神经内科常见病诊疗与康复</t>
  </si>
  <si>
    <t>毛洪兵</t>
  </si>
  <si>
    <t>R741/19</t>
  </si>
  <si>
    <t>978-7-5335-6460-5</t>
  </si>
  <si>
    <t>中西医结合帕金森病研究</t>
  </si>
  <si>
    <t>蔡晶</t>
  </si>
  <si>
    <t>R742.5/11</t>
  </si>
  <si>
    <t>978-7-5710-1119-2</t>
  </si>
  <si>
    <t>脑卒中之康复良方</t>
  </si>
  <si>
    <t>龚放华, 谢家兴, 邓嫣红</t>
  </si>
  <si>
    <t>R743.309/5</t>
  </si>
  <si>
    <t>978-7-5578-6590-0</t>
  </si>
  <si>
    <t>儿童青少年常见心理障碍的诊治</t>
  </si>
  <si>
    <t>阎加民</t>
  </si>
  <si>
    <t>R749.94/20</t>
  </si>
  <si>
    <t>978-7-5578-7865-8</t>
  </si>
  <si>
    <t>实用精神科疾病诊疗要点</t>
  </si>
  <si>
    <t>彭星星, 侯华成, 莫海祥</t>
  </si>
  <si>
    <t>R749/80</t>
  </si>
  <si>
    <t>978-7-5578-7216-8</t>
  </si>
  <si>
    <t>临床皮肤性病学</t>
  </si>
  <si>
    <t xml:space="preserve">楚蔚琳 ... </t>
  </si>
  <si>
    <t>R75/16</t>
  </si>
  <si>
    <t>978-7-117-32253-9</t>
  </si>
  <si>
    <t>心身性皮肤病: 皮肤病的心理影响</t>
  </si>
  <si>
    <t>Carl Walker, Linda Papadopoulos</t>
  </si>
  <si>
    <t>R758/3</t>
  </si>
  <si>
    <t>978-7-5537-3889-5</t>
  </si>
  <si>
    <t>阻生牙的诊断与正畸治疗</t>
  </si>
  <si>
    <t>张卫兵, 严斌</t>
  </si>
  <si>
    <t>R783.5/14</t>
  </si>
  <si>
    <t>978-7-117-31244-8</t>
  </si>
  <si>
    <t>避免旅途变囧途: 旅行必备药品清单</t>
  </si>
  <si>
    <t xml:space="preserve">王婧雯 ... </t>
  </si>
  <si>
    <t>R9/111</t>
  </si>
  <si>
    <t>978-7-302-59165-8</t>
  </si>
  <si>
    <t>药事管理学</t>
  </si>
  <si>
    <t>张立明, 罗臻</t>
  </si>
  <si>
    <t>R95/20=2D</t>
  </si>
  <si>
    <t>978-7-5578-6837-6</t>
  </si>
  <si>
    <t>实用临床药学</t>
  </si>
  <si>
    <t>张海滨, 邵仕艳, 李宝琴</t>
  </si>
  <si>
    <t>R97/131</t>
  </si>
  <si>
    <t>978-7-5578-7035-5</t>
  </si>
  <si>
    <t>临床药物应用与疾病诊疗</t>
  </si>
  <si>
    <t>宋绪彬</t>
  </si>
  <si>
    <t>R97/132</t>
  </si>
  <si>
    <t>978-7-208-17369-9</t>
  </si>
  <si>
    <t>身体视域中技术与艺术的交互问题研究</t>
  </si>
  <si>
    <t>周丽昀</t>
  </si>
  <si>
    <t>N02/143</t>
  </si>
  <si>
    <t>978-7-04-055394-9</t>
  </si>
  <si>
    <t>微积分. 下</t>
  </si>
  <si>
    <t>苏德矿, 吴明华, 童雯雯</t>
  </si>
  <si>
    <t>O172/118=3D/2</t>
  </si>
  <si>
    <t>978-7-302-58798-9</t>
  </si>
  <si>
    <t>大学物理学. 下册</t>
  </si>
  <si>
    <t>张三慧</t>
  </si>
  <si>
    <t>O4/282=3D/2</t>
  </si>
  <si>
    <t>978-7-5713-1761-4</t>
  </si>
  <si>
    <t>跟着节气过生活</t>
  </si>
  <si>
    <t>半夏, 武善金</t>
  </si>
  <si>
    <t>P462/22</t>
  </si>
  <si>
    <t>978-7-200-12097-4</t>
  </si>
  <si>
    <t>天道与人文</t>
  </si>
  <si>
    <t>竺可桢</t>
  </si>
  <si>
    <t>P4/38</t>
  </si>
  <si>
    <t>978-7-100-11881-1</t>
  </si>
  <si>
    <t>发现最美的昆虫</t>
  </si>
  <si>
    <t>(德) 梅里安, (法) 法布尔</t>
  </si>
  <si>
    <t>Q96/39</t>
  </si>
  <si>
    <t>978-7-5219-1362-0</t>
  </si>
  <si>
    <t>观象</t>
  </si>
  <si>
    <t>刘东黎</t>
  </si>
  <si>
    <t>中国林业出版社</t>
  </si>
  <si>
    <t>Q959.845/3</t>
  </si>
  <si>
    <t>978-7-100-12517-8</t>
  </si>
  <si>
    <t>发现瑰丽的植物</t>
  </si>
  <si>
    <t>(英) 马克·凯茨比, 约瑟夫·胡克</t>
  </si>
  <si>
    <t>Q94/76</t>
  </si>
  <si>
    <t>978-7-100-19113-5</t>
  </si>
  <si>
    <t>改变人类历史的植物</t>
  </si>
  <si>
    <t>(葡) 若泽·爱德华多·门德斯·费朗</t>
  </si>
  <si>
    <t>Q94/77</t>
  </si>
  <si>
    <t>978-7-100-10471-5</t>
  </si>
  <si>
    <t>南开花事</t>
  </si>
  <si>
    <t>莫训强</t>
  </si>
  <si>
    <t>S68/114</t>
  </si>
  <si>
    <t>978-7-111-67772-7</t>
  </si>
  <si>
    <t>汽车传感器结构、原理、拆装、检测、维修</t>
  </si>
  <si>
    <t>刘春晖, 刘逸宁</t>
  </si>
  <si>
    <t>U463.6/16</t>
  </si>
  <si>
    <t>978-7-5692-8776-9</t>
  </si>
  <si>
    <t>基于多阶数据张量感知的道路交通动态特征挖掘方法及应用</t>
  </si>
  <si>
    <t>邢雪</t>
  </si>
  <si>
    <t>U491.2/5</t>
  </si>
  <si>
    <t>978-7-5692-8971-8</t>
  </si>
  <si>
    <t>云-边-端协同交通大数据智能计算及控制技术</t>
  </si>
  <si>
    <t xml:space="preserve">谭墍元 ...  </t>
  </si>
  <si>
    <t>U495/4</t>
  </si>
  <si>
    <t>978-7-200-12013-4</t>
  </si>
  <si>
    <t>桥梁史话</t>
  </si>
  <si>
    <t>茅以升</t>
  </si>
  <si>
    <t>U44-092/3</t>
  </si>
  <si>
    <t>978-7-5180-4374-3</t>
  </si>
  <si>
    <t>中国环境管理的理论与实践研究</t>
  </si>
  <si>
    <t>X321.2/60</t>
  </si>
  <si>
    <t>978-7-5180-3692-9</t>
  </si>
  <si>
    <t>当代中国生态文明建设的理论与路径选择</t>
  </si>
  <si>
    <t>周琳</t>
  </si>
  <si>
    <t>X321.2/61</t>
  </si>
  <si>
    <t>978-7-5207-0023-8</t>
  </si>
  <si>
    <t>生态文明的社会发展理论: 广义信息、高质能量与人的发展</t>
  </si>
  <si>
    <t>吕程平</t>
  </si>
  <si>
    <t>X321.2/62</t>
  </si>
  <si>
    <t>978-7-5578-8245-7</t>
  </si>
  <si>
    <t>环境会计理论与制度构建</t>
  </si>
  <si>
    <t>黄影秋</t>
  </si>
  <si>
    <t>X196/32</t>
  </si>
  <si>
    <t>978-7-5641-9717-9</t>
  </si>
  <si>
    <t>安全氛围与安全知识对安全绩效的作用机制</t>
  </si>
  <si>
    <t>马振鹏</t>
  </si>
  <si>
    <t>X931/32</t>
  </si>
</sst>
</file>

<file path=xl/styles.xml><?xml version="1.0" encoding="utf-8"?>
<styleSheet xmlns="http://schemas.openxmlformats.org/spreadsheetml/2006/main">
  <numFmts count="4">
    <numFmt numFmtId="43" formatCode="_ * #,##0.00_ ;_ * \-#,##0.00_ ;_ * &quot;-&quot;??_ ;_ @_ "/>
    <numFmt numFmtId="42" formatCode="_ &quot;￥&quot;* #,##0_ ;_ &quot;￥&quot;* \-#,##0_ ;_ &quot;￥&quot;* &quot;-&quot;_ ;_ @_ "/>
    <numFmt numFmtId="41" formatCode="_ * #,##0_ ;_ * \-#,##0_ ;_ * &quot;-&quot;_ ;_ @_ "/>
    <numFmt numFmtId="44" formatCode="_ &quot;￥&quot;* #,##0.00_ ;_ &quot;￥&quot;* \-#,##0.00_ ;_ &quot;￥&quot;* &quot;-&quot;??_ ;_ @_ "/>
  </numFmts>
  <fonts count="29">
    <font>
      <sz val="11"/>
      <color theme="1"/>
      <name val="宋体"/>
      <charset val="134"/>
      <scheme val="minor"/>
    </font>
    <font>
      <sz val="12"/>
      <name val="宋体"/>
      <charset val="134"/>
      <scheme val="minor"/>
    </font>
    <font>
      <sz val="12"/>
      <color theme="1"/>
      <name val="宋体"/>
      <charset val="134"/>
      <scheme val="minor"/>
    </font>
    <font>
      <sz val="11"/>
      <name val="宋体"/>
      <charset val="134"/>
      <scheme val="minor"/>
    </font>
    <font>
      <b/>
      <sz val="12"/>
      <name val="宋体"/>
      <charset val="134"/>
      <scheme val="minor"/>
    </font>
    <font>
      <sz val="12"/>
      <color theme="1"/>
      <name val="宋体"/>
      <charset val="134"/>
    </font>
    <font>
      <sz val="12"/>
      <color theme="1"/>
      <name val="宋体"/>
      <charset val="134"/>
      <scheme val="minor"/>
    </font>
    <font>
      <b/>
      <sz val="11"/>
      <name val="宋体"/>
      <charset val="134"/>
      <scheme val="minor"/>
    </font>
    <font>
      <b/>
      <sz val="12"/>
      <color theme="1"/>
      <name val="宋体"/>
      <charset val="134"/>
    </font>
    <font>
      <sz val="11"/>
      <color rgb="FFFF0000"/>
      <name val="宋体"/>
      <charset val="0"/>
      <scheme val="minor"/>
    </font>
    <font>
      <u/>
      <sz val="11"/>
      <color rgb="FF800080"/>
      <name val="宋体"/>
      <charset val="0"/>
      <scheme val="minor"/>
    </font>
    <font>
      <b/>
      <sz val="13"/>
      <color theme="3"/>
      <name val="宋体"/>
      <charset val="134"/>
      <scheme val="minor"/>
    </font>
    <font>
      <b/>
      <sz val="18"/>
      <color theme="3"/>
      <name val="宋体"/>
      <charset val="134"/>
      <scheme val="minor"/>
    </font>
    <font>
      <sz val="11"/>
      <color rgb="FF3F3F76"/>
      <name val="宋体"/>
      <charset val="0"/>
      <scheme val="minor"/>
    </font>
    <font>
      <sz val="11"/>
      <color theme="0"/>
      <name val="宋体"/>
      <charset val="0"/>
      <scheme val="minor"/>
    </font>
    <font>
      <sz val="11"/>
      <color theme="1"/>
      <name val="宋体"/>
      <charset val="0"/>
      <scheme val="minor"/>
    </font>
    <font>
      <sz val="11"/>
      <color rgb="FF006100"/>
      <name val="宋体"/>
      <charset val="0"/>
      <scheme val="minor"/>
    </font>
    <font>
      <b/>
      <sz val="11"/>
      <color rgb="FF3F3F3F"/>
      <name val="宋体"/>
      <charset val="0"/>
      <scheme val="minor"/>
    </font>
    <font>
      <b/>
      <sz val="15"/>
      <color theme="3"/>
      <name val="宋体"/>
      <charset val="134"/>
      <scheme val="minor"/>
    </font>
    <font>
      <b/>
      <sz val="11"/>
      <color theme="3"/>
      <name val="宋体"/>
      <charset val="134"/>
      <scheme val="minor"/>
    </font>
    <font>
      <sz val="11"/>
      <color rgb="FF9C0006"/>
      <name val="宋体"/>
      <charset val="0"/>
      <scheme val="minor"/>
    </font>
    <font>
      <b/>
      <sz val="11"/>
      <color rgb="FFFA7D00"/>
      <name val="宋体"/>
      <charset val="0"/>
      <scheme val="minor"/>
    </font>
    <font>
      <i/>
      <sz val="11"/>
      <color rgb="FF7F7F7F"/>
      <name val="宋体"/>
      <charset val="0"/>
      <scheme val="minor"/>
    </font>
    <font>
      <b/>
      <sz val="11"/>
      <color theme="1"/>
      <name val="宋体"/>
      <charset val="0"/>
      <scheme val="minor"/>
    </font>
    <font>
      <u/>
      <sz val="11"/>
      <color rgb="FF0000FF"/>
      <name val="宋体"/>
      <charset val="0"/>
      <scheme val="minor"/>
    </font>
    <font>
      <b/>
      <sz val="11"/>
      <color rgb="FFFFFFFF"/>
      <name val="宋体"/>
      <charset val="0"/>
      <scheme val="minor"/>
    </font>
    <font>
      <sz val="11"/>
      <color rgb="FFFA7D00"/>
      <name val="宋体"/>
      <charset val="0"/>
      <scheme val="minor"/>
    </font>
    <font>
      <sz val="11"/>
      <color rgb="FF9C6500"/>
      <name val="宋体"/>
      <charset val="0"/>
      <scheme val="minor"/>
    </font>
    <font>
      <sz val="11"/>
      <color theme="1"/>
      <name val="宋体"/>
      <charset val="134"/>
      <scheme val="minor"/>
    </font>
  </fonts>
  <fills count="33">
    <fill>
      <patternFill patternType="none"/>
    </fill>
    <fill>
      <patternFill patternType="gray125"/>
    </fill>
    <fill>
      <patternFill patternType="solid">
        <fgColor rgb="FFFFCC99"/>
        <bgColor indexed="64"/>
      </patternFill>
    </fill>
    <fill>
      <patternFill patternType="solid">
        <fgColor theme="7"/>
        <bgColor indexed="64"/>
      </patternFill>
    </fill>
    <fill>
      <patternFill patternType="solid">
        <fgColor theme="5" tint="0.599993896298105"/>
        <bgColor indexed="64"/>
      </patternFill>
    </fill>
    <fill>
      <patternFill patternType="solid">
        <fgColor rgb="FFC6EFCE"/>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rgb="FFF2F2F2"/>
        <bgColor indexed="64"/>
      </patternFill>
    </fill>
    <fill>
      <patternFill patternType="solid">
        <fgColor theme="7" tint="0.599993896298105"/>
        <bgColor indexed="64"/>
      </patternFill>
    </fill>
    <fill>
      <patternFill patternType="solid">
        <fgColor theme="8" tint="0.799981688894314"/>
        <bgColor indexed="64"/>
      </patternFill>
    </fill>
    <fill>
      <patternFill patternType="solid">
        <fgColor theme="5" tint="0.399975585192419"/>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7" tint="0.799981688894314"/>
        <bgColor indexed="64"/>
      </patternFill>
    </fill>
    <fill>
      <patternFill patternType="solid">
        <fgColor theme="4" tint="0.399975585192419"/>
        <bgColor indexed="64"/>
      </patternFill>
    </fill>
    <fill>
      <patternFill patternType="solid">
        <fgColor theme="6"/>
        <bgColor indexed="64"/>
      </patternFill>
    </fill>
    <fill>
      <patternFill patternType="solid">
        <fgColor theme="4" tint="0.599993896298105"/>
        <bgColor indexed="64"/>
      </patternFill>
    </fill>
    <fill>
      <patternFill patternType="solid">
        <fgColor theme="4"/>
        <bgColor indexed="64"/>
      </patternFill>
    </fill>
    <fill>
      <patternFill patternType="solid">
        <fgColor theme="7" tint="0.399975585192419"/>
        <bgColor indexed="64"/>
      </patternFill>
    </fill>
    <fill>
      <patternFill patternType="solid">
        <fgColor theme="8"/>
        <bgColor indexed="64"/>
      </patternFill>
    </fill>
    <fill>
      <patternFill patternType="solid">
        <fgColor theme="4" tint="0.799981688894314"/>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theme="5" tint="0.799981688894314"/>
        <bgColor indexed="64"/>
      </patternFill>
    </fill>
    <fill>
      <patternFill patternType="solid">
        <fgColor rgb="FFFFEB9C"/>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399975585192419"/>
        <bgColor indexed="64"/>
      </patternFill>
    </fill>
    <fill>
      <patternFill patternType="solid">
        <fgColor theme="9"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50">
    <xf numFmtId="0" fontId="0" fillId="0" borderId="0">
      <alignment vertical="center"/>
    </xf>
    <xf numFmtId="42" fontId="0" fillId="0" borderId="0" applyFont="0" applyFill="0" applyBorder="0" applyAlignment="0" applyProtection="0">
      <alignment vertical="center"/>
    </xf>
    <xf numFmtId="0" fontId="15" fillId="6" borderId="0" applyNumberFormat="0" applyBorder="0" applyAlignment="0" applyProtection="0">
      <alignment vertical="center"/>
    </xf>
    <xf numFmtId="0" fontId="13" fillId="2"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5" fillId="7" borderId="0" applyNumberFormat="0" applyBorder="0" applyAlignment="0" applyProtection="0">
      <alignment vertical="center"/>
    </xf>
    <xf numFmtId="0" fontId="20" fillId="12" borderId="0" applyNumberFormat="0" applyBorder="0" applyAlignment="0" applyProtection="0">
      <alignment vertical="center"/>
    </xf>
    <xf numFmtId="43" fontId="0" fillId="0" borderId="0" applyFont="0" applyFill="0" applyBorder="0" applyAlignment="0" applyProtection="0">
      <alignment vertical="center"/>
    </xf>
    <xf numFmtId="0" fontId="14" fillId="13" borderId="0" applyNumberFormat="0" applyBorder="0" applyAlignment="0" applyProtection="0">
      <alignment vertical="center"/>
    </xf>
    <xf numFmtId="0" fontId="24" fillId="0" borderId="0" applyNumberFormat="0" applyFill="0" applyBorder="0" applyAlignment="0" applyProtection="0">
      <alignment vertical="center"/>
    </xf>
    <xf numFmtId="9"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0" fillId="14" borderId="6" applyNumberFormat="0" applyFont="0" applyAlignment="0" applyProtection="0">
      <alignment vertical="center"/>
    </xf>
    <xf numFmtId="0" fontId="14" fillId="11" borderId="0" applyNumberFormat="0" applyBorder="0" applyAlignment="0" applyProtection="0">
      <alignment vertical="center"/>
    </xf>
    <xf numFmtId="0" fontId="1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8" fillId="0" borderId="2" applyNumberFormat="0" applyFill="0" applyAlignment="0" applyProtection="0">
      <alignment vertical="center"/>
    </xf>
    <xf numFmtId="0" fontId="11" fillId="0" borderId="2" applyNumberFormat="0" applyFill="0" applyAlignment="0" applyProtection="0">
      <alignment vertical="center"/>
    </xf>
    <xf numFmtId="0" fontId="14" fillId="16" borderId="0" applyNumberFormat="0" applyBorder="0" applyAlignment="0" applyProtection="0">
      <alignment vertical="center"/>
    </xf>
    <xf numFmtId="0" fontId="19" fillId="0" borderId="7" applyNumberFormat="0" applyFill="0" applyAlignment="0" applyProtection="0">
      <alignment vertical="center"/>
    </xf>
    <xf numFmtId="0" fontId="14" fillId="20" borderId="0" applyNumberFormat="0" applyBorder="0" applyAlignment="0" applyProtection="0">
      <alignment vertical="center"/>
    </xf>
    <xf numFmtId="0" fontId="17" fillId="8" borderId="4" applyNumberFormat="0" applyAlignment="0" applyProtection="0">
      <alignment vertical="center"/>
    </xf>
    <xf numFmtId="0" fontId="21" fillId="8" borderId="3" applyNumberFormat="0" applyAlignment="0" applyProtection="0">
      <alignment vertical="center"/>
    </xf>
    <xf numFmtId="0" fontId="25" fillId="23" borderId="8" applyNumberFormat="0" applyAlignment="0" applyProtection="0">
      <alignment vertical="center"/>
    </xf>
    <xf numFmtId="0" fontId="15" fillId="24" borderId="0" applyNumberFormat="0" applyBorder="0" applyAlignment="0" applyProtection="0">
      <alignment vertical="center"/>
    </xf>
    <xf numFmtId="0" fontId="14" fillId="25" borderId="0" applyNumberFormat="0" applyBorder="0" applyAlignment="0" applyProtection="0">
      <alignment vertical="center"/>
    </xf>
    <xf numFmtId="0" fontId="26" fillId="0" borderId="9" applyNumberFormat="0" applyFill="0" applyAlignment="0" applyProtection="0">
      <alignment vertical="center"/>
    </xf>
    <xf numFmtId="0" fontId="23" fillId="0" borderId="5" applyNumberFormat="0" applyFill="0" applyAlignment="0" applyProtection="0">
      <alignment vertical="center"/>
    </xf>
    <xf numFmtId="0" fontId="16" fillId="5" borderId="0" applyNumberFormat="0" applyBorder="0" applyAlignment="0" applyProtection="0">
      <alignment vertical="center"/>
    </xf>
    <xf numFmtId="0" fontId="27" fillId="27" borderId="0" applyNumberFormat="0" applyBorder="0" applyAlignment="0" applyProtection="0">
      <alignment vertical="center"/>
    </xf>
    <xf numFmtId="0" fontId="15" fillId="10" borderId="0" applyNumberFormat="0" applyBorder="0" applyAlignment="0" applyProtection="0">
      <alignment vertical="center"/>
    </xf>
    <xf numFmtId="0" fontId="14" fillId="19" borderId="0" applyNumberFormat="0" applyBorder="0" applyAlignment="0" applyProtection="0">
      <alignment vertical="center"/>
    </xf>
    <xf numFmtId="0" fontId="15" fillId="22" borderId="0" applyNumberFormat="0" applyBorder="0" applyAlignment="0" applyProtection="0">
      <alignment vertical="center"/>
    </xf>
    <xf numFmtId="0" fontId="15" fillId="18" borderId="0" applyNumberFormat="0" applyBorder="0" applyAlignment="0" applyProtection="0">
      <alignment vertical="center"/>
    </xf>
    <xf numFmtId="0" fontId="15" fillId="26" borderId="0" applyNumberFormat="0" applyBorder="0" applyAlignment="0" applyProtection="0">
      <alignment vertical="center"/>
    </xf>
    <xf numFmtId="0" fontId="15" fillId="4" borderId="0" applyNumberFormat="0" applyBorder="0" applyAlignment="0" applyProtection="0">
      <alignment vertical="center"/>
    </xf>
    <xf numFmtId="0" fontId="14" fillId="17" borderId="0" applyNumberFormat="0" applyBorder="0" applyAlignment="0" applyProtection="0">
      <alignment vertical="center"/>
    </xf>
    <xf numFmtId="0" fontId="14" fillId="3" borderId="0" applyNumberFormat="0" applyBorder="0" applyAlignment="0" applyProtection="0">
      <alignment vertical="center"/>
    </xf>
    <xf numFmtId="0" fontId="15" fillId="15" borderId="0" applyNumberFormat="0" applyBorder="0" applyAlignment="0" applyProtection="0">
      <alignment vertical="center"/>
    </xf>
    <xf numFmtId="0" fontId="15" fillId="9" borderId="0" applyNumberFormat="0" applyBorder="0" applyAlignment="0" applyProtection="0">
      <alignment vertical="center"/>
    </xf>
    <xf numFmtId="0" fontId="14" fillId="21" borderId="0" applyNumberFormat="0" applyBorder="0" applyAlignment="0" applyProtection="0">
      <alignment vertical="center"/>
    </xf>
    <xf numFmtId="0" fontId="15" fillId="28" borderId="0" applyNumberFormat="0" applyBorder="0" applyAlignment="0" applyProtection="0">
      <alignment vertical="center"/>
    </xf>
    <xf numFmtId="0" fontId="14" fillId="29" borderId="0" applyNumberFormat="0" applyBorder="0" applyAlignment="0" applyProtection="0">
      <alignment vertical="center"/>
    </xf>
    <xf numFmtId="0" fontId="14" fillId="30" borderId="0" applyNumberFormat="0" applyBorder="0" applyAlignment="0" applyProtection="0">
      <alignment vertical="center"/>
    </xf>
    <xf numFmtId="0" fontId="15" fillId="32" borderId="0" applyNumberFormat="0" applyBorder="0" applyAlignment="0" applyProtection="0">
      <alignment vertical="center"/>
    </xf>
    <xf numFmtId="0" fontId="14" fillId="31" borderId="0" applyNumberFormat="0" applyBorder="0" applyAlignment="0" applyProtection="0">
      <alignment vertical="center"/>
    </xf>
    <xf numFmtId="0" fontId="28" fillId="0" borderId="0">
      <alignment vertical="center"/>
    </xf>
  </cellStyleXfs>
  <cellXfs count="17">
    <xf numFmtId="0" fontId="0" fillId="0" borderId="0" xfId="0">
      <alignment vertical="center"/>
    </xf>
    <xf numFmtId="0" fontId="1" fillId="0" borderId="0" xfId="0" applyFont="1" applyAlignment="1">
      <alignment horizontal="left" vertical="center"/>
    </xf>
    <xf numFmtId="0" fontId="2" fillId="0" borderId="0" xfId="0" applyFont="1">
      <alignment vertical="center"/>
    </xf>
    <xf numFmtId="0" fontId="3" fillId="0" borderId="0" xfId="0" applyFont="1" applyAlignment="1">
      <alignment horizontal="center" vertical="center"/>
    </xf>
    <xf numFmtId="0" fontId="3" fillId="0" borderId="0" xfId="0" applyFont="1" applyAlignment="1">
      <alignment horizontal="left" vertical="center"/>
    </xf>
    <xf numFmtId="0" fontId="4" fillId="0" borderId="1" xfId="0" applyFont="1" applyBorder="1" applyAlignment="1">
      <alignment horizontal="center" vertical="center"/>
    </xf>
    <xf numFmtId="0" fontId="5" fillId="0" borderId="1" xfId="0" applyFont="1" applyFill="1" applyBorder="1" applyAlignment="1">
      <alignment horizontal="center" vertical="center"/>
    </xf>
    <xf numFmtId="0" fontId="5" fillId="0" borderId="1" xfId="0" applyFont="1" applyFill="1" applyBorder="1" applyAlignment="1">
      <alignment vertical="center"/>
    </xf>
    <xf numFmtId="0" fontId="6" fillId="0" borderId="1" xfId="0" applyFont="1" applyFill="1" applyBorder="1" applyAlignment="1"/>
    <xf numFmtId="0" fontId="5" fillId="0" borderId="1" xfId="49" applyFont="1" applyBorder="1">
      <alignment vertical="center"/>
    </xf>
    <xf numFmtId="0" fontId="5" fillId="0" borderId="0" xfId="0" applyFont="1" applyFill="1" applyBorder="1" applyAlignment="1">
      <alignment vertical="center"/>
    </xf>
    <xf numFmtId="0" fontId="6" fillId="0" borderId="0" xfId="0" applyFont="1" applyFill="1" applyBorder="1" applyAlignment="1"/>
    <xf numFmtId="0" fontId="0" fillId="0" borderId="0" xfId="0" applyAlignment="1">
      <alignment horizontal="center" vertical="center"/>
    </xf>
    <xf numFmtId="0" fontId="6" fillId="0" borderId="1" xfId="0" applyFont="1" applyFill="1" applyBorder="1" applyAlignment="1"/>
    <xf numFmtId="0" fontId="7" fillId="0" borderId="1" xfId="0" applyFont="1" applyBorder="1" applyAlignment="1">
      <alignment horizontal="center" vertical="center"/>
    </xf>
    <xf numFmtId="0" fontId="8" fillId="0" borderId="1" xfId="0" applyFont="1" applyFill="1" applyBorder="1" applyAlignment="1">
      <alignment horizontal="center" vertical="center"/>
    </xf>
    <xf numFmtId="0" fontId="2" fillId="0" borderId="0" xfId="0" applyFont="1" applyAlignment="1">
      <alignment horizontal="center"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3" xfId="49"/>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6" Type="http://schemas.openxmlformats.org/officeDocument/2006/relationships/sharedStrings" Target="sharedStrings.xml"/><Relationship Id="rId15" Type="http://schemas.openxmlformats.org/officeDocument/2006/relationships/styles" Target="styles.xml"/><Relationship Id="rId14" Type="http://schemas.openxmlformats.org/officeDocument/2006/relationships/theme" Target="theme/theme1.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sheetPr>
  <dimension ref="A1:F113"/>
  <sheetViews>
    <sheetView workbookViewId="0">
      <selection activeCell="D10" sqref="D10"/>
    </sheetView>
  </sheetViews>
  <sheetFormatPr defaultColWidth="9" defaultRowHeight="18" customHeight="1" outlineLevelCol="5"/>
  <cols>
    <col min="1" max="1" width="6.375" customWidth="1"/>
    <col min="2" max="2" width="19.375" customWidth="1"/>
    <col min="3" max="3" width="48.625" customWidth="1"/>
    <col min="4" max="4" width="35.875" customWidth="1"/>
    <col min="5" max="5" width="22.625" customWidth="1"/>
    <col min="6" max="6" width="12.625" customWidth="1"/>
  </cols>
  <sheetData>
    <row r="1" s="2" customFormat="1" customHeight="1" spans="1:6">
      <c r="A1" s="15" t="str">
        <f>"序号"</f>
        <v>序号</v>
      </c>
      <c r="B1" s="15" t="str">
        <f>"ISBN"</f>
        <v>ISBN</v>
      </c>
      <c r="C1" s="15" t="str">
        <f>"题名"</f>
        <v>题名</v>
      </c>
      <c r="D1" s="15" t="str">
        <f>"责任者"</f>
        <v>责任者</v>
      </c>
      <c r="E1" s="15" t="str">
        <f>"出版社"</f>
        <v>出版社</v>
      </c>
      <c r="F1" s="15" t="str">
        <f>"索取号"</f>
        <v>索取号</v>
      </c>
    </row>
    <row r="2" customHeight="1" spans="1:6">
      <c r="A2" s="6">
        <v>1</v>
      </c>
      <c r="B2" s="8" t="s">
        <v>0</v>
      </c>
      <c r="C2" s="8" t="s">
        <v>1</v>
      </c>
      <c r="D2" s="8" t="s">
        <v>2</v>
      </c>
      <c r="E2" s="8" t="s">
        <v>3</v>
      </c>
      <c r="F2" s="8" t="s">
        <v>4</v>
      </c>
    </row>
    <row r="3" customHeight="1" spans="1:6">
      <c r="A3" s="6">
        <v>2</v>
      </c>
      <c r="B3" s="8" t="s">
        <v>0</v>
      </c>
      <c r="C3" s="8" t="s">
        <v>1</v>
      </c>
      <c r="D3" s="8" t="s">
        <v>2</v>
      </c>
      <c r="E3" s="8" t="s">
        <v>3</v>
      </c>
      <c r="F3" s="8" t="s">
        <v>4</v>
      </c>
    </row>
    <row r="4" customHeight="1" spans="1:6">
      <c r="A4" s="6">
        <v>3</v>
      </c>
      <c r="B4" s="8" t="s">
        <v>5</v>
      </c>
      <c r="C4" s="8" t="s">
        <v>6</v>
      </c>
      <c r="D4" s="8" t="s">
        <v>7</v>
      </c>
      <c r="E4" s="8" t="s">
        <v>8</v>
      </c>
      <c r="F4" s="8" t="s">
        <v>9</v>
      </c>
    </row>
    <row r="5" customHeight="1" spans="1:6">
      <c r="A5" s="6">
        <v>4</v>
      </c>
      <c r="B5" s="8" t="s">
        <v>5</v>
      </c>
      <c r="C5" s="8" t="s">
        <v>6</v>
      </c>
      <c r="D5" s="8" t="s">
        <v>7</v>
      </c>
      <c r="E5" s="8" t="s">
        <v>8</v>
      </c>
      <c r="F5" s="8" t="s">
        <v>9</v>
      </c>
    </row>
    <row r="6" customHeight="1" spans="1:6">
      <c r="A6" s="6">
        <v>5</v>
      </c>
      <c r="B6" s="8" t="s">
        <v>10</v>
      </c>
      <c r="C6" s="8" t="s">
        <v>11</v>
      </c>
      <c r="D6" s="8" t="s">
        <v>12</v>
      </c>
      <c r="E6" s="8" t="s">
        <v>13</v>
      </c>
      <c r="F6" s="8" t="s">
        <v>14</v>
      </c>
    </row>
    <row r="7" customHeight="1" spans="1:6">
      <c r="A7" s="6">
        <v>6</v>
      </c>
      <c r="B7" s="8" t="s">
        <v>10</v>
      </c>
      <c r="C7" s="8" t="s">
        <v>11</v>
      </c>
      <c r="D7" s="8" t="s">
        <v>12</v>
      </c>
      <c r="E7" s="8" t="s">
        <v>13</v>
      </c>
      <c r="F7" s="8" t="s">
        <v>14</v>
      </c>
    </row>
    <row r="8" customHeight="1" spans="1:6">
      <c r="A8" s="6">
        <v>7</v>
      </c>
      <c r="B8" s="8" t="s">
        <v>15</v>
      </c>
      <c r="C8" s="8" t="s">
        <v>16</v>
      </c>
      <c r="D8" s="8" t="s">
        <v>17</v>
      </c>
      <c r="E8" s="8" t="s">
        <v>18</v>
      </c>
      <c r="F8" s="8" t="s">
        <v>19</v>
      </c>
    </row>
    <row r="9" customHeight="1" spans="1:6">
      <c r="A9" s="6">
        <v>8</v>
      </c>
      <c r="B9" s="8" t="s">
        <v>15</v>
      </c>
      <c r="C9" s="8" t="s">
        <v>16</v>
      </c>
      <c r="D9" s="8" t="s">
        <v>17</v>
      </c>
      <c r="E9" s="8" t="s">
        <v>18</v>
      </c>
      <c r="F9" s="8" t="s">
        <v>19</v>
      </c>
    </row>
    <row r="10" customHeight="1" spans="1:6">
      <c r="A10" s="6">
        <v>9</v>
      </c>
      <c r="B10" s="8" t="s">
        <v>20</v>
      </c>
      <c r="C10" s="8" t="s">
        <v>21</v>
      </c>
      <c r="D10" s="8" t="s">
        <v>22</v>
      </c>
      <c r="E10" s="8" t="s">
        <v>23</v>
      </c>
      <c r="F10" s="8" t="s">
        <v>24</v>
      </c>
    </row>
    <row r="11" customHeight="1" spans="1:6">
      <c r="A11" s="6">
        <v>10</v>
      </c>
      <c r="B11" s="8" t="s">
        <v>20</v>
      </c>
      <c r="C11" s="8" t="s">
        <v>21</v>
      </c>
      <c r="D11" s="8" t="s">
        <v>22</v>
      </c>
      <c r="E11" s="8" t="s">
        <v>23</v>
      </c>
      <c r="F11" s="8" t="s">
        <v>24</v>
      </c>
    </row>
    <row r="12" customHeight="1" spans="1:6">
      <c r="A12" s="6">
        <v>11</v>
      </c>
      <c r="B12" s="8" t="s">
        <v>25</v>
      </c>
      <c r="C12" s="8" t="s">
        <v>26</v>
      </c>
      <c r="D12" s="8" t="s">
        <v>27</v>
      </c>
      <c r="E12" s="8" t="s">
        <v>28</v>
      </c>
      <c r="F12" s="8" t="s">
        <v>29</v>
      </c>
    </row>
    <row r="13" customHeight="1" spans="1:6">
      <c r="A13" s="6">
        <v>12</v>
      </c>
      <c r="B13" s="8" t="s">
        <v>25</v>
      </c>
      <c r="C13" s="8" t="s">
        <v>26</v>
      </c>
      <c r="D13" s="8" t="s">
        <v>27</v>
      </c>
      <c r="E13" s="8" t="s">
        <v>28</v>
      </c>
      <c r="F13" s="8" t="s">
        <v>29</v>
      </c>
    </row>
    <row r="14" customHeight="1" spans="1:6">
      <c r="A14" s="6">
        <v>13</v>
      </c>
      <c r="B14" s="8" t="s">
        <v>30</v>
      </c>
      <c r="C14" s="8" t="s">
        <v>31</v>
      </c>
      <c r="D14" s="8" t="s">
        <v>32</v>
      </c>
      <c r="E14" s="8" t="s">
        <v>33</v>
      </c>
      <c r="F14" s="8" t="s">
        <v>34</v>
      </c>
    </row>
    <row r="15" customHeight="1" spans="1:6">
      <c r="A15" s="6">
        <v>14</v>
      </c>
      <c r="B15" s="8" t="s">
        <v>30</v>
      </c>
      <c r="C15" s="8" t="s">
        <v>31</v>
      </c>
      <c r="D15" s="8" t="s">
        <v>32</v>
      </c>
      <c r="E15" s="8" t="s">
        <v>33</v>
      </c>
      <c r="F15" s="8" t="s">
        <v>34</v>
      </c>
    </row>
    <row r="16" customHeight="1" spans="1:6">
      <c r="A16" s="6">
        <v>15</v>
      </c>
      <c r="B16" s="8" t="s">
        <v>35</v>
      </c>
      <c r="C16" s="8" t="s">
        <v>36</v>
      </c>
      <c r="D16" s="8" t="s">
        <v>37</v>
      </c>
      <c r="E16" s="8" t="s">
        <v>38</v>
      </c>
      <c r="F16" s="8" t="s">
        <v>39</v>
      </c>
    </row>
    <row r="17" customHeight="1" spans="1:6">
      <c r="A17" s="6">
        <v>16</v>
      </c>
      <c r="B17" s="8" t="s">
        <v>35</v>
      </c>
      <c r="C17" s="8" t="s">
        <v>36</v>
      </c>
      <c r="D17" s="8" t="s">
        <v>37</v>
      </c>
      <c r="E17" s="8" t="s">
        <v>38</v>
      </c>
      <c r="F17" s="8" t="s">
        <v>39</v>
      </c>
    </row>
    <row r="18" customHeight="1" spans="1:6">
      <c r="A18" s="6">
        <v>17</v>
      </c>
      <c r="B18" s="8" t="s">
        <v>40</v>
      </c>
      <c r="C18" s="8" t="s">
        <v>41</v>
      </c>
      <c r="D18" s="8" t="s">
        <v>42</v>
      </c>
      <c r="E18" s="8" t="s">
        <v>43</v>
      </c>
      <c r="F18" s="8" t="s">
        <v>44</v>
      </c>
    </row>
    <row r="19" customHeight="1" spans="1:6">
      <c r="A19" s="6">
        <v>18</v>
      </c>
      <c r="B19" s="8" t="s">
        <v>40</v>
      </c>
      <c r="C19" s="8" t="s">
        <v>41</v>
      </c>
      <c r="D19" s="8" t="s">
        <v>42</v>
      </c>
      <c r="E19" s="8" t="s">
        <v>43</v>
      </c>
      <c r="F19" s="8" t="s">
        <v>44</v>
      </c>
    </row>
    <row r="20" customHeight="1" spans="1:6">
      <c r="A20" s="6">
        <v>19</v>
      </c>
      <c r="B20" s="8" t="s">
        <v>45</v>
      </c>
      <c r="C20" s="8" t="s">
        <v>46</v>
      </c>
      <c r="D20" s="8" t="s">
        <v>47</v>
      </c>
      <c r="E20" s="8" t="s">
        <v>48</v>
      </c>
      <c r="F20" s="8" t="s">
        <v>49</v>
      </c>
    </row>
    <row r="21" customHeight="1" spans="1:6">
      <c r="A21" s="6">
        <v>20</v>
      </c>
      <c r="B21" s="8" t="s">
        <v>45</v>
      </c>
      <c r="C21" s="8" t="s">
        <v>46</v>
      </c>
      <c r="D21" s="8" t="s">
        <v>47</v>
      </c>
      <c r="E21" s="8" t="s">
        <v>48</v>
      </c>
      <c r="F21" s="8" t="s">
        <v>49</v>
      </c>
    </row>
    <row r="22" customHeight="1" spans="1:6">
      <c r="A22" s="6">
        <v>21</v>
      </c>
      <c r="B22" s="8" t="s">
        <v>50</v>
      </c>
      <c r="C22" s="8" t="s">
        <v>51</v>
      </c>
      <c r="D22" s="8" t="s">
        <v>52</v>
      </c>
      <c r="E22" s="8" t="s">
        <v>53</v>
      </c>
      <c r="F22" s="8" t="s">
        <v>54</v>
      </c>
    </row>
    <row r="23" customHeight="1" spans="1:6">
      <c r="A23" s="6">
        <v>22</v>
      </c>
      <c r="B23" s="8" t="s">
        <v>50</v>
      </c>
      <c r="C23" s="8" t="s">
        <v>51</v>
      </c>
      <c r="D23" s="8" t="s">
        <v>52</v>
      </c>
      <c r="E23" s="8" t="s">
        <v>53</v>
      </c>
      <c r="F23" s="8" t="s">
        <v>54</v>
      </c>
    </row>
    <row r="24" customHeight="1" spans="1:6">
      <c r="A24" s="6">
        <v>23</v>
      </c>
      <c r="B24" s="8" t="s">
        <v>55</v>
      </c>
      <c r="C24" s="8" t="s">
        <v>56</v>
      </c>
      <c r="D24" s="8" t="s">
        <v>57</v>
      </c>
      <c r="E24" s="8" t="s">
        <v>58</v>
      </c>
      <c r="F24" s="8" t="s">
        <v>59</v>
      </c>
    </row>
    <row r="25" customHeight="1" spans="1:6">
      <c r="A25" s="6">
        <v>24</v>
      </c>
      <c r="B25" s="8" t="s">
        <v>55</v>
      </c>
      <c r="C25" s="8" t="s">
        <v>56</v>
      </c>
      <c r="D25" s="8" t="s">
        <v>57</v>
      </c>
      <c r="E25" s="8" t="s">
        <v>58</v>
      </c>
      <c r="F25" s="8" t="s">
        <v>59</v>
      </c>
    </row>
    <row r="26" customHeight="1" spans="1:6">
      <c r="A26" s="6">
        <v>25</v>
      </c>
      <c r="B26" s="8" t="s">
        <v>60</v>
      </c>
      <c r="C26" s="8" t="s">
        <v>61</v>
      </c>
      <c r="D26" s="8" t="s">
        <v>62</v>
      </c>
      <c r="E26" s="8" t="s">
        <v>53</v>
      </c>
      <c r="F26" s="8" t="s">
        <v>63</v>
      </c>
    </row>
    <row r="27" customHeight="1" spans="1:6">
      <c r="A27" s="6">
        <v>26</v>
      </c>
      <c r="B27" s="8" t="s">
        <v>60</v>
      </c>
      <c r="C27" s="8" t="s">
        <v>61</v>
      </c>
      <c r="D27" s="8" t="s">
        <v>62</v>
      </c>
      <c r="E27" s="8" t="s">
        <v>53</v>
      </c>
      <c r="F27" s="8" t="s">
        <v>63</v>
      </c>
    </row>
    <row r="28" customHeight="1" spans="1:6">
      <c r="A28" s="6">
        <v>27</v>
      </c>
      <c r="B28" s="8" t="s">
        <v>64</v>
      </c>
      <c r="C28" s="8" t="s">
        <v>65</v>
      </c>
      <c r="D28" s="8" t="s">
        <v>66</v>
      </c>
      <c r="E28" s="8" t="s">
        <v>53</v>
      </c>
      <c r="F28" s="8" t="s">
        <v>67</v>
      </c>
    </row>
    <row r="29" customHeight="1" spans="1:6">
      <c r="A29" s="6">
        <v>28</v>
      </c>
      <c r="B29" s="8" t="s">
        <v>64</v>
      </c>
      <c r="C29" s="8" t="s">
        <v>65</v>
      </c>
      <c r="D29" s="8" t="s">
        <v>66</v>
      </c>
      <c r="E29" s="8" t="s">
        <v>53</v>
      </c>
      <c r="F29" s="8" t="s">
        <v>67</v>
      </c>
    </row>
    <row r="30" customHeight="1" spans="1:6">
      <c r="A30" s="6">
        <v>29</v>
      </c>
      <c r="B30" s="8" t="s">
        <v>68</v>
      </c>
      <c r="C30" s="8" t="s">
        <v>69</v>
      </c>
      <c r="D30" s="8" t="s">
        <v>70</v>
      </c>
      <c r="E30" s="8" t="s">
        <v>71</v>
      </c>
      <c r="F30" s="8" t="s">
        <v>72</v>
      </c>
    </row>
    <row r="31" customHeight="1" spans="1:6">
      <c r="A31" s="6">
        <v>30</v>
      </c>
      <c r="B31" s="8" t="s">
        <v>68</v>
      </c>
      <c r="C31" s="8" t="s">
        <v>69</v>
      </c>
      <c r="D31" s="8" t="s">
        <v>70</v>
      </c>
      <c r="E31" s="8" t="s">
        <v>71</v>
      </c>
      <c r="F31" s="8" t="s">
        <v>72</v>
      </c>
    </row>
    <row r="32" customHeight="1" spans="1:6">
      <c r="A32" s="6">
        <v>31</v>
      </c>
      <c r="B32" s="8" t="s">
        <v>73</v>
      </c>
      <c r="C32" s="8" t="s">
        <v>74</v>
      </c>
      <c r="D32" s="8" t="s">
        <v>75</v>
      </c>
      <c r="E32" s="8" t="s">
        <v>76</v>
      </c>
      <c r="F32" s="8" t="s">
        <v>77</v>
      </c>
    </row>
    <row r="33" customHeight="1" spans="1:6">
      <c r="A33" s="6">
        <v>32</v>
      </c>
      <c r="B33" s="8" t="s">
        <v>73</v>
      </c>
      <c r="C33" s="8" t="s">
        <v>74</v>
      </c>
      <c r="D33" s="8" t="s">
        <v>75</v>
      </c>
      <c r="E33" s="8" t="s">
        <v>76</v>
      </c>
      <c r="F33" s="8" t="s">
        <v>77</v>
      </c>
    </row>
    <row r="34" customHeight="1" spans="1:6">
      <c r="A34" s="6">
        <v>33</v>
      </c>
      <c r="B34" s="8" t="s">
        <v>78</v>
      </c>
      <c r="C34" s="8" t="s">
        <v>79</v>
      </c>
      <c r="D34" s="8" t="s">
        <v>80</v>
      </c>
      <c r="E34" s="8" t="s">
        <v>71</v>
      </c>
      <c r="F34" s="8" t="s">
        <v>81</v>
      </c>
    </row>
    <row r="35" customHeight="1" spans="1:6">
      <c r="A35" s="6">
        <v>34</v>
      </c>
      <c r="B35" s="8" t="s">
        <v>78</v>
      </c>
      <c r="C35" s="8" t="s">
        <v>79</v>
      </c>
      <c r="D35" s="8" t="s">
        <v>80</v>
      </c>
      <c r="E35" s="8" t="s">
        <v>71</v>
      </c>
      <c r="F35" s="8" t="s">
        <v>81</v>
      </c>
    </row>
    <row r="36" customHeight="1" spans="1:6">
      <c r="A36" s="6">
        <v>35</v>
      </c>
      <c r="B36" s="8" t="s">
        <v>82</v>
      </c>
      <c r="C36" s="8" t="s">
        <v>83</v>
      </c>
      <c r="D36" s="8" t="s">
        <v>84</v>
      </c>
      <c r="E36" s="8" t="s">
        <v>71</v>
      </c>
      <c r="F36" s="8" t="s">
        <v>85</v>
      </c>
    </row>
    <row r="37" customHeight="1" spans="1:6">
      <c r="A37" s="6">
        <v>36</v>
      </c>
      <c r="B37" s="8" t="s">
        <v>82</v>
      </c>
      <c r="C37" s="8" t="s">
        <v>83</v>
      </c>
      <c r="D37" s="8" t="s">
        <v>84</v>
      </c>
      <c r="E37" s="8" t="s">
        <v>71</v>
      </c>
      <c r="F37" s="8" t="s">
        <v>85</v>
      </c>
    </row>
    <row r="38" customHeight="1" spans="1:6">
      <c r="A38" s="6">
        <v>37</v>
      </c>
      <c r="B38" s="8" t="s">
        <v>86</v>
      </c>
      <c r="C38" s="8" t="s">
        <v>87</v>
      </c>
      <c r="D38" s="8" t="s">
        <v>88</v>
      </c>
      <c r="E38" s="8" t="s">
        <v>76</v>
      </c>
      <c r="F38" s="8" t="s">
        <v>89</v>
      </c>
    </row>
    <row r="39" customHeight="1" spans="1:6">
      <c r="A39" s="6">
        <v>38</v>
      </c>
      <c r="B39" s="8" t="s">
        <v>86</v>
      </c>
      <c r="C39" s="8" t="s">
        <v>87</v>
      </c>
      <c r="D39" s="8" t="s">
        <v>88</v>
      </c>
      <c r="E39" s="8" t="s">
        <v>76</v>
      </c>
      <c r="F39" s="8" t="s">
        <v>89</v>
      </c>
    </row>
    <row r="40" customHeight="1" spans="1:6">
      <c r="A40" s="6">
        <v>39</v>
      </c>
      <c r="B40" s="8" t="s">
        <v>90</v>
      </c>
      <c r="C40" s="8" t="s">
        <v>91</v>
      </c>
      <c r="D40" s="8" t="s">
        <v>92</v>
      </c>
      <c r="E40" s="8" t="s">
        <v>76</v>
      </c>
      <c r="F40" s="8" t="s">
        <v>93</v>
      </c>
    </row>
    <row r="41" customHeight="1" spans="1:6">
      <c r="A41" s="6">
        <v>40</v>
      </c>
      <c r="B41" s="8" t="s">
        <v>90</v>
      </c>
      <c r="C41" s="8" t="s">
        <v>91</v>
      </c>
      <c r="D41" s="8" t="s">
        <v>92</v>
      </c>
      <c r="E41" s="8" t="s">
        <v>76</v>
      </c>
      <c r="F41" s="8" t="s">
        <v>93</v>
      </c>
    </row>
    <row r="42" customHeight="1" spans="1:6">
      <c r="A42" s="6">
        <v>41</v>
      </c>
      <c r="B42" s="8" t="s">
        <v>94</v>
      </c>
      <c r="C42" s="8" t="s">
        <v>95</v>
      </c>
      <c r="D42" s="8" t="s">
        <v>96</v>
      </c>
      <c r="E42" s="8" t="s">
        <v>76</v>
      </c>
      <c r="F42" s="8" t="s">
        <v>97</v>
      </c>
    </row>
    <row r="43" customHeight="1" spans="1:6">
      <c r="A43" s="6">
        <v>42</v>
      </c>
      <c r="B43" s="8" t="s">
        <v>94</v>
      </c>
      <c r="C43" s="8" t="s">
        <v>95</v>
      </c>
      <c r="D43" s="8" t="s">
        <v>96</v>
      </c>
      <c r="E43" s="8" t="s">
        <v>76</v>
      </c>
      <c r="F43" s="8" t="s">
        <v>97</v>
      </c>
    </row>
    <row r="44" customHeight="1" spans="1:6">
      <c r="A44" s="6">
        <v>43</v>
      </c>
      <c r="B44" s="8" t="s">
        <v>98</v>
      </c>
      <c r="C44" s="8" t="s">
        <v>99</v>
      </c>
      <c r="D44" s="8" t="s">
        <v>100</v>
      </c>
      <c r="E44" s="8" t="s">
        <v>76</v>
      </c>
      <c r="F44" s="8" t="s">
        <v>101</v>
      </c>
    </row>
    <row r="45" customHeight="1" spans="1:6">
      <c r="A45" s="6">
        <v>44</v>
      </c>
      <c r="B45" s="8" t="s">
        <v>98</v>
      </c>
      <c r="C45" s="8" t="s">
        <v>99</v>
      </c>
      <c r="D45" s="8" t="s">
        <v>100</v>
      </c>
      <c r="E45" s="8" t="s">
        <v>76</v>
      </c>
      <c r="F45" s="8" t="s">
        <v>101</v>
      </c>
    </row>
    <row r="46" customHeight="1" spans="1:6">
      <c r="A46" s="6">
        <v>45</v>
      </c>
      <c r="B46" s="8" t="s">
        <v>102</v>
      </c>
      <c r="C46" s="8" t="s">
        <v>103</v>
      </c>
      <c r="D46" s="8" t="s">
        <v>104</v>
      </c>
      <c r="E46" s="8" t="s">
        <v>76</v>
      </c>
      <c r="F46" s="8" t="s">
        <v>105</v>
      </c>
    </row>
    <row r="47" customHeight="1" spans="1:6">
      <c r="A47" s="6">
        <v>46</v>
      </c>
      <c r="B47" s="8" t="s">
        <v>102</v>
      </c>
      <c r="C47" s="8" t="s">
        <v>103</v>
      </c>
      <c r="D47" s="8" t="s">
        <v>104</v>
      </c>
      <c r="E47" s="8" t="s">
        <v>76</v>
      </c>
      <c r="F47" s="8" t="s">
        <v>105</v>
      </c>
    </row>
    <row r="48" customHeight="1" spans="1:6">
      <c r="A48" s="6">
        <v>47</v>
      </c>
      <c r="B48" s="8" t="s">
        <v>106</v>
      </c>
      <c r="C48" s="8" t="s">
        <v>107</v>
      </c>
      <c r="D48" s="8" t="s">
        <v>108</v>
      </c>
      <c r="E48" s="8" t="s">
        <v>76</v>
      </c>
      <c r="F48" s="8" t="s">
        <v>109</v>
      </c>
    </row>
    <row r="49" customHeight="1" spans="1:6">
      <c r="A49" s="6">
        <v>48</v>
      </c>
      <c r="B49" s="8" t="s">
        <v>106</v>
      </c>
      <c r="C49" s="8" t="s">
        <v>107</v>
      </c>
      <c r="D49" s="8" t="s">
        <v>108</v>
      </c>
      <c r="E49" s="8" t="s">
        <v>76</v>
      </c>
      <c r="F49" s="8" t="s">
        <v>109</v>
      </c>
    </row>
    <row r="50" customHeight="1" spans="1:6">
      <c r="A50" s="6">
        <v>49</v>
      </c>
      <c r="B50" s="8" t="s">
        <v>110</v>
      </c>
      <c r="C50" s="8" t="s">
        <v>111</v>
      </c>
      <c r="D50" s="8" t="s">
        <v>112</v>
      </c>
      <c r="E50" s="8" t="s">
        <v>76</v>
      </c>
      <c r="F50" s="8" t="s">
        <v>113</v>
      </c>
    </row>
    <row r="51" customHeight="1" spans="1:6">
      <c r="A51" s="6">
        <v>50</v>
      </c>
      <c r="B51" s="8" t="s">
        <v>110</v>
      </c>
      <c r="C51" s="8" t="s">
        <v>111</v>
      </c>
      <c r="D51" s="8" t="s">
        <v>112</v>
      </c>
      <c r="E51" s="8" t="s">
        <v>76</v>
      </c>
      <c r="F51" s="8" t="s">
        <v>113</v>
      </c>
    </row>
    <row r="52" customHeight="1" spans="1:6">
      <c r="A52" s="6">
        <v>51</v>
      </c>
      <c r="B52" s="8" t="s">
        <v>114</v>
      </c>
      <c r="C52" s="8" t="s">
        <v>115</v>
      </c>
      <c r="D52" s="8" t="s">
        <v>116</v>
      </c>
      <c r="E52" s="8" t="s">
        <v>76</v>
      </c>
      <c r="F52" s="8" t="s">
        <v>117</v>
      </c>
    </row>
    <row r="53" customHeight="1" spans="1:6">
      <c r="A53" s="6">
        <v>52</v>
      </c>
      <c r="B53" s="8" t="s">
        <v>114</v>
      </c>
      <c r="C53" s="8" t="s">
        <v>115</v>
      </c>
      <c r="D53" s="8" t="s">
        <v>116</v>
      </c>
      <c r="E53" s="8" t="s">
        <v>76</v>
      </c>
      <c r="F53" s="8" t="s">
        <v>117</v>
      </c>
    </row>
    <row r="54" customHeight="1" spans="1:6">
      <c r="A54" s="6">
        <v>53</v>
      </c>
      <c r="B54" s="8" t="s">
        <v>118</v>
      </c>
      <c r="C54" s="8" t="s">
        <v>119</v>
      </c>
      <c r="D54" s="8" t="s">
        <v>120</v>
      </c>
      <c r="E54" s="8" t="s">
        <v>76</v>
      </c>
      <c r="F54" s="8" t="s">
        <v>121</v>
      </c>
    </row>
    <row r="55" customHeight="1" spans="1:6">
      <c r="A55" s="6">
        <v>54</v>
      </c>
      <c r="B55" s="8" t="s">
        <v>118</v>
      </c>
      <c r="C55" s="8" t="s">
        <v>119</v>
      </c>
      <c r="D55" s="8" t="s">
        <v>120</v>
      </c>
      <c r="E55" s="8" t="s">
        <v>76</v>
      </c>
      <c r="F55" s="8" t="s">
        <v>121</v>
      </c>
    </row>
    <row r="56" customHeight="1" spans="1:6">
      <c r="A56" s="6">
        <v>55</v>
      </c>
      <c r="B56" s="8" t="s">
        <v>122</v>
      </c>
      <c r="C56" s="8" t="s">
        <v>123</v>
      </c>
      <c r="D56" s="8" t="s">
        <v>124</v>
      </c>
      <c r="E56" s="8" t="s">
        <v>76</v>
      </c>
      <c r="F56" s="8" t="s">
        <v>125</v>
      </c>
    </row>
    <row r="57" customHeight="1" spans="1:6">
      <c r="A57" s="6">
        <v>56</v>
      </c>
      <c r="B57" s="8" t="s">
        <v>122</v>
      </c>
      <c r="C57" s="8" t="s">
        <v>123</v>
      </c>
      <c r="D57" s="8" t="s">
        <v>124</v>
      </c>
      <c r="E57" s="8" t="s">
        <v>76</v>
      </c>
      <c r="F57" s="8" t="s">
        <v>125</v>
      </c>
    </row>
    <row r="58" customHeight="1" spans="1:6">
      <c r="A58" s="6">
        <v>57</v>
      </c>
      <c r="B58" s="8" t="s">
        <v>126</v>
      </c>
      <c r="C58" s="8" t="s">
        <v>127</v>
      </c>
      <c r="D58" s="8" t="s">
        <v>128</v>
      </c>
      <c r="E58" s="8" t="s">
        <v>43</v>
      </c>
      <c r="F58" s="8" t="s">
        <v>129</v>
      </c>
    </row>
    <row r="59" customHeight="1" spans="1:6">
      <c r="A59" s="6">
        <v>58</v>
      </c>
      <c r="B59" s="8" t="s">
        <v>126</v>
      </c>
      <c r="C59" s="8" t="s">
        <v>127</v>
      </c>
      <c r="D59" s="8" t="s">
        <v>128</v>
      </c>
      <c r="E59" s="8" t="s">
        <v>43</v>
      </c>
      <c r="F59" s="8" t="s">
        <v>129</v>
      </c>
    </row>
    <row r="60" customHeight="1" spans="1:6">
      <c r="A60" s="6">
        <v>59</v>
      </c>
      <c r="B60" s="8" t="s">
        <v>130</v>
      </c>
      <c r="C60" s="8" t="s">
        <v>131</v>
      </c>
      <c r="D60" s="8" t="s">
        <v>132</v>
      </c>
      <c r="E60" s="8" t="s">
        <v>43</v>
      </c>
      <c r="F60" s="8" t="s">
        <v>133</v>
      </c>
    </row>
    <row r="61" customHeight="1" spans="1:6">
      <c r="A61" s="6">
        <v>60</v>
      </c>
      <c r="B61" s="8" t="s">
        <v>130</v>
      </c>
      <c r="C61" s="8" t="s">
        <v>131</v>
      </c>
      <c r="D61" s="8" t="s">
        <v>132</v>
      </c>
      <c r="E61" s="8" t="s">
        <v>43</v>
      </c>
      <c r="F61" s="8" t="s">
        <v>133</v>
      </c>
    </row>
    <row r="62" customHeight="1" spans="1:6">
      <c r="A62" s="6">
        <v>61</v>
      </c>
      <c r="B62" s="8" t="s">
        <v>134</v>
      </c>
      <c r="C62" s="8" t="s">
        <v>135</v>
      </c>
      <c r="D62" s="8" t="s">
        <v>136</v>
      </c>
      <c r="E62" s="8" t="s">
        <v>43</v>
      </c>
      <c r="F62" s="8" t="s">
        <v>137</v>
      </c>
    </row>
    <row r="63" customHeight="1" spans="1:6">
      <c r="A63" s="6">
        <v>62</v>
      </c>
      <c r="B63" s="8" t="s">
        <v>134</v>
      </c>
      <c r="C63" s="8" t="s">
        <v>135</v>
      </c>
      <c r="D63" s="8" t="s">
        <v>136</v>
      </c>
      <c r="E63" s="8" t="s">
        <v>43</v>
      </c>
      <c r="F63" s="8" t="s">
        <v>137</v>
      </c>
    </row>
    <row r="64" customHeight="1" spans="1:6">
      <c r="A64" s="6">
        <v>63</v>
      </c>
      <c r="B64" s="8" t="s">
        <v>138</v>
      </c>
      <c r="C64" s="8" t="s">
        <v>139</v>
      </c>
      <c r="D64" s="8" t="s">
        <v>140</v>
      </c>
      <c r="E64" s="8" t="s">
        <v>23</v>
      </c>
      <c r="F64" s="8" t="s">
        <v>141</v>
      </c>
    </row>
    <row r="65" customHeight="1" spans="1:6">
      <c r="A65" s="6">
        <v>64</v>
      </c>
      <c r="B65" s="8" t="s">
        <v>138</v>
      </c>
      <c r="C65" s="8" t="s">
        <v>139</v>
      </c>
      <c r="D65" s="8" t="s">
        <v>140</v>
      </c>
      <c r="E65" s="8" t="s">
        <v>23</v>
      </c>
      <c r="F65" s="8" t="s">
        <v>141</v>
      </c>
    </row>
    <row r="66" customHeight="1" spans="1:6">
      <c r="A66" s="6">
        <v>65</v>
      </c>
      <c r="B66" s="8" t="s">
        <v>142</v>
      </c>
      <c r="C66" s="8" t="s">
        <v>143</v>
      </c>
      <c r="D66" s="8" t="s">
        <v>144</v>
      </c>
      <c r="E66" s="8" t="s">
        <v>145</v>
      </c>
      <c r="F66" s="8" t="s">
        <v>146</v>
      </c>
    </row>
    <row r="67" customHeight="1" spans="1:6">
      <c r="A67" s="6">
        <v>66</v>
      </c>
      <c r="B67" s="8" t="s">
        <v>142</v>
      </c>
      <c r="C67" s="8" t="s">
        <v>143</v>
      </c>
      <c r="D67" s="8" t="s">
        <v>144</v>
      </c>
      <c r="E67" s="8" t="s">
        <v>145</v>
      </c>
      <c r="F67" s="8" t="s">
        <v>146</v>
      </c>
    </row>
    <row r="68" customHeight="1" spans="1:6">
      <c r="A68" s="6">
        <v>67</v>
      </c>
      <c r="B68" s="8" t="s">
        <v>147</v>
      </c>
      <c r="C68" s="8" t="s">
        <v>148</v>
      </c>
      <c r="D68" s="8" t="s">
        <v>149</v>
      </c>
      <c r="E68" s="8" t="s">
        <v>150</v>
      </c>
      <c r="F68" s="8" t="s">
        <v>151</v>
      </c>
    </row>
    <row r="69" customHeight="1" spans="1:6">
      <c r="A69" s="6">
        <v>68</v>
      </c>
      <c r="B69" s="8" t="s">
        <v>147</v>
      </c>
      <c r="C69" s="8" t="s">
        <v>148</v>
      </c>
      <c r="D69" s="8" t="s">
        <v>149</v>
      </c>
      <c r="E69" s="8" t="s">
        <v>150</v>
      </c>
      <c r="F69" s="8" t="s">
        <v>151</v>
      </c>
    </row>
    <row r="70" customHeight="1" spans="1:6">
      <c r="A70" s="6">
        <v>69</v>
      </c>
      <c r="B70" s="8" t="s">
        <v>152</v>
      </c>
      <c r="C70" s="8" t="s">
        <v>153</v>
      </c>
      <c r="D70" s="8" t="s">
        <v>154</v>
      </c>
      <c r="E70" s="8" t="s">
        <v>58</v>
      </c>
      <c r="F70" s="8" t="s">
        <v>155</v>
      </c>
    </row>
    <row r="71" customHeight="1" spans="1:6">
      <c r="A71" s="6">
        <v>70</v>
      </c>
      <c r="B71" s="8" t="s">
        <v>152</v>
      </c>
      <c r="C71" s="8" t="s">
        <v>153</v>
      </c>
      <c r="D71" s="8" t="s">
        <v>154</v>
      </c>
      <c r="E71" s="8" t="s">
        <v>58</v>
      </c>
      <c r="F71" s="8" t="s">
        <v>155</v>
      </c>
    </row>
    <row r="72" customHeight="1" spans="1:6">
      <c r="A72" s="6">
        <v>71</v>
      </c>
      <c r="B72" s="8" t="s">
        <v>156</v>
      </c>
      <c r="C72" s="8" t="s">
        <v>157</v>
      </c>
      <c r="D72" s="8" t="s">
        <v>158</v>
      </c>
      <c r="E72" s="8" t="s">
        <v>23</v>
      </c>
      <c r="F72" s="8" t="s">
        <v>159</v>
      </c>
    </row>
    <row r="73" customHeight="1" spans="1:6">
      <c r="A73" s="6">
        <v>72</v>
      </c>
      <c r="B73" s="8" t="s">
        <v>156</v>
      </c>
      <c r="C73" s="8" t="s">
        <v>157</v>
      </c>
      <c r="D73" s="8" t="s">
        <v>158</v>
      </c>
      <c r="E73" s="8" t="s">
        <v>23</v>
      </c>
      <c r="F73" s="8" t="s">
        <v>159</v>
      </c>
    </row>
    <row r="74" customHeight="1" spans="1:6">
      <c r="A74" s="6">
        <v>73</v>
      </c>
      <c r="B74" s="8" t="s">
        <v>160</v>
      </c>
      <c r="C74" s="8" t="s">
        <v>161</v>
      </c>
      <c r="D74" s="8" t="s">
        <v>162</v>
      </c>
      <c r="E74" s="8" t="s">
        <v>23</v>
      </c>
      <c r="F74" s="8" t="s">
        <v>163</v>
      </c>
    </row>
    <row r="75" customHeight="1" spans="1:6">
      <c r="A75" s="6">
        <v>74</v>
      </c>
      <c r="B75" s="8" t="s">
        <v>160</v>
      </c>
      <c r="C75" s="8" t="s">
        <v>161</v>
      </c>
      <c r="D75" s="8" t="s">
        <v>162</v>
      </c>
      <c r="E75" s="8" t="s">
        <v>23</v>
      </c>
      <c r="F75" s="8" t="s">
        <v>163</v>
      </c>
    </row>
    <row r="76" customHeight="1" spans="1:6">
      <c r="A76" s="6">
        <v>75</v>
      </c>
      <c r="B76" s="8" t="s">
        <v>164</v>
      </c>
      <c r="C76" s="8" t="s">
        <v>165</v>
      </c>
      <c r="D76" s="8" t="s">
        <v>166</v>
      </c>
      <c r="E76" s="8" t="s">
        <v>23</v>
      </c>
      <c r="F76" s="8" t="s">
        <v>167</v>
      </c>
    </row>
    <row r="77" customHeight="1" spans="1:6">
      <c r="A77" s="6">
        <v>76</v>
      </c>
      <c r="B77" s="8" t="s">
        <v>164</v>
      </c>
      <c r="C77" s="8" t="s">
        <v>165</v>
      </c>
      <c r="D77" s="8" t="s">
        <v>166</v>
      </c>
      <c r="E77" s="8" t="s">
        <v>23</v>
      </c>
      <c r="F77" s="8" t="s">
        <v>167</v>
      </c>
    </row>
    <row r="78" customHeight="1" spans="1:6">
      <c r="A78" s="6">
        <v>77</v>
      </c>
      <c r="B78" s="8" t="s">
        <v>168</v>
      </c>
      <c r="C78" s="8" t="s">
        <v>169</v>
      </c>
      <c r="D78" s="8" t="s">
        <v>170</v>
      </c>
      <c r="E78" s="8" t="s">
        <v>23</v>
      </c>
      <c r="F78" s="8" t="s">
        <v>171</v>
      </c>
    </row>
    <row r="79" customHeight="1" spans="1:6">
      <c r="A79" s="6">
        <v>78</v>
      </c>
      <c r="B79" s="8" t="s">
        <v>168</v>
      </c>
      <c r="C79" s="8" t="s">
        <v>169</v>
      </c>
      <c r="D79" s="8" t="s">
        <v>170</v>
      </c>
      <c r="E79" s="8" t="s">
        <v>23</v>
      </c>
      <c r="F79" s="8" t="s">
        <v>171</v>
      </c>
    </row>
    <row r="80" customHeight="1" spans="1:6">
      <c r="A80" s="6">
        <v>79</v>
      </c>
      <c r="B80" s="8" t="s">
        <v>172</v>
      </c>
      <c r="C80" s="8" t="s">
        <v>173</v>
      </c>
      <c r="D80" s="8" t="s">
        <v>174</v>
      </c>
      <c r="E80" s="8" t="s">
        <v>76</v>
      </c>
      <c r="F80" s="8" t="s">
        <v>175</v>
      </c>
    </row>
    <row r="81" customHeight="1" spans="1:6">
      <c r="A81" s="6">
        <v>80</v>
      </c>
      <c r="B81" s="8" t="s">
        <v>172</v>
      </c>
      <c r="C81" s="8" t="s">
        <v>173</v>
      </c>
      <c r="D81" s="8" t="s">
        <v>174</v>
      </c>
      <c r="E81" s="8" t="s">
        <v>76</v>
      </c>
      <c r="F81" s="8" t="s">
        <v>175</v>
      </c>
    </row>
    <row r="82" customHeight="1" spans="1:6">
      <c r="A82" s="6">
        <v>81</v>
      </c>
      <c r="B82" s="8" t="s">
        <v>176</v>
      </c>
      <c r="C82" s="8" t="s">
        <v>177</v>
      </c>
      <c r="D82" s="8" t="s">
        <v>178</v>
      </c>
      <c r="E82" s="8" t="s">
        <v>3</v>
      </c>
      <c r="F82" s="8" t="s">
        <v>179</v>
      </c>
    </row>
    <row r="83" customHeight="1" spans="1:6">
      <c r="A83" s="6">
        <v>82</v>
      </c>
      <c r="B83" s="8" t="s">
        <v>176</v>
      </c>
      <c r="C83" s="8" t="s">
        <v>177</v>
      </c>
      <c r="D83" s="8" t="s">
        <v>178</v>
      </c>
      <c r="E83" s="8" t="s">
        <v>3</v>
      </c>
      <c r="F83" s="8" t="s">
        <v>179</v>
      </c>
    </row>
    <row r="84" customHeight="1" spans="1:6">
      <c r="A84" s="6">
        <v>83</v>
      </c>
      <c r="B84" s="8" t="s">
        <v>180</v>
      </c>
      <c r="C84" s="8" t="s">
        <v>181</v>
      </c>
      <c r="D84" s="8" t="s">
        <v>182</v>
      </c>
      <c r="E84" s="8" t="s">
        <v>145</v>
      </c>
      <c r="F84" s="8" t="s">
        <v>183</v>
      </c>
    </row>
    <row r="85" customHeight="1" spans="1:6">
      <c r="A85" s="6">
        <v>84</v>
      </c>
      <c r="B85" s="8" t="s">
        <v>180</v>
      </c>
      <c r="C85" s="8" t="s">
        <v>181</v>
      </c>
      <c r="D85" s="8" t="s">
        <v>182</v>
      </c>
      <c r="E85" s="8" t="s">
        <v>145</v>
      </c>
      <c r="F85" s="8" t="s">
        <v>183</v>
      </c>
    </row>
    <row r="86" customHeight="1" spans="1:6">
      <c r="A86" s="6">
        <v>85</v>
      </c>
      <c r="B86" s="8" t="s">
        <v>184</v>
      </c>
      <c r="C86" s="8" t="s">
        <v>181</v>
      </c>
      <c r="D86" s="8" t="s">
        <v>182</v>
      </c>
      <c r="E86" s="8" t="s">
        <v>3</v>
      </c>
      <c r="F86" s="8" t="s">
        <v>185</v>
      </c>
    </row>
    <row r="87" customHeight="1" spans="1:6">
      <c r="A87" s="6">
        <v>86</v>
      </c>
      <c r="B87" s="8" t="s">
        <v>184</v>
      </c>
      <c r="C87" s="8" t="s">
        <v>181</v>
      </c>
      <c r="D87" s="8" t="s">
        <v>182</v>
      </c>
      <c r="E87" s="8" t="s">
        <v>3</v>
      </c>
      <c r="F87" s="8" t="s">
        <v>185</v>
      </c>
    </row>
    <row r="88" customHeight="1" spans="1:6">
      <c r="A88" s="6">
        <v>87</v>
      </c>
      <c r="B88" s="8" t="s">
        <v>186</v>
      </c>
      <c r="C88" s="8" t="s">
        <v>187</v>
      </c>
      <c r="D88" s="8" t="s">
        <v>188</v>
      </c>
      <c r="E88" s="8" t="s">
        <v>189</v>
      </c>
      <c r="F88" s="8" t="s">
        <v>190</v>
      </c>
    </row>
    <row r="89" customHeight="1" spans="1:6">
      <c r="A89" s="6">
        <v>88</v>
      </c>
      <c r="B89" s="8" t="s">
        <v>186</v>
      </c>
      <c r="C89" s="8" t="s">
        <v>187</v>
      </c>
      <c r="D89" s="8" t="s">
        <v>188</v>
      </c>
      <c r="E89" s="8" t="s">
        <v>189</v>
      </c>
      <c r="F89" s="8" t="s">
        <v>190</v>
      </c>
    </row>
    <row r="90" customHeight="1" spans="1:6">
      <c r="A90" s="6">
        <v>89</v>
      </c>
      <c r="B90" s="8" t="s">
        <v>191</v>
      </c>
      <c r="C90" s="8" t="s">
        <v>192</v>
      </c>
      <c r="D90" s="8" t="s">
        <v>92</v>
      </c>
      <c r="E90" s="8" t="s">
        <v>76</v>
      </c>
      <c r="F90" s="8" t="s">
        <v>193</v>
      </c>
    </row>
    <row r="91" customHeight="1" spans="1:6">
      <c r="A91" s="6">
        <v>90</v>
      </c>
      <c r="B91" s="8" t="s">
        <v>191</v>
      </c>
      <c r="C91" s="8" t="s">
        <v>192</v>
      </c>
      <c r="D91" s="8" t="s">
        <v>92</v>
      </c>
      <c r="E91" s="8" t="s">
        <v>76</v>
      </c>
      <c r="F91" s="8" t="s">
        <v>193</v>
      </c>
    </row>
    <row r="92" customHeight="1" spans="1:6">
      <c r="A92" s="6">
        <v>91</v>
      </c>
      <c r="B92" s="7" t="str">
        <f>"978-7-5223-0046-7"</f>
        <v>978-7-5223-0046-7</v>
      </c>
      <c r="C92" s="7" t="str">
        <f>"漫步马克思思想长廊"</f>
        <v>漫步马克思思想长廊</v>
      </c>
      <c r="D92" s="7" t="str">
        <f>"郝立新等著"</f>
        <v>郝立新等著</v>
      </c>
      <c r="E92" s="7" t="str">
        <f>"中国财政经济出版社"</f>
        <v>中国财政经济出版社</v>
      </c>
      <c r="F92" s="7" t="str">
        <f>"A81/938"</f>
        <v>A81/938</v>
      </c>
    </row>
    <row r="93" customHeight="1" spans="1:6">
      <c r="A93" s="6">
        <v>92</v>
      </c>
      <c r="B93" s="7" t="str">
        <f>"978-7-5223-0046-7"</f>
        <v>978-7-5223-0046-7</v>
      </c>
      <c r="C93" s="7" t="str">
        <f>"漫步马克思思想长廊"</f>
        <v>漫步马克思思想长廊</v>
      </c>
      <c r="D93" s="7" t="str">
        <f>"郝立新等著"</f>
        <v>郝立新等著</v>
      </c>
      <c r="E93" s="7" t="str">
        <f>"中国财政经济出版社"</f>
        <v>中国财政经济出版社</v>
      </c>
      <c r="F93" s="7" t="str">
        <f>"A81/938"</f>
        <v>A81/938</v>
      </c>
    </row>
    <row r="94" customHeight="1" spans="1:6">
      <c r="A94" s="6">
        <v>93</v>
      </c>
      <c r="B94" s="7" t="str">
        <f>"978-7-100-20078-3"</f>
        <v>978-7-100-20078-3</v>
      </c>
      <c r="C94" s="7" t="str">
        <f>"邓小平与中国共产党百年历程"</f>
        <v>邓小平与中国共产党百年历程</v>
      </c>
      <c r="D94" s="7" t="str">
        <f>"张曙著"</f>
        <v>张曙著</v>
      </c>
      <c r="E94" s="7" t="str">
        <f>"商务印书馆"</f>
        <v>商务印书馆</v>
      </c>
      <c r="F94" s="7" t="str">
        <f>"A762/49"</f>
        <v>A762/49</v>
      </c>
    </row>
    <row r="95" customHeight="1" spans="1:6">
      <c r="A95" s="6">
        <v>94</v>
      </c>
      <c r="B95" s="7" t="str">
        <f>"978-7-100-20078-3"</f>
        <v>978-7-100-20078-3</v>
      </c>
      <c r="C95" s="7" t="str">
        <f>"邓小平与中国共产党百年历程"</f>
        <v>邓小平与中国共产党百年历程</v>
      </c>
      <c r="D95" s="7" t="str">
        <f>"张曙著"</f>
        <v>张曙著</v>
      </c>
      <c r="E95" s="7" t="str">
        <f>"商务印书馆"</f>
        <v>商务印书馆</v>
      </c>
      <c r="F95" s="7" t="str">
        <f>"A762/49"</f>
        <v>A762/49</v>
      </c>
    </row>
    <row r="96" customHeight="1" spans="1:6">
      <c r="A96" s="6">
        <v>95</v>
      </c>
      <c r="B96" s="7" t="str">
        <f t="shared" ref="B96:B98" si="0">"978-7-01-022649-1"</f>
        <v>978-7-01-022649-1</v>
      </c>
      <c r="C96" s="7" t="str">
        <f t="shared" ref="C96:C98" si="1">"中国有个毛泽东"</f>
        <v>中国有个毛泽东</v>
      </c>
      <c r="D96" s="7" t="str">
        <f t="shared" ref="D96:D98" si="2">"李捷著"</f>
        <v>李捷著</v>
      </c>
      <c r="E96" s="7" t="str">
        <f t="shared" ref="E96:E98" si="3">"人民出版社"</f>
        <v>人民出版社</v>
      </c>
      <c r="F96" s="7" t="str">
        <f t="shared" ref="F96:F98" si="4">"A752/346"</f>
        <v>A752/346</v>
      </c>
    </row>
    <row r="97" customHeight="1" spans="1:6">
      <c r="A97" s="6">
        <v>96</v>
      </c>
      <c r="B97" s="7" t="str">
        <f t="shared" si="0"/>
        <v>978-7-01-022649-1</v>
      </c>
      <c r="C97" s="7" t="str">
        <f t="shared" si="1"/>
        <v>中国有个毛泽东</v>
      </c>
      <c r="D97" s="7" t="str">
        <f t="shared" si="2"/>
        <v>李捷著</v>
      </c>
      <c r="E97" s="7" t="str">
        <f t="shared" si="3"/>
        <v>人民出版社</v>
      </c>
      <c r="F97" s="7" t="str">
        <f t="shared" si="4"/>
        <v>A752/346</v>
      </c>
    </row>
    <row r="98" customHeight="1" spans="1:6">
      <c r="A98" s="6">
        <v>97</v>
      </c>
      <c r="B98" s="7" t="str">
        <f t="shared" si="0"/>
        <v>978-7-01-022649-1</v>
      </c>
      <c r="C98" s="7" t="str">
        <f t="shared" si="1"/>
        <v>中国有个毛泽东</v>
      </c>
      <c r="D98" s="7" t="str">
        <f t="shared" si="2"/>
        <v>李捷著</v>
      </c>
      <c r="E98" s="7" t="str">
        <f t="shared" si="3"/>
        <v>人民出版社</v>
      </c>
      <c r="F98" s="7" t="str">
        <f t="shared" si="4"/>
        <v>A752/346</v>
      </c>
    </row>
    <row r="99" customHeight="1" spans="1:6">
      <c r="A99" s="6">
        <v>98</v>
      </c>
      <c r="B99" s="7" t="str">
        <f>"978-7-03-068162-1"</f>
        <v>978-7-03-068162-1</v>
      </c>
      <c r="C99" s="7" t="str">
        <f>"《共产党宣言》汉译本与马克思主义话语中国化研究"</f>
        <v>《共产党宣言》汉译本与马克思主义话语中国化研究</v>
      </c>
      <c r="D99" s="7" t="str">
        <f>"陈红娟著"</f>
        <v>陈红娟著</v>
      </c>
      <c r="E99" s="7" t="str">
        <f>"科学出版社"</f>
        <v>科学出版社</v>
      </c>
      <c r="F99" s="7" t="str">
        <f>"A811.22/23"</f>
        <v>A811.22/23</v>
      </c>
    </row>
    <row r="100" customHeight="1" spans="1:6">
      <c r="A100" s="6">
        <v>99</v>
      </c>
      <c r="B100" s="7" t="str">
        <f>"978-7-03-068162-1"</f>
        <v>978-7-03-068162-1</v>
      </c>
      <c r="C100" s="7" t="str">
        <f>"《共产党宣言》汉译本与马克思主义话语中国化研究"</f>
        <v>《共产党宣言》汉译本与马克思主义话语中国化研究</v>
      </c>
      <c r="D100" s="7" t="str">
        <f>"陈红娟著"</f>
        <v>陈红娟著</v>
      </c>
      <c r="E100" s="7" t="str">
        <f>"科学出版社"</f>
        <v>科学出版社</v>
      </c>
      <c r="F100" s="7" t="str">
        <f>"A811.22/23"</f>
        <v>A811.22/23</v>
      </c>
    </row>
    <row r="101" customHeight="1" spans="1:6">
      <c r="A101" s="6">
        <v>100</v>
      </c>
      <c r="B101" s="7" t="str">
        <f>"978-7-205-10167-1"</f>
        <v>978-7-205-10167-1</v>
      </c>
      <c r="C101" s="7" t="str">
        <f>"《唯物主义与经验批判主义》傅子东译本考"</f>
        <v>《唯物主义与经验批判主义》傅子东译本考</v>
      </c>
      <c r="D101" s="7" t="str">
        <f>"吴宏政著"</f>
        <v>吴宏政著</v>
      </c>
      <c r="E101" s="7" t="str">
        <f>"辽宁人民出版社"</f>
        <v>辽宁人民出版社</v>
      </c>
      <c r="F101" s="7" t="str">
        <f>"A821/7"</f>
        <v>A821/7</v>
      </c>
    </row>
    <row r="102" customHeight="1" spans="1:6">
      <c r="A102" s="6">
        <v>101</v>
      </c>
      <c r="B102" s="7" t="str">
        <f>"978-7-205-10167-1"</f>
        <v>978-7-205-10167-1</v>
      </c>
      <c r="C102" s="7" t="str">
        <f>"《唯物主义与经验批判主义》傅子东译本考"</f>
        <v>《唯物主义与经验批判主义》傅子东译本考</v>
      </c>
      <c r="D102" s="7" t="str">
        <f>"吴宏政著"</f>
        <v>吴宏政著</v>
      </c>
      <c r="E102" s="7" t="str">
        <f>"辽宁人民出版社"</f>
        <v>辽宁人民出版社</v>
      </c>
      <c r="F102" s="7" t="str">
        <f>"A821/7"</f>
        <v>A821/7</v>
      </c>
    </row>
    <row r="103" customHeight="1" spans="1:6">
      <c r="A103" s="6">
        <v>102</v>
      </c>
      <c r="B103" s="7" t="str">
        <f>"978-7-5117-3974-2"</f>
        <v>978-7-5117-3974-2</v>
      </c>
      <c r="C103" s="7" t="str">
        <f>"世界马克思主义时代化解读"</f>
        <v>世界马克思主义时代化解读</v>
      </c>
      <c r="D103" s="7" t="str">
        <f>"刘学芝著"</f>
        <v>刘学芝著</v>
      </c>
      <c r="E103" s="7" t="str">
        <f>"中央编译出版社"</f>
        <v>中央编译出版社</v>
      </c>
      <c r="F103" s="7" t="str">
        <f>"A81/939"</f>
        <v>A81/939</v>
      </c>
    </row>
    <row r="104" customHeight="1" spans="1:6">
      <c r="A104" s="6">
        <v>103</v>
      </c>
      <c r="B104" s="7" t="str">
        <f>"978-7-5117-3974-2"</f>
        <v>978-7-5117-3974-2</v>
      </c>
      <c r="C104" s="7" t="str">
        <f>"世界马克思主义时代化解读"</f>
        <v>世界马克思主义时代化解读</v>
      </c>
      <c r="D104" s="7" t="str">
        <f>"刘学芝著"</f>
        <v>刘学芝著</v>
      </c>
      <c r="E104" s="7" t="str">
        <f>"中央编译出版社"</f>
        <v>中央编译出版社</v>
      </c>
      <c r="F104" s="7" t="str">
        <f>"A81/939"</f>
        <v>A81/939</v>
      </c>
    </row>
    <row r="105" customHeight="1" spans="1:6">
      <c r="A105" s="6">
        <v>104</v>
      </c>
      <c r="B105" s="7" t="str">
        <f t="shared" ref="B105:B107" si="5">"978-7-01-014293-7"</f>
        <v>978-7-01-014293-7</v>
      </c>
      <c r="C105" s="7" t="str">
        <f t="shared" ref="C105:C107" si="6">"胡乔木回忆毛泽东"</f>
        <v>胡乔木回忆毛泽东</v>
      </c>
      <c r="D105" s="7" t="str">
        <f t="shared" ref="D105:D107" si="7">"胡乔木著"</f>
        <v>胡乔木著</v>
      </c>
      <c r="E105" s="7" t="str">
        <f t="shared" ref="E105:E113" si="8">"人民出版社"</f>
        <v>人民出版社</v>
      </c>
      <c r="F105" s="7" t="str">
        <f t="shared" ref="F105:F107" si="9">"A752/347=2D"</f>
        <v>A752/347=2D</v>
      </c>
    </row>
    <row r="106" customHeight="1" spans="1:6">
      <c r="A106" s="6">
        <v>105</v>
      </c>
      <c r="B106" s="7" t="str">
        <f t="shared" si="5"/>
        <v>978-7-01-014293-7</v>
      </c>
      <c r="C106" s="7" t="str">
        <f t="shared" si="6"/>
        <v>胡乔木回忆毛泽东</v>
      </c>
      <c r="D106" s="7" t="str">
        <f t="shared" si="7"/>
        <v>胡乔木著</v>
      </c>
      <c r="E106" s="7" t="str">
        <f t="shared" si="8"/>
        <v>人民出版社</v>
      </c>
      <c r="F106" s="7" t="str">
        <f t="shared" si="9"/>
        <v>A752/347=2D</v>
      </c>
    </row>
    <row r="107" customHeight="1" spans="1:6">
      <c r="A107" s="6">
        <v>106</v>
      </c>
      <c r="B107" s="7" t="str">
        <f t="shared" si="5"/>
        <v>978-7-01-014293-7</v>
      </c>
      <c r="C107" s="7" t="str">
        <f t="shared" si="6"/>
        <v>胡乔木回忆毛泽东</v>
      </c>
      <c r="D107" s="7" t="str">
        <f t="shared" si="7"/>
        <v>胡乔木著</v>
      </c>
      <c r="E107" s="7" t="str">
        <f t="shared" si="8"/>
        <v>人民出版社</v>
      </c>
      <c r="F107" s="7" t="str">
        <f t="shared" si="9"/>
        <v>A752/347=2D</v>
      </c>
    </row>
    <row r="108" customHeight="1" spans="1:6">
      <c r="A108" s="6">
        <v>107</v>
      </c>
      <c r="B108" s="7" t="str">
        <f>"978-7-01-010653-3"</f>
        <v>978-7-01-010653-3</v>
      </c>
      <c r="C108" s="7" t="str">
        <f>"列宁选集．第二卷"</f>
        <v>列宁选集．第二卷</v>
      </c>
      <c r="D108" s="7" t="str">
        <f t="shared" ref="D108:D113" si="10">"中共中央马克思恩格斯列宁斯大林著作编译局编译"</f>
        <v>中共中央马克思恩格斯列宁斯大林著作编译局编译</v>
      </c>
      <c r="E108" s="7" t="str">
        <f t="shared" si="8"/>
        <v>人民出版社</v>
      </c>
      <c r="F108" s="7" t="str">
        <f>"A21/1=3D/2"</f>
        <v>A21/1=3D/2</v>
      </c>
    </row>
    <row r="109" customHeight="1" spans="1:6">
      <c r="A109" s="6">
        <v>108</v>
      </c>
      <c r="B109" s="7" t="str">
        <f>"978-7-01-010653-3"</f>
        <v>978-7-01-010653-3</v>
      </c>
      <c r="C109" s="7" t="str">
        <f>"列宁选集．第二卷"</f>
        <v>列宁选集．第二卷</v>
      </c>
      <c r="D109" s="7" t="str">
        <f t="shared" si="10"/>
        <v>中共中央马克思恩格斯列宁斯大林著作编译局编译</v>
      </c>
      <c r="E109" s="7" t="str">
        <f t="shared" si="8"/>
        <v>人民出版社</v>
      </c>
      <c r="F109" s="7" t="str">
        <f>"A21/1=3D/2"</f>
        <v>A21/1=3D/2</v>
      </c>
    </row>
    <row r="110" customHeight="1" spans="1:6">
      <c r="A110" s="6">
        <v>109</v>
      </c>
      <c r="B110" s="7" t="str">
        <f>"978-7-01-010651-9"</f>
        <v>978-7-01-010651-9</v>
      </c>
      <c r="C110" s="7" t="str">
        <f>"列宁选集．第三卷"</f>
        <v>列宁选集．第三卷</v>
      </c>
      <c r="D110" s="7" t="str">
        <f t="shared" si="10"/>
        <v>中共中央马克思恩格斯列宁斯大林著作编译局编译</v>
      </c>
      <c r="E110" s="7" t="str">
        <f t="shared" si="8"/>
        <v>人民出版社</v>
      </c>
      <c r="F110" s="7" t="str">
        <f>"A21/1=3D/3"</f>
        <v>A21/1=3D/3</v>
      </c>
    </row>
    <row r="111" customHeight="1" spans="1:6">
      <c r="A111" s="6">
        <v>110</v>
      </c>
      <c r="B111" s="7" t="str">
        <f>"978-7-01-010651-9"</f>
        <v>978-7-01-010651-9</v>
      </c>
      <c r="C111" s="7" t="str">
        <f>"列宁选集．第三卷"</f>
        <v>列宁选集．第三卷</v>
      </c>
      <c r="D111" s="7" t="str">
        <f t="shared" si="10"/>
        <v>中共中央马克思恩格斯列宁斯大林著作编译局编译</v>
      </c>
      <c r="E111" s="7" t="str">
        <f t="shared" si="8"/>
        <v>人民出版社</v>
      </c>
      <c r="F111" s="7" t="str">
        <f>"A21/1=3D/3"</f>
        <v>A21/1=3D/3</v>
      </c>
    </row>
    <row r="112" customHeight="1" spans="1:6">
      <c r="A112" s="6">
        <v>111</v>
      </c>
      <c r="B112" s="7" t="str">
        <f>"978-7-01-010649-6"</f>
        <v>978-7-01-010649-6</v>
      </c>
      <c r="C112" s="7" t="str">
        <f>"列宁选集．第四卷"</f>
        <v>列宁选集．第四卷</v>
      </c>
      <c r="D112" s="7" t="str">
        <f t="shared" si="10"/>
        <v>中共中央马克思恩格斯列宁斯大林著作编译局编译</v>
      </c>
      <c r="E112" s="7" t="str">
        <f t="shared" si="8"/>
        <v>人民出版社</v>
      </c>
      <c r="F112" s="7" t="str">
        <f>"A21/1=3D/4"</f>
        <v>A21/1=3D/4</v>
      </c>
    </row>
    <row r="113" customHeight="1" spans="1:6">
      <c r="A113" s="6">
        <v>112</v>
      </c>
      <c r="B113" s="7" t="str">
        <f>"978-7-01-010649-6"</f>
        <v>978-7-01-010649-6</v>
      </c>
      <c r="C113" s="7" t="str">
        <f>"列宁选集．第四卷"</f>
        <v>列宁选集．第四卷</v>
      </c>
      <c r="D113" s="7" t="str">
        <f t="shared" si="10"/>
        <v>中共中央马克思恩格斯列宁斯大林著作编译局编译</v>
      </c>
      <c r="E113" s="7" t="str">
        <f t="shared" si="8"/>
        <v>人民出版社</v>
      </c>
      <c r="F113" s="7" t="str">
        <f>"A21/1=3D/4"</f>
        <v>A21/1=3D/4</v>
      </c>
    </row>
  </sheetData>
  <pageMargins left="0.75" right="0.75" top="1" bottom="1" header="0.5" footer="0.5"/>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4" tint="-0.249977111117893"/>
  </sheetPr>
  <dimension ref="A1:F476"/>
  <sheetViews>
    <sheetView workbookViewId="0">
      <selection activeCell="E25" sqref="E25"/>
    </sheetView>
  </sheetViews>
  <sheetFormatPr defaultColWidth="9" defaultRowHeight="18" customHeight="1" outlineLevelCol="5"/>
  <cols>
    <col min="1" max="1" width="5.375" style="12" customWidth="1"/>
    <col min="2" max="2" width="19.375" customWidth="1"/>
    <col min="3" max="3" width="45.625" customWidth="1"/>
    <col min="4" max="4" width="35.625" customWidth="1"/>
    <col min="5" max="5" width="27.125" customWidth="1"/>
    <col min="6" max="6" width="18.25" customWidth="1"/>
  </cols>
  <sheetData>
    <row r="1" s="1" customFormat="1" customHeight="1" spans="1:6">
      <c r="A1" s="5" t="s">
        <v>8186</v>
      </c>
      <c r="B1" s="5" t="s">
        <v>8187</v>
      </c>
      <c r="C1" s="5" t="s">
        <v>8188</v>
      </c>
      <c r="D1" s="5" t="s">
        <v>8189</v>
      </c>
      <c r="E1" s="5" t="s">
        <v>8190</v>
      </c>
      <c r="F1" s="5" t="s">
        <v>8191</v>
      </c>
    </row>
    <row r="2" customHeight="1" spans="1:6">
      <c r="A2" s="6">
        <v>1</v>
      </c>
      <c r="B2" s="7" t="str">
        <f>"978-7-5217-2085-3"</f>
        <v>978-7-5217-2085-3</v>
      </c>
      <c r="C2" s="7" t="str">
        <f>"历史动力学：国家为何兴衰：why states rise and fall"</f>
        <v>历史动力学：国家为何兴衰：why states rise and fall</v>
      </c>
      <c r="D2" s="7" t="str">
        <f>"(美) 彼得·图尔钦著Peter Turchin；陆殷莉， 刁琳琳译"</f>
        <v>(美) 彼得·图尔钦著Peter Turchin；陆殷莉， 刁琳琳译</v>
      </c>
      <c r="E2" s="7" t="str">
        <f>"中信出版集团"</f>
        <v>中信出版集团</v>
      </c>
      <c r="F2" s="7" t="str">
        <f>"K0/88"</f>
        <v>K0/88</v>
      </c>
    </row>
    <row r="3" customHeight="1" spans="1:6">
      <c r="A3" s="6">
        <v>2</v>
      </c>
      <c r="B3" s="7" t="str">
        <f>"978-7-5217-2085-3"</f>
        <v>978-7-5217-2085-3</v>
      </c>
      <c r="C3" s="7" t="str">
        <f>"历史动力学：国家为何兴衰：why states rise and fall"</f>
        <v>历史动力学：国家为何兴衰：why states rise and fall</v>
      </c>
      <c r="D3" s="7" t="str">
        <f>"(美) 彼得·图尔钦著Peter Turchin；陆殷莉， 刁琳琳译"</f>
        <v>(美) 彼得·图尔钦著Peter Turchin；陆殷莉， 刁琳琳译</v>
      </c>
      <c r="E3" s="7" t="str">
        <f>"中信出版集团"</f>
        <v>中信出版集团</v>
      </c>
      <c r="F3" s="7" t="str">
        <f>"K0/88"</f>
        <v>K0/88</v>
      </c>
    </row>
    <row r="4" customHeight="1" spans="1:6">
      <c r="A4" s="6">
        <v>3</v>
      </c>
      <c r="B4" s="7" t="str">
        <f>"978-7-303-25204-6"</f>
        <v>978-7-303-25204-6</v>
      </c>
      <c r="C4" s="7" t="str">
        <f>"重建另一种叙事"</f>
        <v>重建另一种叙事</v>
      </c>
      <c r="D4" s="7" t="str">
        <f>"杨念群著"</f>
        <v>杨念群著</v>
      </c>
      <c r="E4" s="7" t="str">
        <f>"北京师范大学出版社"</f>
        <v>北京师范大学出版社</v>
      </c>
      <c r="F4" s="7" t="str">
        <f>"K0/89"</f>
        <v>K0/89</v>
      </c>
    </row>
    <row r="5" customHeight="1" spans="1:6">
      <c r="A5" s="6">
        <v>4</v>
      </c>
      <c r="B5" s="7" t="str">
        <f>"978-7-303-25204-6"</f>
        <v>978-7-303-25204-6</v>
      </c>
      <c r="C5" s="7" t="str">
        <f>"重建另一种叙事"</f>
        <v>重建另一种叙事</v>
      </c>
      <c r="D5" s="7" t="str">
        <f>"杨念群著"</f>
        <v>杨念群著</v>
      </c>
      <c r="E5" s="7" t="str">
        <f>"北京师范大学出版社"</f>
        <v>北京师范大学出版社</v>
      </c>
      <c r="F5" s="7" t="str">
        <f>"K0/89"</f>
        <v>K0/89</v>
      </c>
    </row>
    <row r="6" customHeight="1" spans="1:6">
      <c r="A6" s="6">
        <v>5</v>
      </c>
      <c r="B6" s="8" t="s">
        <v>12088</v>
      </c>
      <c r="C6" s="8" t="s">
        <v>12089</v>
      </c>
      <c r="D6" s="8" t="s">
        <v>12090</v>
      </c>
      <c r="E6" s="8" t="s">
        <v>197</v>
      </c>
      <c r="F6" s="8" t="s">
        <v>12091</v>
      </c>
    </row>
    <row r="7" customHeight="1" spans="1:6">
      <c r="A7" s="6">
        <v>6</v>
      </c>
      <c r="B7" s="8" t="s">
        <v>12088</v>
      </c>
      <c r="C7" s="8" t="s">
        <v>12089</v>
      </c>
      <c r="D7" s="8" t="s">
        <v>12090</v>
      </c>
      <c r="E7" s="8" t="s">
        <v>197</v>
      </c>
      <c r="F7" s="8" t="s">
        <v>12091</v>
      </c>
    </row>
    <row r="8" customHeight="1" spans="1:6">
      <c r="A8" s="6">
        <v>7</v>
      </c>
      <c r="B8" s="7" t="str">
        <f>"978-7-108-06996-2"</f>
        <v>978-7-108-06996-2</v>
      </c>
      <c r="C8" s="7" t="str">
        <f>"历史哲学教程"</f>
        <v>历史哲学教程</v>
      </c>
      <c r="D8" s="7" t="str">
        <f>"翦伯赞著"</f>
        <v>翦伯赞著</v>
      </c>
      <c r="E8" s="7" t="str">
        <f>"三联书店"</f>
        <v>三联书店</v>
      </c>
      <c r="F8" s="7" t="str">
        <f>"K01/46"</f>
        <v>K01/46</v>
      </c>
    </row>
    <row r="9" customHeight="1" spans="1:6">
      <c r="A9" s="6">
        <v>8</v>
      </c>
      <c r="B9" s="7" t="str">
        <f>"978-7-108-06996-2"</f>
        <v>978-7-108-06996-2</v>
      </c>
      <c r="C9" s="7" t="str">
        <f>"历史哲学教程"</f>
        <v>历史哲学教程</v>
      </c>
      <c r="D9" s="7" t="str">
        <f>"翦伯赞著"</f>
        <v>翦伯赞著</v>
      </c>
      <c r="E9" s="7" t="str">
        <f>"三联书店"</f>
        <v>三联书店</v>
      </c>
      <c r="F9" s="7" t="str">
        <f>"K01/46"</f>
        <v>K01/46</v>
      </c>
    </row>
    <row r="10" customHeight="1" spans="1:6">
      <c r="A10" s="6">
        <v>9</v>
      </c>
      <c r="B10" s="7" t="str">
        <f>"978-7-309-14942-5"</f>
        <v>978-7-309-14942-5</v>
      </c>
      <c r="C10" s="7" t="str">
        <f>"历史与宗教之间"</f>
        <v>历史与宗教之间</v>
      </c>
      <c r="D10" s="7" t="str">
        <f>"蒲慕州著"</f>
        <v>蒲慕州著</v>
      </c>
      <c r="E10" s="7" t="str">
        <f>"复旦大学出版社"</f>
        <v>复旦大学出版社</v>
      </c>
      <c r="F10" s="7" t="str">
        <f>"K0-53/29"</f>
        <v>K0-53/29</v>
      </c>
    </row>
    <row r="11" customHeight="1" spans="1:6">
      <c r="A11" s="6">
        <v>10</v>
      </c>
      <c r="B11" s="7" t="str">
        <f>"978-7-309-14942-5"</f>
        <v>978-7-309-14942-5</v>
      </c>
      <c r="C11" s="7" t="str">
        <f>"历史与宗教之间"</f>
        <v>历史与宗教之间</v>
      </c>
      <c r="D11" s="7" t="str">
        <f>"蒲慕州著"</f>
        <v>蒲慕州著</v>
      </c>
      <c r="E11" s="7" t="str">
        <f>"复旦大学出版社"</f>
        <v>复旦大学出版社</v>
      </c>
      <c r="F11" s="7" t="str">
        <f>"K0-53/29"</f>
        <v>K0-53/29</v>
      </c>
    </row>
    <row r="12" customHeight="1" spans="1:6">
      <c r="A12" s="6">
        <v>11</v>
      </c>
      <c r="B12" s="7" t="str">
        <f t="shared" ref="B12:B15" si="0">"978-7-5617-9623-8"</f>
        <v>978-7-5617-9623-8</v>
      </c>
      <c r="C12" s="7" t="str">
        <f>"文史通義注．上"</f>
        <v>文史通義注．上</v>
      </c>
      <c r="D12" s="7" t="str">
        <f t="shared" ref="D12:D15" si="1">"葉長青撰；張京華點校"</f>
        <v>葉長青撰；張京華點校</v>
      </c>
      <c r="E12" s="7" t="str">
        <f t="shared" ref="E12:E15" si="2">"華東師範大學出版社"</f>
        <v>華東師範大學出版社</v>
      </c>
      <c r="F12" s="7" t="str">
        <f>"K092.49/9/1"</f>
        <v>K092.49/9/1</v>
      </c>
    </row>
    <row r="13" customHeight="1" spans="1:6">
      <c r="A13" s="6">
        <v>12</v>
      </c>
      <c r="B13" s="7" t="str">
        <f t="shared" si="0"/>
        <v>978-7-5617-9623-8</v>
      </c>
      <c r="C13" s="7" t="str">
        <f>"文史通義注．上"</f>
        <v>文史通義注．上</v>
      </c>
      <c r="D13" s="7" t="str">
        <f t="shared" si="1"/>
        <v>葉長青撰；張京華點校</v>
      </c>
      <c r="E13" s="7" t="str">
        <f t="shared" si="2"/>
        <v>華東師範大學出版社</v>
      </c>
      <c r="F13" s="7" t="str">
        <f>"K092.49/9/1"</f>
        <v>K092.49/9/1</v>
      </c>
    </row>
    <row r="14" customHeight="1" spans="1:6">
      <c r="A14" s="6">
        <v>13</v>
      </c>
      <c r="B14" s="7" t="str">
        <f t="shared" si="0"/>
        <v>978-7-5617-9623-8</v>
      </c>
      <c r="C14" s="7" t="str">
        <f>"文史通義注．下"</f>
        <v>文史通義注．下</v>
      </c>
      <c r="D14" s="7" t="str">
        <f t="shared" si="1"/>
        <v>葉長青撰；張京華點校</v>
      </c>
      <c r="E14" s="7" t="str">
        <f t="shared" si="2"/>
        <v>華東師範大學出版社</v>
      </c>
      <c r="F14" s="7" t="str">
        <f>"K092.49/9/2"</f>
        <v>K092.49/9/2</v>
      </c>
    </row>
    <row r="15" customHeight="1" spans="1:6">
      <c r="A15" s="6">
        <v>14</v>
      </c>
      <c r="B15" s="7" t="str">
        <f t="shared" si="0"/>
        <v>978-7-5617-9623-8</v>
      </c>
      <c r="C15" s="7" t="str">
        <f>"文史通義注．下"</f>
        <v>文史通義注．下</v>
      </c>
      <c r="D15" s="7" t="str">
        <f t="shared" si="1"/>
        <v>葉長青撰；張京華點校</v>
      </c>
      <c r="E15" s="7" t="str">
        <f t="shared" si="2"/>
        <v>華東師範大學出版社</v>
      </c>
      <c r="F15" s="7" t="str">
        <f>"K092.49/9/2"</f>
        <v>K092.49/9/2</v>
      </c>
    </row>
    <row r="16" customHeight="1" spans="1:6">
      <c r="A16" s="6">
        <v>15</v>
      </c>
      <c r="B16" s="7" t="str">
        <f t="shared" ref="B16:B19" si="3">"978-7-5561-2594-4"</f>
        <v>978-7-5561-2594-4</v>
      </c>
      <c r="C16" s="7" t="str">
        <f>"二战后的世界史：对抗与共存: 70亿人的70年．上"</f>
        <v>二战后的世界史：对抗与共存: 70亿人的70年．上</v>
      </c>
      <c r="D16" s="7" t="str">
        <f t="shared" ref="D16:D19" si="4">"(法) 维恩·马克威廉姆斯， 亨利·皮尔特罗夫斯基著；范斌珍， 陆丽婷， 余小梅译"</f>
        <v>(法) 维恩·马克威廉姆斯， 亨利·皮尔特罗夫斯基著；范斌珍， 陆丽婷， 余小梅译</v>
      </c>
      <c r="E16" s="7" t="str">
        <f t="shared" ref="E16:E19" si="5">"湖南人民出版社"</f>
        <v>湖南人民出版社</v>
      </c>
      <c r="F16" s="7" t="str">
        <f>"K10/45/1"</f>
        <v>K10/45/1</v>
      </c>
    </row>
    <row r="17" customHeight="1" spans="1:6">
      <c r="A17" s="6">
        <v>16</v>
      </c>
      <c r="B17" s="7" t="str">
        <f t="shared" si="3"/>
        <v>978-7-5561-2594-4</v>
      </c>
      <c r="C17" s="7" t="str">
        <f>"二战后的世界史：对抗与共存: 70亿人的70年．上"</f>
        <v>二战后的世界史：对抗与共存: 70亿人的70年．上</v>
      </c>
      <c r="D17" s="7" t="str">
        <f t="shared" si="4"/>
        <v>(法) 维恩·马克威廉姆斯， 亨利·皮尔特罗夫斯基著；范斌珍， 陆丽婷， 余小梅译</v>
      </c>
      <c r="E17" s="7" t="str">
        <f t="shared" si="5"/>
        <v>湖南人民出版社</v>
      </c>
      <c r="F17" s="7" t="str">
        <f>"K10/45/1"</f>
        <v>K10/45/1</v>
      </c>
    </row>
    <row r="18" customHeight="1" spans="1:6">
      <c r="A18" s="6">
        <v>17</v>
      </c>
      <c r="B18" s="7" t="str">
        <f t="shared" si="3"/>
        <v>978-7-5561-2594-4</v>
      </c>
      <c r="C18" s="7" t="str">
        <f>"二战后的世界史：对抗与共存: 70亿人的70年．下"</f>
        <v>二战后的世界史：对抗与共存: 70亿人的70年．下</v>
      </c>
      <c r="D18" s="7" t="str">
        <f t="shared" si="4"/>
        <v>(法) 维恩·马克威廉姆斯， 亨利·皮尔特罗夫斯基著；范斌珍， 陆丽婷， 余小梅译</v>
      </c>
      <c r="E18" s="7" t="str">
        <f t="shared" si="5"/>
        <v>湖南人民出版社</v>
      </c>
      <c r="F18" s="7" t="str">
        <f>"K10/45/2"</f>
        <v>K10/45/2</v>
      </c>
    </row>
    <row r="19" customHeight="1" spans="1:6">
      <c r="A19" s="6">
        <v>18</v>
      </c>
      <c r="B19" s="7" t="str">
        <f t="shared" si="3"/>
        <v>978-7-5561-2594-4</v>
      </c>
      <c r="C19" s="7" t="str">
        <f>"二战后的世界史：对抗与共存: 70亿人的70年．下"</f>
        <v>二战后的世界史：对抗与共存: 70亿人的70年．下</v>
      </c>
      <c r="D19" s="7" t="str">
        <f t="shared" si="4"/>
        <v>(法) 维恩·马克威廉姆斯， 亨利·皮尔特罗夫斯基著；范斌珍， 陆丽婷， 余小梅译</v>
      </c>
      <c r="E19" s="7" t="str">
        <f t="shared" si="5"/>
        <v>湖南人民出版社</v>
      </c>
      <c r="F19" s="7" t="str">
        <f>"K10/45/2"</f>
        <v>K10/45/2</v>
      </c>
    </row>
    <row r="20" customHeight="1" spans="1:6">
      <c r="A20" s="6">
        <v>19</v>
      </c>
      <c r="B20" s="7" t="str">
        <f t="shared" ref="B20:B23" si="6">"978-7-301-23858-5"</f>
        <v>978-7-301-23858-5</v>
      </c>
      <c r="C20" s="7" t="str">
        <f>"世界文明史．上"</f>
        <v>世界文明史．上</v>
      </c>
      <c r="D20" s="7" t="str">
        <f t="shared" ref="D20:D23" si="7">"马克垚主编"</f>
        <v>马克垚主编</v>
      </c>
      <c r="E20" s="7" t="str">
        <f t="shared" ref="E20:E23" si="8">"北京大学出版社"</f>
        <v>北京大学出版社</v>
      </c>
      <c r="F20" s="7" t="str">
        <f>"K103/2=2D/1"</f>
        <v>K103/2=2D/1</v>
      </c>
    </row>
    <row r="21" customHeight="1" spans="1:6">
      <c r="A21" s="6">
        <v>20</v>
      </c>
      <c r="B21" s="7" t="str">
        <f t="shared" si="6"/>
        <v>978-7-301-23858-5</v>
      </c>
      <c r="C21" s="7" t="str">
        <f>"世界文明史．上"</f>
        <v>世界文明史．上</v>
      </c>
      <c r="D21" s="7" t="str">
        <f t="shared" si="7"/>
        <v>马克垚主编</v>
      </c>
      <c r="E21" s="7" t="str">
        <f t="shared" si="8"/>
        <v>北京大学出版社</v>
      </c>
      <c r="F21" s="7" t="str">
        <f>"K103/2=2D/1"</f>
        <v>K103/2=2D/1</v>
      </c>
    </row>
    <row r="22" customHeight="1" spans="1:6">
      <c r="A22" s="6">
        <v>21</v>
      </c>
      <c r="B22" s="7" t="str">
        <f t="shared" si="6"/>
        <v>978-7-301-23858-5</v>
      </c>
      <c r="C22" s="7" t="str">
        <f>"世界文明史．下"</f>
        <v>世界文明史．下</v>
      </c>
      <c r="D22" s="7" t="str">
        <f t="shared" si="7"/>
        <v>马克垚主编</v>
      </c>
      <c r="E22" s="7" t="str">
        <f t="shared" si="8"/>
        <v>北京大学出版社</v>
      </c>
      <c r="F22" s="7" t="str">
        <f>"K103/2=2D/2"</f>
        <v>K103/2=2D/2</v>
      </c>
    </row>
    <row r="23" customHeight="1" spans="1:6">
      <c r="A23" s="6">
        <v>22</v>
      </c>
      <c r="B23" s="7" t="str">
        <f t="shared" si="6"/>
        <v>978-7-301-23858-5</v>
      </c>
      <c r="C23" s="7" t="str">
        <f>"世界文明史．下"</f>
        <v>世界文明史．下</v>
      </c>
      <c r="D23" s="7" t="str">
        <f t="shared" si="7"/>
        <v>马克垚主编</v>
      </c>
      <c r="E23" s="7" t="str">
        <f t="shared" si="8"/>
        <v>北京大学出版社</v>
      </c>
      <c r="F23" s="7" t="str">
        <f>"K103/2=2D/2"</f>
        <v>K103/2=2D/2</v>
      </c>
    </row>
    <row r="24" customHeight="1" spans="1:6">
      <c r="A24" s="6">
        <v>23</v>
      </c>
      <c r="B24" s="7" t="str">
        <f>"978-7-5217-2836-1"</f>
        <v>978-7-5217-2836-1</v>
      </c>
      <c r="C24" s="7" t="str">
        <f>"断裂的年代：20世纪的文化与社会：culture and society in the twentieth century"</f>
        <v>断裂的年代：20世纪的文化与社会：culture and society in the twentieth century</v>
      </c>
      <c r="D24" s="7" t="str">
        <f>"(英) 艾瑞克·霍布斯鲍姆著Eric Hobsbawm；林华译"</f>
        <v>(英) 艾瑞克·霍布斯鲍姆著Eric Hobsbawm；林华译</v>
      </c>
      <c r="E24" s="7" t="str">
        <f>"中信出版集团股份有限公司"</f>
        <v>中信出版集团股份有限公司</v>
      </c>
      <c r="F24" s="7" t="str">
        <f>"K103/204"</f>
        <v>K103/204</v>
      </c>
    </row>
    <row r="25" customHeight="1" spans="1:6">
      <c r="A25" s="6">
        <v>24</v>
      </c>
      <c r="B25" s="7" t="str">
        <f>"978-7-5217-2836-1"</f>
        <v>978-7-5217-2836-1</v>
      </c>
      <c r="C25" s="7" t="str">
        <f>"断裂的年代：20世纪的文化与社会：culture and society in the twentieth century"</f>
        <v>断裂的年代：20世纪的文化与社会：culture and society in the twentieth century</v>
      </c>
      <c r="D25" s="7" t="str">
        <f>"(英) 艾瑞克·霍布斯鲍姆著Eric Hobsbawm；林华译"</f>
        <v>(英) 艾瑞克·霍布斯鲍姆著Eric Hobsbawm；林华译</v>
      </c>
      <c r="E25" s="7" t="str">
        <f>"中信出版集团股份有限公司"</f>
        <v>中信出版集团股份有限公司</v>
      </c>
      <c r="F25" s="7" t="str">
        <f>"K103/204"</f>
        <v>K103/204</v>
      </c>
    </row>
    <row r="26" customHeight="1" spans="1:6">
      <c r="A26" s="6">
        <v>25</v>
      </c>
      <c r="B26" s="7" t="str">
        <f>"978-7-108-06999-3"</f>
        <v>978-7-108-06999-3</v>
      </c>
      <c r="C26" s="7" t="str">
        <f>"文明与野蛮"</f>
        <v>文明与野蛮</v>
      </c>
      <c r="D26" s="7" t="str">
        <f>"(美) 罗伯特·路威著；吕叔湘译"</f>
        <v>(美) 罗伯特·路威著；吕叔湘译</v>
      </c>
      <c r="E26" s="7" t="str">
        <f t="shared" ref="E26:E30" si="9">"三联书店"</f>
        <v>三联书店</v>
      </c>
      <c r="F26" s="7" t="str">
        <f>"K103/73"</f>
        <v>K103/73</v>
      </c>
    </row>
    <row r="27" customHeight="1" spans="1:6">
      <c r="A27" s="6">
        <v>26</v>
      </c>
      <c r="B27" s="7" t="str">
        <f>"978-7-108-06999-3"</f>
        <v>978-7-108-06999-3</v>
      </c>
      <c r="C27" s="7" t="str">
        <f>"文明与野蛮"</f>
        <v>文明与野蛮</v>
      </c>
      <c r="D27" s="7" t="str">
        <f>"(美) 罗伯特·路威著；吕叔湘译"</f>
        <v>(美) 罗伯特·路威著；吕叔湘译</v>
      </c>
      <c r="E27" s="7" t="str">
        <f t="shared" si="9"/>
        <v>三联书店</v>
      </c>
      <c r="F27" s="7" t="str">
        <f>"K103/73"</f>
        <v>K103/73</v>
      </c>
    </row>
    <row r="28" customHeight="1" spans="1:6">
      <c r="A28" s="6">
        <v>27</v>
      </c>
      <c r="B28" s="7" t="str">
        <f t="shared" ref="B28:B30" si="10">"978-7-108-05622-1"</f>
        <v>978-7-108-05622-1</v>
      </c>
      <c r="C28" s="7" t="str">
        <f t="shared" ref="C28:C30" si="11">"囚徒、情人与间谍：古今隐形墨水的故事"</f>
        <v>囚徒、情人与间谍：古今隐形墨水的故事</v>
      </c>
      <c r="D28" s="7" t="str">
        <f t="shared" ref="D28:D30" si="12">"(美) 克里斯蒂·马克拉奇斯著；张哲， 师小涵译"</f>
        <v>(美) 克里斯蒂·马克拉奇斯著；张哲， 师小涵译</v>
      </c>
      <c r="E28" s="7" t="str">
        <f t="shared" si="9"/>
        <v>三联书店</v>
      </c>
      <c r="F28" s="7" t="str">
        <f t="shared" ref="F28:F30" si="13">"K109/317"</f>
        <v>K109/317</v>
      </c>
    </row>
    <row r="29" customHeight="1" spans="1:6">
      <c r="A29" s="6">
        <v>28</v>
      </c>
      <c r="B29" s="7" t="str">
        <f t="shared" si="10"/>
        <v>978-7-108-05622-1</v>
      </c>
      <c r="C29" s="7" t="str">
        <f t="shared" si="11"/>
        <v>囚徒、情人与间谍：古今隐形墨水的故事</v>
      </c>
      <c r="D29" s="7" t="str">
        <f t="shared" si="12"/>
        <v>(美) 克里斯蒂·马克拉奇斯著；张哲， 师小涵译</v>
      </c>
      <c r="E29" s="7" t="str">
        <f t="shared" si="9"/>
        <v>三联书店</v>
      </c>
      <c r="F29" s="7" t="str">
        <f t="shared" si="13"/>
        <v>K109/317</v>
      </c>
    </row>
    <row r="30" customHeight="1" spans="1:6">
      <c r="A30" s="6">
        <v>29</v>
      </c>
      <c r="B30" s="7" t="str">
        <f t="shared" si="10"/>
        <v>978-7-108-05622-1</v>
      </c>
      <c r="C30" s="7" t="str">
        <f t="shared" si="11"/>
        <v>囚徒、情人与间谍：古今隐形墨水的故事</v>
      </c>
      <c r="D30" s="7" t="str">
        <f t="shared" si="12"/>
        <v>(美) 克里斯蒂·马克拉奇斯著；张哲， 师小涵译</v>
      </c>
      <c r="E30" s="7" t="str">
        <f t="shared" si="9"/>
        <v>三联书店</v>
      </c>
      <c r="F30" s="7" t="str">
        <f t="shared" si="13"/>
        <v>K109/317</v>
      </c>
    </row>
    <row r="31" customHeight="1" spans="1:6">
      <c r="A31" s="6">
        <v>30</v>
      </c>
      <c r="B31" s="8" t="s">
        <v>12092</v>
      </c>
      <c r="C31" s="8" t="s">
        <v>12093</v>
      </c>
      <c r="D31" s="8" t="s">
        <v>12094</v>
      </c>
      <c r="E31" s="8" t="s">
        <v>2135</v>
      </c>
      <c r="F31" s="8" t="s">
        <v>12095</v>
      </c>
    </row>
    <row r="32" customHeight="1" spans="1:6">
      <c r="A32" s="6">
        <v>31</v>
      </c>
      <c r="B32" s="8" t="s">
        <v>12092</v>
      </c>
      <c r="C32" s="8" t="s">
        <v>12093</v>
      </c>
      <c r="D32" s="8" t="s">
        <v>12094</v>
      </c>
      <c r="E32" s="8" t="s">
        <v>2135</v>
      </c>
      <c r="F32" s="8" t="s">
        <v>12095</v>
      </c>
    </row>
    <row r="33" customHeight="1" spans="1:6">
      <c r="A33" s="6">
        <v>32</v>
      </c>
      <c r="B33" s="7" t="str">
        <f>"978-7-213-09942-7"</f>
        <v>978-7-213-09942-7</v>
      </c>
      <c r="C33" s="7" t="str">
        <f>"希腊罗马2500年：影响人类历史的伟大文明"</f>
        <v>希腊罗马2500年：影响人类历史的伟大文明</v>
      </c>
      <c r="D33" s="7" t="str">
        <f>"(德) 赫尔格·索恩德著Holger sonnabend；张世佶译"</f>
        <v>(德) 赫尔格·索恩德著Holger sonnabend；张世佶译</v>
      </c>
      <c r="E33" s="7" t="str">
        <f>"浙江人民出版社"</f>
        <v>浙江人民出版社</v>
      </c>
      <c r="F33" s="7" t="str">
        <f>"K125/65"</f>
        <v>K125/65</v>
      </c>
    </row>
    <row r="34" customHeight="1" spans="1:6">
      <c r="A34" s="6">
        <v>33</v>
      </c>
      <c r="B34" s="7" t="str">
        <f>"978-7-213-09942-7"</f>
        <v>978-7-213-09942-7</v>
      </c>
      <c r="C34" s="7" t="str">
        <f>"希腊罗马2500年：影响人类历史的伟大文明"</f>
        <v>希腊罗马2500年：影响人类历史的伟大文明</v>
      </c>
      <c r="D34" s="7" t="str">
        <f>"(德) 赫尔格·索恩德著Holger sonnabend；张世佶译"</f>
        <v>(德) 赫尔格·索恩德著Holger sonnabend；张世佶译</v>
      </c>
      <c r="E34" s="7" t="str">
        <f>"浙江人民出版社"</f>
        <v>浙江人民出版社</v>
      </c>
      <c r="F34" s="7" t="str">
        <f>"K125/65"</f>
        <v>K125/65</v>
      </c>
    </row>
    <row r="35" customHeight="1" spans="1:6">
      <c r="A35" s="6">
        <v>34</v>
      </c>
      <c r="B35" s="7" t="str">
        <f t="shared" ref="B35:B37" si="14">"978-7-5447-7156-6"</f>
        <v>978-7-5447-7156-6</v>
      </c>
      <c r="C35" s="7" t="str">
        <f t="shared" ref="C35:C37" si="15">"罗马共和国"</f>
        <v>罗马共和国</v>
      </c>
      <c r="D35" s="7" t="str">
        <f t="shared" ref="D35:D37" si="16">"(英国) 戴维·M.格温著；王忠孝译"</f>
        <v>(英国) 戴维·M.格温著；王忠孝译</v>
      </c>
      <c r="E35" s="7" t="str">
        <f t="shared" ref="E35:E37" si="17">"译林出版社"</f>
        <v>译林出版社</v>
      </c>
      <c r="F35" s="7" t="str">
        <f t="shared" ref="F35:F37" si="18">"K126/92"</f>
        <v>K126/92</v>
      </c>
    </row>
    <row r="36" customHeight="1" spans="1:6">
      <c r="A36" s="6">
        <v>35</v>
      </c>
      <c r="B36" s="7" t="str">
        <f t="shared" si="14"/>
        <v>978-7-5447-7156-6</v>
      </c>
      <c r="C36" s="7" t="str">
        <f t="shared" si="15"/>
        <v>罗马共和国</v>
      </c>
      <c r="D36" s="7" t="str">
        <f t="shared" si="16"/>
        <v>(英国) 戴维·M.格温著；王忠孝译</v>
      </c>
      <c r="E36" s="7" t="str">
        <f t="shared" si="17"/>
        <v>译林出版社</v>
      </c>
      <c r="F36" s="7" t="str">
        <f t="shared" si="18"/>
        <v>K126/92</v>
      </c>
    </row>
    <row r="37" customHeight="1" spans="1:6">
      <c r="A37" s="6">
        <v>36</v>
      </c>
      <c r="B37" s="7" t="str">
        <f t="shared" si="14"/>
        <v>978-7-5447-7156-6</v>
      </c>
      <c r="C37" s="7" t="str">
        <f t="shared" si="15"/>
        <v>罗马共和国</v>
      </c>
      <c r="D37" s="7" t="str">
        <f t="shared" si="16"/>
        <v>(英国) 戴维·M.格温著；王忠孝译</v>
      </c>
      <c r="E37" s="7" t="str">
        <f t="shared" si="17"/>
        <v>译林出版社</v>
      </c>
      <c r="F37" s="7" t="str">
        <f t="shared" si="18"/>
        <v>K126/92</v>
      </c>
    </row>
    <row r="38" customHeight="1" spans="1:6">
      <c r="A38" s="6">
        <v>37</v>
      </c>
      <c r="B38" s="7" t="str">
        <f>"978-7-5143-8933-3"</f>
        <v>978-7-5143-8933-3</v>
      </c>
      <c r="C38" s="7" t="str">
        <f>"罗马帝国．黄金时代"</f>
        <v>罗马帝国．黄金时代</v>
      </c>
      <c r="D38" s="7" t="str">
        <f>"美国国家地理学会编著；郭彦娜译"</f>
        <v>美国国家地理学会编著；郭彦娜译</v>
      </c>
      <c r="E38" s="7" t="str">
        <f t="shared" ref="E38:E47" si="19">"现代出版社"</f>
        <v>现代出版社</v>
      </c>
      <c r="F38" s="7" t="str">
        <f>"K126/93"</f>
        <v>K126/93</v>
      </c>
    </row>
    <row r="39" customHeight="1" spans="1:6">
      <c r="A39" s="6">
        <v>38</v>
      </c>
      <c r="B39" s="7" t="str">
        <f>"978-7-5143-8933-3"</f>
        <v>978-7-5143-8933-3</v>
      </c>
      <c r="C39" s="7" t="str">
        <f>"罗马帝国．黄金时代"</f>
        <v>罗马帝国．黄金时代</v>
      </c>
      <c r="D39" s="7" t="str">
        <f>"美国国家地理学会编著；郭彦娜译"</f>
        <v>美国国家地理学会编著；郭彦娜译</v>
      </c>
      <c r="E39" s="7" t="str">
        <f t="shared" si="19"/>
        <v>现代出版社</v>
      </c>
      <c r="F39" s="7" t="str">
        <f>"K126/93"</f>
        <v>K126/93</v>
      </c>
    </row>
    <row r="40" customHeight="1" spans="1:6">
      <c r="A40" s="6">
        <v>39</v>
      </c>
      <c r="B40" s="7" t="str">
        <f>"978-7-5143-8930-2"</f>
        <v>978-7-5143-8930-2</v>
      </c>
      <c r="C40" s="7" t="str">
        <f>"罗马共和国的终结"</f>
        <v>罗马共和国的终结</v>
      </c>
      <c r="D40" s="7" t="str">
        <f t="shared" ref="D40:D43" si="20">"美国国家地理学会编著；李恋晨译"</f>
        <v>美国国家地理学会编著；李恋晨译</v>
      </c>
      <c r="E40" s="7" t="str">
        <f t="shared" si="19"/>
        <v>现代出版社</v>
      </c>
      <c r="F40" s="7" t="str">
        <f>"K126/94"</f>
        <v>K126/94</v>
      </c>
    </row>
    <row r="41" customHeight="1" spans="1:6">
      <c r="A41" s="6">
        <v>40</v>
      </c>
      <c r="B41" s="7" t="str">
        <f>"978-7-5143-8930-2"</f>
        <v>978-7-5143-8930-2</v>
      </c>
      <c r="C41" s="7" t="str">
        <f>"罗马共和国的终结"</f>
        <v>罗马共和国的终结</v>
      </c>
      <c r="D41" s="7" t="str">
        <f t="shared" si="20"/>
        <v>美国国家地理学会编著；李恋晨译</v>
      </c>
      <c r="E41" s="7" t="str">
        <f t="shared" si="19"/>
        <v>现代出版社</v>
      </c>
      <c r="F41" s="7" t="str">
        <f>"K126/94"</f>
        <v>K126/94</v>
      </c>
    </row>
    <row r="42" customHeight="1" spans="1:6">
      <c r="A42" s="6">
        <v>41</v>
      </c>
      <c r="B42" s="7" t="str">
        <f>"978-7-5143-8931-9"</f>
        <v>978-7-5143-8931-9</v>
      </c>
      <c r="C42" s="7" t="str">
        <f>"罗马：从王政到共和"</f>
        <v>罗马：从王政到共和</v>
      </c>
      <c r="D42" s="7" t="str">
        <f t="shared" si="20"/>
        <v>美国国家地理学会编著；李恋晨译</v>
      </c>
      <c r="E42" s="7" t="str">
        <f t="shared" si="19"/>
        <v>现代出版社</v>
      </c>
      <c r="F42" s="7" t="str">
        <f>"K126/95"</f>
        <v>K126/95</v>
      </c>
    </row>
    <row r="43" customHeight="1" spans="1:6">
      <c r="A43" s="6">
        <v>42</v>
      </c>
      <c r="B43" s="7" t="str">
        <f>"978-7-5143-8931-9"</f>
        <v>978-7-5143-8931-9</v>
      </c>
      <c r="C43" s="7" t="str">
        <f>"罗马：从王政到共和"</f>
        <v>罗马：从王政到共和</v>
      </c>
      <c r="D43" s="7" t="str">
        <f t="shared" si="20"/>
        <v>美国国家地理学会编著；李恋晨译</v>
      </c>
      <c r="E43" s="7" t="str">
        <f t="shared" si="19"/>
        <v>现代出版社</v>
      </c>
      <c r="F43" s="7" t="str">
        <f>"K126/95"</f>
        <v>K126/95</v>
      </c>
    </row>
    <row r="44" customHeight="1" spans="1:6">
      <c r="A44" s="6">
        <v>43</v>
      </c>
      <c r="B44" s="7" t="str">
        <f>"978-7-5143-8934-0"</f>
        <v>978-7-5143-8934-0</v>
      </c>
      <c r="C44" s="7" t="str">
        <f>"罗马帝国．罗马的陷落"</f>
        <v>罗马帝国．罗马的陷落</v>
      </c>
      <c r="D44" s="7" t="str">
        <f>"美国国家地理学会编著；申华明译"</f>
        <v>美国国家地理学会编著；申华明译</v>
      </c>
      <c r="E44" s="7" t="str">
        <f t="shared" si="19"/>
        <v>现代出版社</v>
      </c>
      <c r="F44" s="7" t="str">
        <f>"K126/96"</f>
        <v>K126/96</v>
      </c>
    </row>
    <row r="45" customHeight="1" spans="1:6">
      <c r="A45" s="6">
        <v>44</v>
      </c>
      <c r="B45" s="7" t="str">
        <f>"978-7-5143-8934-0"</f>
        <v>978-7-5143-8934-0</v>
      </c>
      <c r="C45" s="7" t="str">
        <f>"罗马帝国．罗马的陷落"</f>
        <v>罗马帝国．罗马的陷落</v>
      </c>
      <c r="D45" s="7" t="str">
        <f>"美国国家地理学会编著；申华明译"</f>
        <v>美国国家地理学会编著；申华明译</v>
      </c>
      <c r="E45" s="7" t="str">
        <f t="shared" si="19"/>
        <v>现代出版社</v>
      </c>
      <c r="F45" s="7" t="str">
        <f>"K126/96"</f>
        <v>K126/96</v>
      </c>
    </row>
    <row r="46" customHeight="1" spans="1:6">
      <c r="A46" s="6">
        <v>45</v>
      </c>
      <c r="B46" s="7" t="str">
        <f>"978-7-5143-8932-6"</f>
        <v>978-7-5143-8932-6</v>
      </c>
      <c r="C46" s="7" t="str">
        <f>"罗马: 征服地中海"</f>
        <v>罗马: 征服地中海</v>
      </c>
      <c r="D46" s="7" t="str">
        <f>"美国国家地理学会编著；邵倩兰译"</f>
        <v>美国国家地理学会编著；邵倩兰译</v>
      </c>
      <c r="E46" s="7" t="str">
        <f t="shared" si="19"/>
        <v>现代出版社</v>
      </c>
      <c r="F46" s="7" t="str">
        <f>"K126/97"</f>
        <v>K126/97</v>
      </c>
    </row>
    <row r="47" customHeight="1" spans="1:6">
      <c r="A47" s="6">
        <v>46</v>
      </c>
      <c r="B47" s="7" t="str">
        <f>"978-7-5143-8932-6"</f>
        <v>978-7-5143-8932-6</v>
      </c>
      <c r="C47" s="7" t="str">
        <f>"罗马: 征服地中海"</f>
        <v>罗马: 征服地中海</v>
      </c>
      <c r="D47" s="7" t="str">
        <f>"美国国家地理学会编著；邵倩兰译"</f>
        <v>美国国家地理学会编著；邵倩兰译</v>
      </c>
      <c r="E47" s="7" t="str">
        <f t="shared" si="19"/>
        <v>现代出版社</v>
      </c>
      <c r="F47" s="7" t="str">
        <f>"K126/97"</f>
        <v>K126/97</v>
      </c>
    </row>
    <row r="48" customHeight="1" spans="1:6">
      <c r="A48" s="6">
        <v>47</v>
      </c>
      <c r="B48" s="7" t="str">
        <f t="shared" ref="B48:B50" si="21">"978-7-108-06363-2"</f>
        <v>978-7-108-06363-2</v>
      </c>
      <c r="C48" s="7" t="str">
        <f t="shared" ref="C48:C50" si="22">"天生恶魔?：纽伦堡审判与罗夏墨迹测验：the enigma of the Nazi war criminals"</f>
        <v>天生恶魔?：纽伦堡审判与罗夏墨迹测验：the enigma of the Nazi war criminals</v>
      </c>
      <c r="D48" s="7" t="str">
        <f t="shared" ref="D48:D50" si="23">"(美) 乔尔·迪姆斯代尔著；史先涛译"</f>
        <v>(美) 乔尔·迪姆斯代尔著；史先涛译</v>
      </c>
      <c r="E48" s="7" t="str">
        <f t="shared" ref="E48:E50" si="24">"三联书店"</f>
        <v>三联书店</v>
      </c>
      <c r="F48" s="7" t="str">
        <f t="shared" ref="F48:F50" si="25">"K153/11"</f>
        <v>K153/11</v>
      </c>
    </row>
    <row r="49" customHeight="1" spans="1:6">
      <c r="A49" s="6">
        <v>48</v>
      </c>
      <c r="B49" s="7" t="str">
        <f t="shared" si="21"/>
        <v>978-7-108-06363-2</v>
      </c>
      <c r="C49" s="7" t="str">
        <f t="shared" si="22"/>
        <v>天生恶魔?：纽伦堡审判与罗夏墨迹测验：the enigma of the Nazi war criminals</v>
      </c>
      <c r="D49" s="7" t="str">
        <f t="shared" si="23"/>
        <v>(美) 乔尔·迪姆斯代尔著；史先涛译</v>
      </c>
      <c r="E49" s="7" t="str">
        <f t="shared" si="24"/>
        <v>三联书店</v>
      </c>
      <c r="F49" s="7" t="str">
        <f t="shared" si="25"/>
        <v>K153/11</v>
      </c>
    </row>
    <row r="50" customHeight="1" spans="1:6">
      <c r="A50" s="6">
        <v>49</v>
      </c>
      <c r="B50" s="7" t="str">
        <f t="shared" si="21"/>
        <v>978-7-108-06363-2</v>
      </c>
      <c r="C50" s="7" t="str">
        <f t="shared" si="22"/>
        <v>天生恶魔?：纽伦堡审判与罗夏墨迹测验：the enigma of the Nazi war criminals</v>
      </c>
      <c r="D50" s="7" t="str">
        <f t="shared" si="23"/>
        <v>(美) 乔尔·迪姆斯代尔著；史先涛译</v>
      </c>
      <c r="E50" s="7" t="str">
        <f t="shared" si="24"/>
        <v>三联书店</v>
      </c>
      <c r="F50" s="7" t="str">
        <f t="shared" si="25"/>
        <v>K153/11</v>
      </c>
    </row>
    <row r="51" customHeight="1" spans="1:6">
      <c r="A51" s="6">
        <v>50</v>
      </c>
      <c r="B51" s="7" t="str">
        <f t="shared" ref="B51:B53" si="26">"978-7-305-24554-1"</f>
        <v>978-7-305-24554-1</v>
      </c>
      <c r="C51" s="7" t="str">
        <f t="shared" ref="C51:C53" si="27">"中国文化概论"</f>
        <v>中国文化概论</v>
      </c>
      <c r="D51" s="7" t="str">
        <f t="shared" ref="D51:D53" si="28">"陈江风主编；编写者王仁宇 ... [等]"</f>
        <v>陈江风主编；编写者王仁宇 ... [等]</v>
      </c>
      <c r="E51" s="7" t="str">
        <f t="shared" ref="E51:E53" si="29">"南京大学出版社"</f>
        <v>南京大学出版社</v>
      </c>
      <c r="F51" s="7" t="str">
        <f t="shared" ref="F51:F53" si="30">"K203/259=4D"</f>
        <v>K203/259=4D</v>
      </c>
    </row>
    <row r="52" customHeight="1" spans="1:6">
      <c r="A52" s="6">
        <v>51</v>
      </c>
      <c r="B52" s="7" t="str">
        <f t="shared" si="26"/>
        <v>978-7-305-24554-1</v>
      </c>
      <c r="C52" s="7" t="str">
        <f t="shared" si="27"/>
        <v>中国文化概论</v>
      </c>
      <c r="D52" s="7" t="str">
        <f t="shared" si="28"/>
        <v>陈江风主编；编写者王仁宇 ... [等]</v>
      </c>
      <c r="E52" s="7" t="str">
        <f t="shared" si="29"/>
        <v>南京大学出版社</v>
      </c>
      <c r="F52" s="7" t="str">
        <f t="shared" si="30"/>
        <v>K203/259=4D</v>
      </c>
    </row>
    <row r="53" customHeight="1" spans="1:6">
      <c r="A53" s="6">
        <v>52</v>
      </c>
      <c r="B53" s="7" t="str">
        <f t="shared" si="26"/>
        <v>978-7-305-24554-1</v>
      </c>
      <c r="C53" s="7" t="str">
        <f t="shared" si="27"/>
        <v>中国文化概论</v>
      </c>
      <c r="D53" s="7" t="str">
        <f t="shared" si="28"/>
        <v>陈江风主编；编写者王仁宇 ... [等]</v>
      </c>
      <c r="E53" s="7" t="str">
        <f t="shared" si="29"/>
        <v>南京大学出版社</v>
      </c>
      <c r="F53" s="7" t="str">
        <f t="shared" si="30"/>
        <v>K203/259=4D</v>
      </c>
    </row>
    <row r="54" customHeight="1" spans="1:6">
      <c r="A54" s="6">
        <v>53</v>
      </c>
      <c r="B54" s="7" t="str">
        <f>"978-7-5217-2338-0"</f>
        <v>978-7-5217-2338-0</v>
      </c>
      <c r="C54" s="7" t="str">
        <f>"文化的江山．6：通往文艺复兴的岁月"</f>
        <v>文化的江山．6：通往文艺复兴的岁月</v>
      </c>
      <c r="D54" s="7" t="str">
        <f>"刘刚， 李冬君著"</f>
        <v>刘刚， 李冬君著</v>
      </c>
      <c r="E54" s="7" t="str">
        <f>"中信出版集团股份有限公司"</f>
        <v>中信出版集团股份有限公司</v>
      </c>
      <c r="F54" s="7" t="str">
        <f>"K203/439/6"</f>
        <v>K203/439/6</v>
      </c>
    </row>
    <row r="55" customHeight="1" spans="1:6">
      <c r="A55" s="6">
        <v>54</v>
      </c>
      <c r="B55" s="7" t="str">
        <f>"978-7-5217-2338-0"</f>
        <v>978-7-5217-2338-0</v>
      </c>
      <c r="C55" s="7" t="str">
        <f>"文化的江山．6：通往文艺复兴的岁月"</f>
        <v>文化的江山．6：通往文艺复兴的岁月</v>
      </c>
      <c r="D55" s="7" t="str">
        <f>"刘刚， 李冬君著"</f>
        <v>刘刚， 李冬君著</v>
      </c>
      <c r="E55" s="7" t="str">
        <f>"中信出版集团股份有限公司"</f>
        <v>中信出版集团股份有限公司</v>
      </c>
      <c r="F55" s="7" t="str">
        <f>"K203/439/6"</f>
        <v>K203/439/6</v>
      </c>
    </row>
    <row r="56" customHeight="1" spans="1:6">
      <c r="A56" s="6">
        <v>55</v>
      </c>
      <c r="B56" s="7" t="str">
        <f t="shared" ref="B56:B59" si="31">"978-7-300-14477-1"</f>
        <v>978-7-300-14477-1</v>
      </c>
      <c r="C56" s="7" t="str">
        <f>"中国文化史．上册"</f>
        <v>中国文化史．上册</v>
      </c>
      <c r="D56" s="7" t="str">
        <f t="shared" ref="D56:D59" si="32">"柳诒徵编著"</f>
        <v>柳诒徵编著</v>
      </c>
      <c r="E56" s="7" t="str">
        <f t="shared" ref="E56:E59" si="33">"中国人民大学出版社"</f>
        <v>中国人民大学出版社</v>
      </c>
      <c r="F56" s="7" t="str">
        <f>"K203/454-2/1"</f>
        <v>K203/454-2/1</v>
      </c>
    </row>
    <row r="57" customHeight="1" spans="1:6">
      <c r="A57" s="6">
        <v>56</v>
      </c>
      <c r="B57" s="7" t="str">
        <f t="shared" si="31"/>
        <v>978-7-300-14477-1</v>
      </c>
      <c r="C57" s="7" t="str">
        <f>"中国文化史．上册"</f>
        <v>中国文化史．上册</v>
      </c>
      <c r="D57" s="7" t="str">
        <f t="shared" si="32"/>
        <v>柳诒徵编著</v>
      </c>
      <c r="E57" s="7" t="str">
        <f t="shared" si="33"/>
        <v>中国人民大学出版社</v>
      </c>
      <c r="F57" s="7" t="str">
        <f>"K203/454-2/1"</f>
        <v>K203/454-2/1</v>
      </c>
    </row>
    <row r="58" customHeight="1" spans="1:6">
      <c r="A58" s="6">
        <v>57</v>
      </c>
      <c r="B58" s="7" t="str">
        <f t="shared" si="31"/>
        <v>978-7-300-14477-1</v>
      </c>
      <c r="C58" s="7" t="str">
        <f>"中国文化史．下册"</f>
        <v>中国文化史．下册</v>
      </c>
      <c r="D58" s="7" t="str">
        <f t="shared" si="32"/>
        <v>柳诒徵编著</v>
      </c>
      <c r="E58" s="7" t="str">
        <f t="shared" si="33"/>
        <v>中国人民大学出版社</v>
      </c>
      <c r="F58" s="7" t="str">
        <f>"K203/454-2/2"</f>
        <v>K203/454-2/2</v>
      </c>
    </row>
    <row r="59" customHeight="1" spans="1:6">
      <c r="A59" s="6">
        <v>58</v>
      </c>
      <c r="B59" s="7" t="str">
        <f t="shared" si="31"/>
        <v>978-7-300-14477-1</v>
      </c>
      <c r="C59" s="7" t="str">
        <f>"中国文化史．下册"</f>
        <v>中国文化史．下册</v>
      </c>
      <c r="D59" s="7" t="str">
        <f t="shared" si="32"/>
        <v>柳诒徵编著</v>
      </c>
      <c r="E59" s="7" t="str">
        <f t="shared" si="33"/>
        <v>中国人民大学出版社</v>
      </c>
      <c r="F59" s="7" t="str">
        <f>"K203/454-2/2"</f>
        <v>K203/454-2/2</v>
      </c>
    </row>
    <row r="60" customHeight="1" spans="1:6">
      <c r="A60" s="6">
        <v>59</v>
      </c>
      <c r="B60" s="7" t="str">
        <f>"978-7-220-11958-3"</f>
        <v>978-7-220-11958-3</v>
      </c>
      <c r="C60" s="7" t="str">
        <f>"中国文明的历史．五：隋唐世界帝国"</f>
        <v>中国文明的历史．五：隋唐世界帝国</v>
      </c>
      <c r="D60" s="7" t="str">
        <f>"(日) 外山军治编著；卢超平翻译"</f>
        <v>(日) 外山军治编著；卢超平翻译</v>
      </c>
      <c r="E60" s="7" t="str">
        <f>"四川人民出版社"</f>
        <v>四川人民出版社</v>
      </c>
      <c r="F60" s="7" t="str">
        <f>"K203/658/5"</f>
        <v>K203/658/5</v>
      </c>
    </row>
    <row r="61" customHeight="1" spans="1:6">
      <c r="A61" s="6">
        <v>60</v>
      </c>
      <c r="B61" s="7" t="str">
        <f>"978-7-220-11958-3"</f>
        <v>978-7-220-11958-3</v>
      </c>
      <c r="C61" s="7" t="str">
        <f>"中国文明的历史．五：隋唐世界帝国"</f>
        <v>中国文明的历史．五：隋唐世界帝国</v>
      </c>
      <c r="D61" s="7" t="str">
        <f>"(日) 外山军治编著；卢超平翻译"</f>
        <v>(日) 外山军治编著；卢超平翻译</v>
      </c>
      <c r="E61" s="7" t="str">
        <f>"四川人民出版社"</f>
        <v>四川人民出版社</v>
      </c>
      <c r="F61" s="7" t="str">
        <f>"K203/658/5"</f>
        <v>K203/658/5</v>
      </c>
    </row>
    <row r="62" customHeight="1" spans="1:6">
      <c r="A62" s="6">
        <v>61</v>
      </c>
      <c r="B62" s="7" t="str">
        <f>"978-7-100-19549-2"</f>
        <v>978-7-100-19549-2</v>
      </c>
      <c r="C62" s="7" t="str">
        <f>"图像、观念与仪俗：元明时代的族群文化变迁：the yuan-ming racial and cultural transition"</f>
        <v>图像、观念与仪俗：元明时代的族群文化变迁：the yuan-ming racial and cultural transition</v>
      </c>
      <c r="D62" s="7" t="str">
        <f>"张佳著"</f>
        <v>张佳著</v>
      </c>
      <c r="E62" s="7" t="str">
        <f>"商务印书馆"</f>
        <v>商务印书馆</v>
      </c>
      <c r="F62" s="7" t="str">
        <f>"K203/659"</f>
        <v>K203/659</v>
      </c>
    </row>
    <row r="63" customHeight="1" spans="1:6">
      <c r="A63" s="6">
        <v>62</v>
      </c>
      <c r="B63" s="7" t="str">
        <f>"978-7-100-19549-2"</f>
        <v>978-7-100-19549-2</v>
      </c>
      <c r="C63" s="7" t="str">
        <f>"图像、观念与仪俗：元明时代的族群文化变迁：the yuan-ming racial and cultural transition"</f>
        <v>图像、观念与仪俗：元明时代的族群文化变迁：the yuan-ming racial and cultural transition</v>
      </c>
      <c r="D63" s="7" t="str">
        <f>"张佳著"</f>
        <v>张佳著</v>
      </c>
      <c r="E63" s="7" t="str">
        <f>"商务印书馆"</f>
        <v>商务印书馆</v>
      </c>
      <c r="F63" s="7" t="str">
        <f>"K203/659"</f>
        <v>K203/659</v>
      </c>
    </row>
    <row r="64" customHeight="1" spans="1:6">
      <c r="A64" s="6">
        <v>63</v>
      </c>
      <c r="B64" s="8" t="s">
        <v>12096</v>
      </c>
      <c r="C64" s="8" t="s">
        <v>12097</v>
      </c>
      <c r="D64" s="8" t="s">
        <v>12098</v>
      </c>
      <c r="E64" s="8" t="s">
        <v>3180</v>
      </c>
      <c r="F64" s="8" t="s">
        <v>12099</v>
      </c>
    </row>
    <row r="65" customHeight="1" spans="1:6">
      <c r="A65" s="6">
        <v>64</v>
      </c>
      <c r="B65" s="8" t="s">
        <v>12096</v>
      </c>
      <c r="C65" s="8" t="s">
        <v>12097</v>
      </c>
      <c r="D65" s="8" t="s">
        <v>12098</v>
      </c>
      <c r="E65" s="8" t="s">
        <v>3180</v>
      </c>
      <c r="F65" s="8" t="s">
        <v>12099</v>
      </c>
    </row>
    <row r="66" customHeight="1" spans="1:6">
      <c r="A66" s="6">
        <v>65</v>
      </c>
      <c r="B66" s="8" t="s">
        <v>12096</v>
      </c>
      <c r="C66" s="8" t="s">
        <v>12097</v>
      </c>
      <c r="D66" s="8" t="s">
        <v>12098</v>
      </c>
      <c r="E66" s="8" t="s">
        <v>3180</v>
      </c>
      <c r="F66" s="8" t="s">
        <v>12099</v>
      </c>
    </row>
    <row r="67" customHeight="1" spans="1:6">
      <c r="A67" s="6">
        <v>66</v>
      </c>
      <c r="B67" s="8" t="s">
        <v>12100</v>
      </c>
      <c r="C67" s="8" t="s">
        <v>12101</v>
      </c>
      <c r="D67" s="8" t="s">
        <v>12102</v>
      </c>
      <c r="E67" s="8" t="s">
        <v>288</v>
      </c>
      <c r="F67" s="8" t="s">
        <v>12103</v>
      </c>
    </row>
    <row r="68" customHeight="1" spans="1:6">
      <c r="A68" s="6">
        <v>67</v>
      </c>
      <c r="B68" s="8" t="s">
        <v>12100</v>
      </c>
      <c r="C68" s="8" t="s">
        <v>12104</v>
      </c>
      <c r="D68" s="8" t="s">
        <v>12102</v>
      </c>
      <c r="E68" s="8" t="s">
        <v>288</v>
      </c>
      <c r="F68" s="8" t="s">
        <v>12105</v>
      </c>
    </row>
    <row r="69" customHeight="1" spans="1:6">
      <c r="A69" s="6">
        <v>68</v>
      </c>
      <c r="B69" s="8" t="s">
        <v>12106</v>
      </c>
      <c r="C69" s="8" t="s">
        <v>12107</v>
      </c>
      <c r="D69" s="8" t="s">
        <v>12108</v>
      </c>
      <c r="E69" s="8" t="s">
        <v>33</v>
      </c>
      <c r="F69" s="8" t="s">
        <v>12109</v>
      </c>
    </row>
    <row r="70" customHeight="1" spans="1:6">
      <c r="A70" s="6">
        <v>69</v>
      </c>
      <c r="B70" s="8" t="s">
        <v>12106</v>
      </c>
      <c r="C70" s="8" t="s">
        <v>12107</v>
      </c>
      <c r="D70" s="8" t="s">
        <v>12108</v>
      </c>
      <c r="E70" s="8" t="s">
        <v>33</v>
      </c>
      <c r="F70" s="8" t="s">
        <v>12109</v>
      </c>
    </row>
    <row r="71" customHeight="1" spans="1:6">
      <c r="A71" s="6">
        <v>70</v>
      </c>
      <c r="B71" s="7" t="str">
        <f>"978-7-101-11017-3"</f>
        <v>978-7-101-11017-3</v>
      </c>
      <c r="C71" s="7" t="str">
        <f>"交错的文化史论集"</f>
        <v>交错的文化史论集</v>
      </c>
      <c r="D71" s="7" t="str">
        <f>"复旦大学文史研究院编"</f>
        <v>复旦大学文史研究院编</v>
      </c>
      <c r="E71" s="7" t="str">
        <f>"中华书局"</f>
        <v>中华书局</v>
      </c>
      <c r="F71" s="7" t="str">
        <f>"K203-53/28"</f>
        <v>K203-53/28</v>
      </c>
    </row>
    <row r="72" customHeight="1" spans="1:6">
      <c r="A72" s="6">
        <v>71</v>
      </c>
      <c r="B72" s="7" t="str">
        <f>"978-7-101-11017-3"</f>
        <v>978-7-101-11017-3</v>
      </c>
      <c r="C72" s="7" t="str">
        <f>"交错的文化史论集"</f>
        <v>交错的文化史论集</v>
      </c>
      <c r="D72" s="7" t="str">
        <f>"复旦大学文史研究院编"</f>
        <v>复旦大学文史研究院编</v>
      </c>
      <c r="E72" s="7" t="str">
        <f>"中华书局"</f>
        <v>中华书局</v>
      </c>
      <c r="F72" s="7" t="str">
        <f>"K203-53/28"</f>
        <v>K203-53/28</v>
      </c>
    </row>
    <row r="73" customHeight="1" spans="1:6">
      <c r="A73" s="6">
        <v>72</v>
      </c>
      <c r="B73" s="8" t="s">
        <v>12110</v>
      </c>
      <c r="C73" s="8" t="s">
        <v>12111</v>
      </c>
      <c r="D73" s="8" t="s">
        <v>12112</v>
      </c>
      <c r="E73" s="8" t="s">
        <v>9894</v>
      </c>
      <c r="F73" s="8" t="s">
        <v>12113</v>
      </c>
    </row>
    <row r="74" customHeight="1" spans="1:6">
      <c r="A74" s="6">
        <v>73</v>
      </c>
      <c r="B74" s="8" t="s">
        <v>12110</v>
      </c>
      <c r="C74" s="8" t="s">
        <v>12111</v>
      </c>
      <c r="D74" s="8" t="s">
        <v>12112</v>
      </c>
      <c r="E74" s="8" t="s">
        <v>9894</v>
      </c>
      <c r="F74" s="8" t="s">
        <v>12113</v>
      </c>
    </row>
    <row r="75" customHeight="1" spans="1:6">
      <c r="A75" s="6">
        <v>74</v>
      </c>
      <c r="B75" s="7" t="str">
        <f t="shared" ref="B75:B78" si="34">"978-7-5199-1047-1"</f>
        <v>978-7-5199-1047-1</v>
      </c>
      <c r="C75" s="7" t="str">
        <f>"乐读《史记》．上册"</f>
        <v>乐读《史记》．上册</v>
      </c>
      <c r="D75" s="7" t="str">
        <f t="shared" ref="D75:D78" si="35">"杨铄今著"</f>
        <v>杨铄今著</v>
      </c>
      <c r="E75" s="7" t="str">
        <f t="shared" ref="E75:E78" si="36">"研究出版社"</f>
        <v>研究出版社</v>
      </c>
      <c r="F75" s="7" t="str">
        <f>"K204.2/170/1"</f>
        <v>K204.2/170/1</v>
      </c>
    </row>
    <row r="76" customHeight="1" spans="1:6">
      <c r="A76" s="6">
        <v>75</v>
      </c>
      <c r="B76" s="7" t="str">
        <f t="shared" si="34"/>
        <v>978-7-5199-1047-1</v>
      </c>
      <c r="C76" s="7" t="str">
        <f>"乐读《史记》．上册"</f>
        <v>乐读《史记》．上册</v>
      </c>
      <c r="D76" s="7" t="str">
        <f t="shared" si="35"/>
        <v>杨铄今著</v>
      </c>
      <c r="E76" s="7" t="str">
        <f t="shared" si="36"/>
        <v>研究出版社</v>
      </c>
      <c r="F76" s="7" t="str">
        <f>"K204.2/170/1"</f>
        <v>K204.2/170/1</v>
      </c>
    </row>
    <row r="77" customHeight="1" spans="1:6">
      <c r="A77" s="6">
        <v>76</v>
      </c>
      <c r="B77" s="7" t="str">
        <f t="shared" si="34"/>
        <v>978-7-5199-1047-1</v>
      </c>
      <c r="C77" s="7" t="str">
        <f>"乐读《史记》．下册"</f>
        <v>乐读《史记》．下册</v>
      </c>
      <c r="D77" s="7" t="str">
        <f t="shared" si="35"/>
        <v>杨铄今著</v>
      </c>
      <c r="E77" s="7" t="str">
        <f t="shared" si="36"/>
        <v>研究出版社</v>
      </c>
      <c r="F77" s="7" t="str">
        <f>"K204.2/170/2"</f>
        <v>K204.2/170/2</v>
      </c>
    </row>
    <row r="78" customHeight="1" spans="1:6">
      <c r="A78" s="6">
        <v>77</v>
      </c>
      <c r="B78" s="7" t="str">
        <f t="shared" si="34"/>
        <v>978-7-5199-1047-1</v>
      </c>
      <c r="C78" s="7" t="str">
        <f>"乐读《史记》．下册"</f>
        <v>乐读《史记》．下册</v>
      </c>
      <c r="D78" s="7" t="str">
        <f t="shared" si="35"/>
        <v>杨铄今著</v>
      </c>
      <c r="E78" s="7" t="str">
        <f t="shared" si="36"/>
        <v>研究出版社</v>
      </c>
      <c r="F78" s="7" t="str">
        <f>"K204.2/170/2"</f>
        <v>K204.2/170/2</v>
      </c>
    </row>
    <row r="79" customHeight="1" spans="1:6">
      <c r="A79" s="6">
        <v>78</v>
      </c>
      <c r="B79" s="8" t="s">
        <v>12114</v>
      </c>
      <c r="C79" s="8" t="s">
        <v>12115</v>
      </c>
      <c r="D79" s="8" t="s">
        <v>12116</v>
      </c>
      <c r="E79" s="8" t="s">
        <v>2143</v>
      </c>
      <c r="F79" s="8" t="s">
        <v>12117</v>
      </c>
    </row>
    <row r="80" customHeight="1" spans="1:6">
      <c r="A80" s="6">
        <v>79</v>
      </c>
      <c r="B80" s="8" t="s">
        <v>12114</v>
      </c>
      <c r="C80" s="8" t="s">
        <v>12115</v>
      </c>
      <c r="D80" s="8" t="s">
        <v>12116</v>
      </c>
      <c r="E80" s="8" t="s">
        <v>2143</v>
      </c>
      <c r="F80" s="8" t="s">
        <v>12117</v>
      </c>
    </row>
    <row r="81" customHeight="1" spans="1:6">
      <c r="A81" s="6">
        <v>80</v>
      </c>
      <c r="B81" s="8" t="s">
        <v>12114</v>
      </c>
      <c r="C81" s="8" t="s">
        <v>12118</v>
      </c>
      <c r="D81" s="8" t="s">
        <v>12116</v>
      </c>
      <c r="E81" s="8" t="s">
        <v>2143</v>
      </c>
      <c r="F81" s="8" t="s">
        <v>12119</v>
      </c>
    </row>
    <row r="82" customHeight="1" spans="1:6">
      <c r="A82" s="6">
        <v>81</v>
      </c>
      <c r="B82" s="8" t="s">
        <v>12114</v>
      </c>
      <c r="C82" s="8" t="s">
        <v>12118</v>
      </c>
      <c r="D82" s="8" t="s">
        <v>12116</v>
      </c>
      <c r="E82" s="8" t="s">
        <v>2143</v>
      </c>
      <c r="F82" s="8" t="s">
        <v>12119</v>
      </c>
    </row>
    <row r="83" customHeight="1" spans="1:6">
      <c r="A83" s="6">
        <v>82</v>
      </c>
      <c r="B83" s="7" t="str">
        <f t="shared" ref="B83:B85" si="37">"978-7-5596-3913-4"</f>
        <v>978-7-5596-3913-4</v>
      </c>
      <c r="C83" s="7" t="str">
        <f t="shared" ref="C83:C85" si="38">"为什么是中国"</f>
        <v>为什么是中国</v>
      </c>
      <c r="D83" s="7" t="str">
        <f t="shared" ref="D83:D85" si="39">"金一南著"</f>
        <v>金一南著</v>
      </c>
      <c r="E83" s="7" t="str">
        <f t="shared" ref="E83:E85" si="40">"北京联合出版公司"</f>
        <v>北京联合出版公司</v>
      </c>
      <c r="F83" s="7" t="str">
        <f t="shared" ref="F83:F85" si="41">"K205/25"</f>
        <v>K205/25</v>
      </c>
    </row>
    <row r="84" customHeight="1" spans="1:6">
      <c r="A84" s="6">
        <v>83</v>
      </c>
      <c r="B84" s="7" t="str">
        <f t="shared" si="37"/>
        <v>978-7-5596-3913-4</v>
      </c>
      <c r="C84" s="7" t="str">
        <f t="shared" si="38"/>
        <v>为什么是中国</v>
      </c>
      <c r="D84" s="7" t="str">
        <f t="shared" si="39"/>
        <v>金一南著</v>
      </c>
      <c r="E84" s="7" t="str">
        <f t="shared" si="40"/>
        <v>北京联合出版公司</v>
      </c>
      <c r="F84" s="7" t="str">
        <f t="shared" si="41"/>
        <v>K205/25</v>
      </c>
    </row>
    <row r="85" customHeight="1" spans="1:6">
      <c r="A85" s="6">
        <v>84</v>
      </c>
      <c r="B85" s="7" t="str">
        <f t="shared" si="37"/>
        <v>978-7-5596-3913-4</v>
      </c>
      <c r="C85" s="7" t="str">
        <f t="shared" si="38"/>
        <v>为什么是中国</v>
      </c>
      <c r="D85" s="7" t="str">
        <f t="shared" si="39"/>
        <v>金一南著</v>
      </c>
      <c r="E85" s="7" t="str">
        <f t="shared" si="40"/>
        <v>北京联合出版公司</v>
      </c>
      <c r="F85" s="7" t="str">
        <f t="shared" si="41"/>
        <v>K205/25</v>
      </c>
    </row>
    <row r="86" customHeight="1" spans="1:6">
      <c r="A86" s="6">
        <v>85</v>
      </c>
      <c r="B86" s="7" t="str">
        <f>"978-7-5075-5479-3"</f>
        <v>978-7-5075-5479-3</v>
      </c>
      <c r="C86" s="7" t="str">
        <f>"遗失在西方的中国史．中国瓷器史"</f>
        <v>遗失在西方的中国史．中国瓷器史</v>
      </c>
      <c r="D86" s="7" t="str">
        <f>"(英) 威廉·科斯莫·蒙克豪斯， 卜士礼著；邓宏春译"</f>
        <v>(英) 威廉·科斯莫·蒙克豪斯， 卜士礼著；邓宏春译</v>
      </c>
      <c r="E86" s="7" t="str">
        <f>"华文出版社"</f>
        <v>华文出版社</v>
      </c>
      <c r="F86" s="7" t="str">
        <f>"K206/14"</f>
        <v>K206/14</v>
      </c>
    </row>
    <row r="87" customHeight="1" spans="1:6">
      <c r="A87" s="6">
        <v>86</v>
      </c>
      <c r="B87" s="7" t="str">
        <f>"978-7-5075-5479-3"</f>
        <v>978-7-5075-5479-3</v>
      </c>
      <c r="C87" s="7" t="str">
        <f>"遗失在西方的中国史．中国瓷器史"</f>
        <v>遗失在西方的中国史．中国瓷器史</v>
      </c>
      <c r="D87" s="7" t="str">
        <f>"(英) 威廉·科斯莫·蒙克豪斯， 卜士礼著；邓宏春译"</f>
        <v>(英) 威廉·科斯莫·蒙克豪斯， 卜士礼著；邓宏春译</v>
      </c>
      <c r="E87" s="7" t="str">
        <f>"华文出版社"</f>
        <v>华文出版社</v>
      </c>
      <c r="F87" s="7" t="str">
        <f>"K206/14"</f>
        <v>K206/14</v>
      </c>
    </row>
    <row r="88" customHeight="1" spans="1:6">
      <c r="A88" s="6">
        <v>87</v>
      </c>
      <c r="B88" s="7" t="str">
        <f>"978-7-5520-3628-2"</f>
        <v>978-7-5520-3628-2</v>
      </c>
      <c r="C88" s="7" t="str">
        <f>"中国与世界：70年的历程：第八届世界中国学论坛实录：progressing together over 70 years：record of the 8th world forum on China studies"</f>
        <v>中国与世界：70年的历程：第八届世界中国学论坛实录：progressing together over 70 years：record of the 8th world forum on China studies</v>
      </c>
      <c r="D88" s="7" t="str">
        <f>"乔兆红编"</f>
        <v>乔兆红编</v>
      </c>
      <c r="E88" s="7" t="str">
        <f>"上海社会科学院出版社"</f>
        <v>上海社会科学院出版社</v>
      </c>
      <c r="F88" s="7" t="str">
        <f>"K207.8/53/8"</f>
        <v>K207.8/53/8</v>
      </c>
    </row>
    <row r="89" customHeight="1" spans="1:6">
      <c r="A89" s="6">
        <v>88</v>
      </c>
      <c r="B89" s="7" t="str">
        <f>"978-7-5520-3628-2"</f>
        <v>978-7-5520-3628-2</v>
      </c>
      <c r="C89" s="7" t="str">
        <f>"中国与世界：70年的历程：第八届世界中国学论坛实录：progressing together over 70 years：record of the 8th world forum on China studies"</f>
        <v>中国与世界：70年的历程：第八届世界中国学论坛实录：progressing together over 70 years：record of the 8th world forum on China studies</v>
      </c>
      <c r="D89" s="7" t="str">
        <f>"乔兆红编"</f>
        <v>乔兆红编</v>
      </c>
      <c r="E89" s="7" t="str">
        <f>"上海社会科学院出版社"</f>
        <v>上海社会科学院出版社</v>
      </c>
      <c r="F89" s="7" t="str">
        <f>"K207.8/53/8"</f>
        <v>K207.8/53/8</v>
      </c>
    </row>
    <row r="90" customHeight="1" spans="1:6">
      <c r="A90" s="6">
        <v>89</v>
      </c>
      <c r="B90" s="7" t="str">
        <f>"978-7-101-14624-0"</f>
        <v>978-7-101-14624-0</v>
      </c>
      <c r="C90" s="7" t="str">
        <f>"侧看成峰：葛兆光海外学术论著评论集"</f>
        <v>侧看成峰：葛兆光海外学术论著评论集</v>
      </c>
      <c r="D90" s="7" t="str">
        <f>" "</f>
        <v> </v>
      </c>
      <c r="E90" s="7" t="str">
        <f>"中华书局"</f>
        <v>中华书局</v>
      </c>
      <c r="F90" s="7" t="str">
        <f>"K207.8-53/8"</f>
        <v>K207.8-53/8</v>
      </c>
    </row>
    <row r="91" customHeight="1" spans="1:6">
      <c r="A91" s="6">
        <v>90</v>
      </c>
      <c r="B91" s="7" t="str">
        <f>"978-7-101-14624-0"</f>
        <v>978-7-101-14624-0</v>
      </c>
      <c r="C91" s="7" t="str">
        <f>"侧看成峰：葛兆光海外学术论著评论集"</f>
        <v>侧看成峰：葛兆光海外学术论著评论集</v>
      </c>
      <c r="D91" s="7" t="str">
        <f>" "</f>
        <v> </v>
      </c>
      <c r="E91" s="7" t="str">
        <f>"中华书局"</f>
        <v>中华书局</v>
      </c>
      <c r="F91" s="7" t="str">
        <f>"K207.8-53/8"</f>
        <v>K207.8-53/8</v>
      </c>
    </row>
    <row r="92" customHeight="1" spans="1:6">
      <c r="A92" s="6">
        <v>91</v>
      </c>
      <c r="B92" s="8" t="s">
        <v>12120</v>
      </c>
      <c r="C92" s="8" t="s">
        <v>12121</v>
      </c>
      <c r="D92" s="8" t="s">
        <v>12122</v>
      </c>
      <c r="E92" s="8" t="s">
        <v>261</v>
      </c>
      <c r="F92" s="8" t="s">
        <v>12123</v>
      </c>
    </row>
    <row r="93" customHeight="1" spans="1:6">
      <c r="A93" s="6">
        <v>92</v>
      </c>
      <c r="B93" s="8" t="s">
        <v>12120</v>
      </c>
      <c r="C93" s="8" t="s">
        <v>12121</v>
      </c>
      <c r="D93" s="8" t="s">
        <v>12122</v>
      </c>
      <c r="E93" s="8" t="s">
        <v>261</v>
      </c>
      <c r="F93" s="8" t="s">
        <v>12123</v>
      </c>
    </row>
    <row r="94" customHeight="1" spans="1:6">
      <c r="A94" s="6">
        <v>93</v>
      </c>
      <c r="B94" s="8" t="s">
        <v>12120</v>
      </c>
      <c r="C94" s="8" t="s">
        <v>12121</v>
      </c>
      <c r="D94" s="8" t="s">
        <v>12122</v>
      </c>
      <c r="E94" s="8" t="s">
        <v>261</v>
      </c>
      <c r="F94" s="8" t="s">
        <v>12123</v>
      </c>
    </row>
    <row r="95" customHeight="1" spans="1:6">
      <c r="A95" s="6">
        <v>94</v>
      </c>
      <c r="B95" s="8" t="s">
        <v>12124</v>
      </c>
      <c r="C95" s="8" t="s">
        <v>12125</v>
      </c>
      <c r="D95" s="8" t="s">
        <v>12126</v>
      </c>
      <c r="E95" s="8" t="s">
        <v>202</v>
      </c>
      <c r="F95" s="8" t="s">
        <v>12127</v>
      </c>
    </row>
    <row r="96" customHeight="1" spans="1:6">
      <c r="A96" s="6">
        <v>95</v>
      </c>
      <c r="B96" s="8" t="s">
        <v>12124</v>
      </c>
      <c r="C96" s="8" t="s">
        <v>12125</v>
      </c>
      <c r="D96" s="8" t="s">
        <v>12126</v>
      </c>
      <c r="E96" s="8" t="s">
        <v>202</v>
      </c>
      <c r="F96" s="8" t="s">
        <v>12127</v>
      </c>
    </row>
    <row r="97" customHeight="1" spans="1:6">
      <c r="A97" s="6">
        <v>96</v>
      </c>
      <c r="B97" s="8" t="s">
        <v>12124</v>
      </c>
      <c r="C97" s="8" t="s">
        <v>12125</v>
      </c>
      <c r="D97" s="8" t="s">
        <v>12126</v>
      </c>
      <c r="E97" s="8" t="s">
        <v>202</v>
      </c>
      <c r="F97" s="8" t="s">
        <v>12127</v>
      </c>
    </row>
    <row r="98" customHeight="1" spans="1:6">
      <c r="A98" s="6">
        <v>97</v>
      </c>
      <c r="B98" s="7" t="str">
        <f t="shared" ref="B98:B100" si="42">"978-7-5217-3221-4"</f>
        <v>978-7-5217-3221-4</v>
      </c>
      <c r="C98" s="7" t="str">
        <f t="shared" ref="C98:C100" si="43">"文化的江山．07：追求思想共和的时代"</f>
        <v>文化的江山．07：追求思想共和的时代</v>
      </c>
      <c r="D98" s="7" t="str">
        <f t="shared" ref="D98:D100" si="44">"刘刚， 李冬君著"</f>
        <v>刘刚， 李冬君著</v>
      </c>
      <c r="E98" s="7" t="str">
        <f t="shared" ref="E98:E100" si="45">"中信出版集团股份有限公司"</f>
        <v>中信出版集团股份有限公司</v>
      </c>
      <c r="F98" s="7" t="str">
        <f t="shared" ref="F98:F100" si="46">"K209/439/7"</f>
        <v>K209/439/7</v>
      </c>
    </row>
    <row r="99" customHeight="1" spans="1:6">
      <c r="A99" s="6">
        <v>98</v>
      </c>
      <c r="B99" s="7" t="str">
        <f t="shared" si="42"/>
        <v>978-7-5217-3221-4</v>
      </c>
      <c r="C99" s="7" t="str">
        <f t="shared" si="43"/>
        <v>文化的江山．07：追求思想共和的时代</v>
      </c>
      <c r="D99" s="7" t="str">
        <f t="shared" si="44"/>
        <v>刘刚， 李冬君著</v>
      </c>
      <c r="E99" s="7" t="str">
        <f t="shared" si="45"/>
        <v>中信出版集团股份有限公司</v>
      </c>
      <c r="F99" s="7" t="str">
        <f t="shared" si="46"/>
        <v>K209/439/7</v>
      </c>
    </row>
    <row r="100" customHeight="1" spans="1:6">
      <c r="A100" s="6">
        <v>99</v>
      </c>
      <c r="B100" s="7" t="str">
        <f t="shared" si="42"/>
        <v>978-7-5217-3221-4</v>
      </c>
      <c r="C100" s="7" t="str">
        <f t="shared" si="43"/>
        <v>文化的江山．07：追求思想共和的时代</v>
      </c>
      <c r="D100" s="7" t="str">
        <f t="shared" si="44"/>
        <v>刘刚， 李冬君著</v>
      </c>
      <c r="E100" s="7" t="str">
        <f t="shared" si="45"/>
        <v>中信出版集团股份有限公司</v>
      </c>
      <c r="F100" s="7" t="str">
        <f t="shared" si="46"/>
        <v>K209/439/7</v>
      </c>
    </row>
    <row r="101" customHeight="1" spans="1:6">
      <c r="A101" s="6">
        <v>100</v>
      </c>
      <c r="B101" s="7" t="str">
        <f>"978-7-218-09165-5"</f>
        <v>978-7-218-09165-5</v>
      </c>
      <c r="C101" s="7" t="str">
        <f>"胡守为集"</f>
        <v>胡守为集</v>
      </c>
      <c r="D101" s="7" t="str">
        <f>"胡守为著；东莞市政协编"</f>
        <v>胡守为著；东莞市政协编</v>
      </c>
      <c r="E101" s="7" t="str">
        <f>"广东人民出版社"</f>
        <v>广东人民出版社</v>
      </c>
      <c r="F101" s="7" t="str">
        <f>"K220.7/97"</f>
        <v>K220.7/97</v>
      </c>
    </row>
    <row r="102" customHeight="1" spans="1:6">
      <c r="A102" s="6">
        <v>101</v>
      </c>
      <c r="B102" s="7" t="str">
        <f>"978-7-5455-5883-8"</f>
        <v>978-7-5455-5883-8</v>
      </c>
      <c r="C102" s="7" t="str">
        <f>"历史的荣耀：中央帝国的时运、铁血与霸业"</f>
        <v>历史的荣耀：中央帝国的时运、铁血与霸业</v>
      </c>
      <c r="D102" s="7" t="str">
        <f>"历史研习社编著"</f>
        <v>历史研习社编著</v>
      </c>
      <c r="E102" s="7" t="str">
        <f>"天地出版社"</f>
        <v>天地出版社</v>
      </c>
      <c r="F102" s="7" t="str">
        <f>"K220.9/729"</f>
        <v>K220.9/729</v>
      </c>
    </row>
    <row r="103" customHeight="1" spans="1:6">
      <c r="A103" s="6">
        <v>102</v>
      </c>
      <c r="B103" s="7" t="str">
        <f>"978-7-5455-5883-8"</f>
        <v>978-7-5455-5883-8</v>
      </c>
      <c r="C103" s="7" t="str">
        <f>"历史的荣耀：中央帝国的时运、铁血与霸业"</f>
        <v>历史的荣耀：中央帝国的时运、铁血与霸业</v>
      </c>
      <c r="D103" s="7" t="str">
        <f>"历史研习社编著"</f>
        <v>历史研习社编著</v>
      </c>
      <c r="E103" s="7" t="str">
        <f>"天地出版社"</f>
        <v>天地出版社</v>
      </c>
      <c r="F103" s="7" t="str">
        <f>"K220.9/729"</f>
        <v>K220.9/729</v>
      </c>
    </row>
    <row r="104" customHeight="1" spans="1:6">
      <c r="A104" s="6">
        <v>103</v>
      </c>
      <c r="B104" s="8" t="s">
        <v>12128</v>
      </c>
      <c r="C104" s="8" t="s">
        <v>12129</v>
      </c>
      <c r="D104" s="8" t="s">
        <v>12130</v>
      </c>
      <c r="E104" s="8" t="s">
        <v>33</v>
      </c>
      <c r="F104" s="8" t="s">
        <v>12131</v>
      </c>
    </row>
    <row r="105" customHeight="1" spans="1:6">
      <c r="A105" s="6">
        <v>104</v>
      </c>
      <c r="B105" s="8" t="s">
        <v>12128</v>
      </c>
      <c r="C105" s="8" t="s">
        <v>12129</v>
      </c>
      <c r="D105" s="8" t="s">
        <v>12130</v>
      </c>
      <c r="E105" s="8" t="s">
        <v>33</v>
      </c>
      <c r="F105" s="8" t="s">
        <v>12131</v>
      </c>
    </row>
    <row r="106" customHeight="1" spans="1:6">
      <c r="A106" s="6">
        <v>105</v>
      </c>
      <c r="B106" s="7" t="str">
        <f>"978-7-5760-0276-8"</f>
        <v>978-7-5760-0276-8</v>
      </c>
      <c r="C106" s="7" t="str">
        <f>"春秋左傳杜氏集解辨正"</f>
        <v>春秋左傳杜氏集解辨正</v>
      </c>
      <c r="D106" s="7" t="str">
        <f>"廖平著；陳緒波校注"</f>
        <v>廖平著；陳緒波校注</v>
      </c>
      <c r="E106" s="7" t="str">
        <f>"華東師範大學出版社"</f>
        <v>華東師範大學出版社</v>
      </c>
      <c r="F106" s="7" t="str">
        <f>"K225.04/92"</f>
        <v>K225.04/92</v>
      </c>
    </row>
    <row r="107" customHeight="1" spans="1:6">
      <c r="A107" s="6">
        <v>106</v>
      </c>
      <c r="B107" s="7" t="str">
        <f>"978-7-5760-0276-8"</f>
        <v>978-7-5760-0276-8</v>
      </c>
      <c r="C107" s="7" t="str">
        <f>"春秋左傳杜氏集解辨正"</f>
        <v>春秋左傳杜氏集解辨正</v>
      </c>
      <c r="D107" s="7" t="str">
        <f>"廖平著；陳緒波校注"</f>
        <v>廖平著；陳緒波校注</v>
      </c>
      <c r="E107" s="7" t="str">
        <f>"華東師範大學出版社"</f>
        <v>華東師範大學出版社</v>
      </c>
      <c r="F107" s="7" t="str">
        <f>"K225.04/92"</f>
        <v>K225.04/92</v>
      </c>
    </row>
    <row r="108" customHeight="1" spans="1:6">
      <c r="A108" s="6">
        <v>107</v>
      </c>
      <c r="B108" s="7" t="str">
        <f>"978-7-201-17320-7"</f>
        <v>978-7-201-17320-7</v>
      </c>
      <c r="C108" s="7" t="str">
        <f>"《左传》“以礼解经”探微"</f>
        <v>《左传》“以礼解经”探微</v>
      </c>
      <c r="D108" s="7" t="str">
        <f>"王竹波著"</f>
        <v>王竹波著</v>
      </c>
      <c r="E108" s="7" t="str">
        <f>"天津人民出版社"</f>
        <v>天津人民出版社</v>
      </c>
      <c r="F108" s="7" t="str">
        <f>"K225.04/93"</f>
        <v>K225.04/93</v>
      </c>
    </row>
    <row r="109" customHeight="1" spans="1:6">
      <c r="A109" s="6">
        <v>108</v>
      </c>
      <c r="B109" s="7" t="str">
        <f>"978-7-201-17320-7"</f>
        <v>978-7-201-17320-7</v>
      </c>
      <c r="C109" s="7" t="str">
        <f>"《左传》“以礼解经”探微"</f>
        <v>《左传》“以礼解经”探微</v>
      </c>
      <c r="D109" s="7" t="str">
        <f>"王竹波著"</f>
        <v>王竹波著</v>
      </c>
      <c r="E109" s="7" t="str">
        <f>"天津人民出版社"</f>
        <v>天津人民出版社</v>
      </c>
      <c r="F109" s="7" t="str">
        <f>"K225.04/93"</f>
        <v>K225.04/93</v>
      </c>
    </row>
    <row r="110" customHeight="1" spans="1:6">
      <c r="A110" s="6">
        <v>109</v>
      </c>
      <c r="B110" s="7" t="str">
        <f>"978-7-101-15101-5"</f>
        <v>978-7-101-15101-5</v>
      </c>
      <c r="C110" s="7" t="str">
        <f>"春秋集註"</f>
        <v>春秋集註</v>
      </c>
      <c r="D110" s="7" t="str">
        <f>"(南宋) 張洽撰；陳峴點校"</f>
        <v>(南宋) 張洽撰；陳峴點校</v>
      </c>
      <c r="E110" s="7" t="str">
        <f t="shared" ref="E110:E115" si="47">"中華書局"</f>
        <v>中華書局</v>
      </c>
      <c r="F110" s="7" t="str">
        <f>"K225.04/94"</f>
        <v>K225.04/94</v>
      </c>
    </row>
    <row r="111" customHeight="1" spans="1:6">
      <c r="A111" s="6">
        <v>110</v>
      </c>
      <c r="B111" s="7" t="str">
        <f>"978-7-101-15101-5"</f>
        <v>978-7-101-15101-5</v>
      </c>
      <c r="C111" s="7" t="str">
        <f>"春秋集註"</f>
        <v>春秋集註</v>
      </c>
      <c r="D111" s="7" t="str">
        <f>"(南宋) 張洽撰；陳峴點校"</f>
        <v>(南宋) 張洽撰；陳峴點校</v>
      </c>
      <c r="E111" s="7" t="str">
        <f t="shared" si="47"/>
        <v>中華書局</v>
      </c>
      <c r="F111" s="7" t="str">
        <f>"K225.04/94"</f>
        <v>K225.04/94</v>
      </c>
    </row>
    <row r="112" customHeight="1" spans="1:6">
      <c r="A112" s="6">
        <v>111</v>
      </c>
      <c r="B112" s="7" t="str">
        <f t="shared" ref="B112:B115" si="48">"978-7-101-14816-9"</f>
        <v>978-7-101-14816-9</v>
      </c>
      <c r="C112" s="7" t="str">
        <f>"春秋正辭箋．上册"</f>
        <v>春秋正辭箋．上册</v>
      </c>
      <c r="D112" s="7" t="str">
        <f t="shared" ref="D112:D115" si="49">"(清) 莊存與撰；辛智慧箋"</f>
        <v>(清) 莊存與撰；辛智慧箋</v>
      </c>
      <c r="E112" s="7" t="str">
        <f t="shared" si="47"/>
        <v>中華書局</v>
      </c>
      <c r="F112" s="7" t="str">
        <f>"K225.04/95/1"</f>
        <v>K225.04/95/1</v>
      </c>
    </row>
    <row r="113" customHeight="1" spans="1:6">
      <c r="A113" s="6">
        <v>112</v>
      </c>
      <c r="B113" s="7" t="str">
        <f t="shared" si="48"/>
        <v>978-7-101-14816-9</v>
      </c>
      <c r="C113" s="7" t="str">
        <f>"春秋正辭箋．上册"</f>
        <v>春秋正辭箋．上册</v>
      </c>
      <c r="D113" s="7" t="str">
        <f t="shared" si="49"/>
        <v>(清) 莊存與撰；辛智慧箋</v>
      </c>
      <c r="E113" s="7" t="str">
        <f t="shared" si="47"/>
        <v>中華書局</v>
      </c>
      <c r="F113" s="7" t="str">
        <f>"K225.04/95/1"</f>
        <v>K225.04/95/1</v>
      </c>
    </row>
    <row r="114" customHeight="1" spans="1:6">
      <c r="A114" s="6">
        <v>113</v>
      </c>
      <c r="B114" s="7" t="str">
        <f t="shared" si="48"/>
        <v>978-7-101-14816-9</v>
      </c>
      <c r="C114" s="7" t="str">
        <f>"春秋正辭箋．下册"</f>
        <v>春秋正辭箋．下册</v>
      </c>
      <c r="D114" s="7" t="str">
        <f t="shared" si="49"/>
        <v>(清) 莊存與撰；辛智慧箋</v>
      </c>
      <c r="E114" s="7" t="str">
        <f t="shared" si="47"/>
        <v>中華書局</v>
      </c>
      <c r="F114" s="7" t="str">
        <f>"K225.04/95/2"</f>
        <v>K225.04/95/2</v>
      </c>
    </row>
    <row r="115" customHeight="1" spans="1:6">
      <c r="A115" s="6">
        <v>114</v>
      </c>
      <c r="B115" s="7" t="str">
        <f t="shared" si="48"/>
        <v>978-7-101-14816-9</v>
      </c>
      <c r="C115" s="7" t="str">
        <f>"春秋正辭箋．下册"</f>
        <v>春秋正辭箋．下册</v>
      </c>
      <c r="D115" s="7" t="str">
        <f t="shared" si="49"/>
        <v>(清) 莊存與撰；辛智慧箋</v>
      </c>
      <c r="E115" s="7" t="str">
        <f t="shared" si="47"/>
        <v>中華書局</v>
      </c>
      <c r="F115" s="7" t="str">
        <f>"K225.04/95/2"</f>
        <v>K225.04/95/2</v>
      </c>
    </row>
    <row r="116" customHeight="1" spans="1:6">
      <c r="A116" s="6">
        <v>115</v>
      </c>
      <c r="B116" s="7" t="str">
        <f t="shared" ref="B116:B163" si="50">"978-7-5531-1301-2"</f>
        <v>978-7-5531-1301-2</v>
      </c>
      <c r="C116" s="7" t="str">
        <f>"日本左傳學文獻輯刊．1"</f>
        <v>日本左傳學文獻輯刊．1</v>
      </c>
      <c r="D116" s="7" t="str">
        <f t="shared" ref="D116:D163" si="51">"劉偉主編"</f>
        <v>劉偉主編</v>
      </c>
      <c r="E116" s="7" t="str">
        <f t="shared" ref="E116:E163" si="52">"巴蜀書社"</f>
        <v>巴蜀書社</v>
      </c>
      <c r="F116" s="7" t="str">
        <f>"K225.04/96/1"</f>
        <v>K225.04/96/1</v>
      </c>
    </row>
    <row r="117" customHeight="1" spans="1:6">
      <c r="A117" s="6">
        <v>116</v>
      </c>
      <c r="B117" s="7" t="str">
        <f t="shared" si="50"/>
        <v>978-7-5531-1301-2</v>
      </c>
      <c r="C117" s="7" t="str">
        <f>"日本左傳學文獻輯刊．10"</f>
        <v>日本左傳學文獻輯刊．10</v>
      </c>
      <c r="D117" s="7" t="str">
        <f t="shared" si="51"/>
        <v>劉偉主編</v>
      </c>
      <c r="E117" s="7" t="str">
        <f t="shared" si="52"/>
        <v>巴蜀書社</v>
      </c>
      <c r="F117" s="7" t="str">
        <f>"K225.04/96/10"</f>
        <v>K225.04/96/10</v>
      </c>
    </row>
    <row r="118" customHeight="1" spans="1:6">
      <c r="A118" s="6">
        <v>117</v>
      </c>
      <c r="B118" s="7" t="str">
        <f t="shared" si="50"/>
        <v>978-7-5531-1301-2</v>
      </c>
      <c r="C118" s="7" t="str">
        <f>"日本左傳學文獻輯刊．11"</f>
        <v>日本左傳學文獻輯刊．11</v>
      </c>
      <c r="D118" s="7" t="str">
        <f t="shared" si="51"/>
        <v>劉偉主編</v>
      </c>
      <c r="E118" s="7" t="str">
        <f t="shared" si="52"/>
        <v>巴蜀書社</v>
      </c>
      <c r="F118" s="7" t="str">
        <f>"K225.04/96/11"</f>
        <v>K225.04/96/11</v>
      </c>
    </row>
    <row r="119" customHeight="1" spans="1:6">
      <c r="A119" s="6">
        <v>118</v>
      </c>
      <c r="B119" s="7" t="str">
        <f t="shared" si="50"/>
        <v>978-7-5531-1301-2</v>
      </c>
      <c r="C119" s="7" t="str">
        <f>"日本左傳學文獻輯刊．12"</f>
        <v>日本左傳學文獻輯刊．12</v>
      </c>
      <c r="D119" s="7" t="str">
        <f t="shared" si="51"/>
        <v>劉偉主編</v>
      </c>
      <c r="E119" s="7" t="str">
        <f t="shared" si="52"/>
        <v>巴蜀書社</v>
      </c>
      <c r="F119" s="7" t="str">
        <f>"K225.04/96/12"</f>
        <v>K225.04/96/12</v>
      </c>
    </row>
    <row r="120" customHeight="1" spans="1:6">
      <c r="A120" s="6">
        <v>119</v>
      </c>
      <c r="B120" s="7" t="str">
        <f t="shared" si="50"/>
        <v>978-7-5531-1301-2</v>
      </c>
      <c r="C120" s="7" t="str">
        <f>"日本左傳學文獻輯刊．13"</f>
        <v>日本左傳學文獻輯刊．13</v>
      </c>
      <c r="D120" s="7" t="str">
        <f t="shared" si="51"/>
        <v>劉偉主編</v>
      </c>
      <c r="E120" s="7" t="str">
        <f t="shared" si="52"/>
        <v>巴蜀書社</v>
      </c>
      <c r="F120" s="7" t="str">
        <f>"K225.04/96/13"</f>
        <v>K225.04/96/13</v>
      </c>
    </row>
    <row r="121" customHeight="1" spans="1:6">
      <c r="A121" s="6">
        <v>120</v>
      </c>
      <c r="B121" s="7" t="str">
        <f t="shared" si="50"/>
        <v>978-7-5531-1301-2</v>
      </c>
      <c r="C121" s="7" t="str">
        <f>"日本左傳學文獻輯刊．14"</f>
        <v>日本左傳學文獻輯刊．14</v>
      </c>
      <c r="D121" s="7" t="str">
        <f t="shared" si="51"/>
        <v>劉偉主編</v>
      </c>
      <c r="E121" s="7" t="str">
        <f t="shared" si="52"/>
        <v>巴蜀書社</v>
      </c>
      <c r="F121" s="7" t="str">
        <f>"K225.04/96/14"</f>
        <v>K225.04/96/14</v>
      </c>
    </row>
    <row r="122" customHeight="1" spans="1:6">
      <c r="A122" s="6">
        <v>121</v>
      </c>
      <c r="B122" s="7" t="str">
        <f t="shared" si="50"/>
        <v>978-7-5531-1301-2</v>
      </c>
      <c r="C122" s="7" t="str">
        <f>"日本左傳學文獻輯刊．15"</f>
        <v>日本左傳學文獻輯刊．15</v>
      </c>
      <c r="D122" s="7" t="str">
        <f t="shared" si="51"/>
        <v>劉偉主編</v>
      </c>
      <c r="E122" s="7" t="str">
        <f t="shared" si="52"/>
        <v>巴蜀書社</v>
      </c>
      <c r="F122" s="7" t="str">
        <f>"K225.04/96/15"</f>
        <v>K225.04/96/15</v>
      </c>
    </row>
    <row r="123" customHeight="1" spans="1:6">
      <c r="A123" s="6">
        <v>122</v>
      </c>
      <c r="B123" s="7" t="str">
        <f t="shared" si="50"/>
        <v>978-7-5531-1301-2</v>
      </c>
      <c r="C123" s="7" t="str">
        <f>"日本左傳學文獻輯刊．16"</f>
        <v>日本左傳學文獻輯刊．16</v>
      </c>
      <c r="D123" s="7" t="str">
        <f t="shared" si="51"/>
        <v>劉偉主編</v>
      </c>
      <c r="E123" s="7" t="str">
        <f t="shared" si="52"/>
        <v>巴蜀書社</v>
      </c>
      <c r="F123" s="7" t="str">
        <f>"K225.04/96/16"</f>
        <v>K225.04/96/16</v>
      </c>
    </row>
    <row r="124" customHeight="1" spans="1:6">
      <c r="A124" s="6">
        <v>123</v>
      </c>
      <c r="B124" s="7" t="str">
        <f t="shared" si="50"/>
        <v>978-7-5531-1301-2</v>
      </c>
      <c r="C124" s="7" t="str">
        <f>"日本左傳學文獻輯刊．17"</f>
        <v>日本左傳學文獻輯刊．17</v>
      </c>
      <c r="D124" s="7" t="str">
        <f t="shared" si="51"/>
        <v>劉偉主編</v>
      </c>
      <c r="E124" s="7" t="str">
        <f t="shared" si="52"/>
        <v>巴蜀書社</v>
      </c>
      <c r="F124" s="7" t="str">
        <f>"K225.04/96/17"</f>
        <v>K225.04/96/17</v>
      </c>
    </row>
    <row r="125" customHeight="1" spans="1:6">
      <c r="A125" s="6">
        <v>124</v>
      </c>
      <c r="B125" s="7" t="str">
        <f t="shared" si="50"/>
        <v>978-7-5531-1301-2</v>
      </c>
      <c r="C125" s="7" t="str">
        <f>"日本左傳學文獻輯刊．18"</f>
        <v>日本左傳學文獻輯刊．18</v>
      </c>
      <c r="D125" s="7" t="str">
        <f t="shared" si="51"/>
        <v>劉偉主編</v>
      </c>
      <c r="E125" s="7" t="str">
        <f t="shared" si="52"/>
        <v>巴蜀書社</v>
      </c>
      <c r="F125" s="7" t="str">
        <f>"K225.04/96/18"</f>
        <v>K225.04/96/18</v>
      </c>
    </row>
    <row r="126" customHeight="1" spans="1:6">
      <c r="A126" s="6">
        <v>125</v>
      </c>
      <c r="B126" s="7" t="str">
        <f t="shared" si="50"/>
        <v>978-7-5531-1301-2</v>
      </c>
      <c r="C126" s="7" t="str">
        <f>"日本左傳學文獻輯刊．19"</f>
        <v>日本左傳學文獻輯刊．19</v>
      </c>
      <c r="D126" s="7" t="str">
        <f t="shared" si="51"/>
        <v>劉偉主編</v>
      </c>
      <c r="E126" s="7" t="str">
        <f t="shared" si="52"/>
        <v>巴蜀書社</v>
      </c>
      <c r="F126" s="7" t="str">
        <f>"K225.04/96/19"</f>
        <v>K225.04/96/19</v>
      </c>
    </row>
    <row r="127" customHeight="1" spans="1:6">
      <c r="A127" s="6">
        <v>126</v>
      </c>
      <c r="B127" s="7" t="str">
        <f t="shared" si="50"/>
        <v>978-7-5531-1301-2</v>
      </c>
      <c r="C127" s="7" t="str">
        <f>"日本左傳學文獻輯刊．2"</f>
        <v>日本左傳學文獻輯刊．2</v>
      </c>
      <c r="D127" s="7" t="str">
        <f t="shared" si="51"/>
        <v>劉偉主編</v>
      </c>
      <c r="E127" s="7" t="str">
        <f t="shared" si="52"/>
        <v>巴蜀書社</v>
      </c>
      <c r="F127" s="7" t="str">
        <f>"K225.04/96/2"</f>
        <v>K225.04/96/2</v>
      </c>
    </row>
    <row r="128" customHeight="1" spans="1:6">
      <c r="A128" s="6">
        <v>127</v>
      </c>
      <c r="B128" s="7" t="str">
        <f t="shared" si="50"/>
        <v>978-7-5531-1301-2</v>
      </c>
      <c r="C128" s="7" t="str">
        <f>"日本左傳學文獻輯刊．20"</f>
        <v>日本左傳學文獻輯刊．20</v>
      </c>
      <c r="D128" s="7" t="str">
        <f t="shared" si="51"/>
        <v>劉偉主編</v>
      </c>
      <c r="E128" s="7" t="str">
        <f t="shared" si="52"/>
        <v>巴蜀書社</v>
      </c>
      <c r="F128" s="7" t="str">
        <f>"K225.04/96/20"</f>
        <v>K225.04/96/20</v>
      </c>
    </row>
    <row r="129" customHeight="1" spans="1:6">
      <c r="A129" s="6">
        <v>128</v>
      </c>
      <c r="B129" s="7" t="str">
        <f t="shared" si="50"/>
        <v>978-7-5531-1301-2</v>
      </c>
      <c r="C129" s="7" t="str">
        <f>"日本左傳學文獻輯刊．21"</f>
        <v>日本左傳學文獻輯刊．21</v>
      </c>
      <c r="D129" s="7" t="str">
        <f t="shared" si="51"/>
        <v>劉偉主編</v>
      </c>
      <c r="E129" s="7" t="str">
        <f t="shared" si="52"/>
        <v>巴蜀書社</v>
      </c>
      <c r="F129" s="7" t="str">
        <f>"K225.04/96/21"</f>
        <v>K225.04/96/21</v>
      </c>
    </row>
    <row r="130" customHeight="1" spans="1:6">
      <c r="A130" s="6">
        <v>129</v>
      </c>
      <c r="B130" s="7" t="str">
        <f t="shared" si="50"/>
        <v>978-7-5531-1301-2</v>
      </c>
      <c r="C130" s="7" t="str">
        <f>"日本左傳學文獻輯刊．22"</f>
        <v>日本左傳學文獻輯刊．22</v>
      </c>
      <c r="D130" s="7" t="str">
        <f t="shared" si="51"/>
        <v>劉偉主編</v>
      </c>
      <c r="E130" s="7" t="str">
        <f t="shared" si="52"/>
        <v>巴蜀書社</v>
      </c>
      <c r="F130" s="7" t="str">
        <f>"K225.04/96/22"</f>
        <v>K225.04/96/22</v>
      </c>
    </row>
    <row r="131" customHeight="1" spans="1:6">
      <c r="A131" s="6">
        <v>130</v>
      </c>
      <c r="B131" s="7" t="str">
        <f t="shared" si="50"/>
        <v>978-7-5531-1301-2</v>
      </c>
      <c r="C131" s="7" t="str">
        <f>"日本左傳學文獻輯刊．23"</f>
        <v>日本左傳學文獻輯刊．23</v>
      </c>
      <c r="D131" s="7" t="str">
        <f t="shared" si="51"/>
        <v>劉偉主編</v>
      </c>
      <c r="E131" s="7" t="str">
        <f t="shared" si="52"/>
        <v>巴蜀書社</v>
      </c>
      <c r="F131" s="7" t="str">
        <f>"K225.04/96/23"</f>
        <v>K225.04/96/23</v>
      </c>
    </row>
    <row r="132" customHeight="1" spans="1:6">
      <c r="A132" s="6">
        <v>131</v>
      </c>
      <c r="B132" s="7" t="str">
        <f t="shared" si="50"/>
        <v>978-7-5531-1301-2</v>
      </c>
      <c r="C132" s="7" t="str">
        <f>"日本左傳學文獻輯刊．24"</f>
        <v>日本左傳學文獻輯刊．24</v>
      </c>
      <c r="D132" s="7" t="str">
        <f t="shared" si="51"/>
        <v>劉偉主編</v>
      </c>
      <c r="E132" s="7" t="str">
        <f t="shared" si="52"/>
        <v>巴蜀書社</v>
      </c>
      <c r="F132" s="7" t="str">
        <f>"K225.04/96/24"</f>
        <v>K225.04/96/24</v>
      </c>
    </row>
    <row r="133" customHeight="1" spans="1:6">
      <c r="A133" s="6">
        <v>132</v>
      </c>
      <c r="B133" s="7" t="str">
        <f t="shared" si="50"/>
        <v>978-7-5531-1301-2</v>
      </c>
      <c r="C133" s="7" t="str">
        <f>"日本左傳學文獻輯刊．25"</f>
        <v>日本左傳學文獻輯刊．25</v>
      </c>
      <c r="D133" s="7" t="str">
        <f t="shared" si="51"/>
        <v>劉偉主編</v>
      </c>
      <c r="E133" s="7" t="str">
        <f t="shared" si="52"/>
        <v>巴蜀書社</v>
      </c>
      <c r="F133" s="7" t="str">
        <f>"K225.04/96/25"</f>
        <v>K225.04/96/25</v>
      </c>
    </row>
    <row r="134" customHeight="1" spans="1:6">
      <c r="A134" s="6">
        <v>133</v>
      </c>
      <c r="B134" s="7" t="str">
        <f t="shared" si="50"/>
        <v>978-7-5531-1301-2</v>
      </c>
      <c r="C134" s="7" t="str">
        <f>"日本左傳學文獻輯刊．26"</f>
        <v>日本左傳學文獻輯刊．26</v>
      </c>
      <c r="D134" s="7" t="str">
        <f t="shared" si="51"/>
        <v>劉偉主編</v>
      </c>
      <c r="E134" s="7" t="str">
        <f t="shared" si="52"/>
        <v>巴蜀書社</v>
      </c>
      <c r="F134" s="7" t="str">
        <f>"K225.04/96/26"</f>
        <v>K225.04/96/26</v>
      </c>
    </row>
    <row r="135" customHeight="1" spans="1:6">
      <c r="A135" s="6">
        <v>134</v>
      </c>
      <c r="B135" s="7" t="str">
        <f t="shared" si="50"/>
        <v>978-7-5531-1301-2</v>
      </c>
      <c r="C135" s="7" t="str">
        <f>"日本左傳學文獻輯刊．27"</f>
        <v>日本左傳學文獻輯刊．27</v>
      </c>
      <c r="D135" s="7" t="str">
        <f t="shared" si="51"/>
        <v>劉偉主編</v>
      </c>
      <c r="E135" s="7" t="str">
        <f t="shared" si="52"/>
        <v>巴蜀書社</v>
      </c>
      <c r="F135" s="7" t="str">
        <f>"K225.04/96/27"</f>
        <v>K225.04/96/27</v>
      </c>
    </row>
    <row r="136" customHeight="1" spans="1:6">
      <c r="A136" s="6">
        <v>135</v>
      </c>
      <c r="B136" s="7" t="str">
        <f t="shared" si="50"/>
        <v>978-7-5531-1301-2</v>
      </c>
      <c r="C136" s="7" t="str">
        <f>"日本左傳學文獻輯刊．28"</f>
        <v>日本左傳學文獻輯刊．28</v>
      </c>
      <c r="D136" s="7" t="str">
        <f t="shared" si="51"/>
        <v>劉偉主編</v>
      </c>
      <c r="E136" s="7" t="str">
        <f t="shared" si="52"/>
        <v>巴蜀書社</v>
      </c>
      <c r="F136" s="7" t="str">
        <f>"K225.04/96/28"</f>
        <v>K225.04/96/28</v>
      </c>
    </row>
    <row r="137" customHeight="1" spans="1:6">
      <c r="A137" s="6">
        <v>136</v>
      </c>
      <c r="B137" s="7" t="str">
        <f t="shared" si="50"/>
        <v>978-7-5531-1301-2</v>
      </c>
      <c r="C137" s="7" t="str">
        <f>"日本左傳學文獻輯刊．29"</f>
        <v>日本左傳學文獻輯刊．29</v>
      </c>
      <c r="D137" s="7" t="str">
        <f t="shared" si="51"/>
        <v>劉偉主編</v>
      </c>
      <c r="E137" s="7" t="str">
        <f t="shared" si="52"/>
        <v>巴蜀書社</v>
      </c>
      <c r="F137" s="7" t="str">
        <f>"K225.04/96/29"</f>
        <v>K225.04/96/29</v>
      </c>
    </row>
    <row r="138" customHeight="1" spans="1:6">
      <c r="A138" s="6">
        <v>137</v>
      </c>
      <c r="B138" s="7" t="str">
        <f t="shared" si="50"/>
        <v>978-7-5531-1301-2</v>
      </c>
      <c r="C138" s="7" t="str">
        <f>"日本左傳學文獻輯刊．3"</f>
        <v>日本左傳學文獻輯刊．3</v>
      </c>
      <c r="D138" s="7" t="str">
        <f t="shared" si="51"/>
        <v>劉偉主編</v>
      </c>
      <c r="E138" s="7" t="str">
        <f t="shared" si="52"/>
        <v>巴蜀書社</v>
      </c>
      <c r="F138" s="7" t="str">
        <f>"K225.04/96/3"</f>
        <v>K225.04/96/3</v>
      </c>
    </row>
    <row r="139" customHeight="1" spans="1:6">
      <c r="A139" s="6">
        <v>138</v>
      </c>
      <c r="B139" s="7" t="str">
        <f t="shared" si="50"/>
        <v>978-7-5531-1301-2</v>
      </c>
      <c r="C139" s="7" t="str">
        <f>"日本左傳學文獻輯刊．30"</f>
        <v>日本左傳學文獻輯刊．30</v>
      </c>
      <c r="D139" s="7" t="str">
        <f t="shared" si="51"/>
        <v>劉偉主編</v>
      </c>
      <c r="E139" s="7" t="str">
        <f t="shared" si="52"/>
        <v>巴蜀書社</v>
      </c>
      <c r="F139" s="7" t="str">
        <f>"K225.04/96/30"</f>
        <v>K225.04/96/30</v>
      </c>
    </row>
    <row r="140" customHeight="1" spans="1:6">
      <c r="A140" s="6">
        <v>139</v>
      </c>
      <c r="B140" s="7" t="str">
        <f t="shared" si="50"/>
        <v>978-7-5531-1301-2</v>
      </c>
      <c r="C140" s="7" t="str">
        <f>"日本左傳學文獻輯刊．31"</f>
        <v>日本左傳學文獻輯刊．31</v>
      </c>
      <c r="D140" s="7" t="str">
        <f t="shared" si="51"/>
        <v>劉偉主編</v>
      </c>
      <c r="E140" s="7" t="str">
        <f t="shared" si="52"/>
        <v>巴蜀書社</v>
      </c>
      <c r="F140" s="7" t="str">
        <f>"K225.04/96/31"</f>
        <v>K225.04/96/31</v>
      </c>
    </row>
    <row r="141" customHeight="1" spans="1:6">
      <c r="A141" s="6">
        <v>140</v>
      </c>
      <c r="B141" s="7" t="str">
        <f t="shared" si="50"/>
        <v>978-7-5531-1301-2</v>
      </c>
      <c r="C141" s="7" t="str">
        <f>"日本左傳學文獻輯刊．32"</f>
        <v>日本左傳學文獻輯刊．32</v>
      </c>
      <c r="D141" s="7" t="str">
        <f t="shared" si="51"/>
        <v>劉偉主編</v>
      </c>
      <c r="E141" s="7" t="str">
        <f t="shared" si="52"/>
        <v>巴蜀書社</v>
      </c>
      <c r="F141" s="7" t="str">
        <f>"K225.04/96/32"</f>
        <v>K225.04/96/32</v>
      </c>
    </row>
    <row r="142" customHeight="1" spans="1:6">
      <c r="A142" s="6">
        <v>141</v>
      </c>
      <c r="B142" s="7" t="str">
        <f t="shared" si="50"/>
        <v>978-7-5531-1301-2</v>
      </c>
      <c r="C142" s="7" t="str">
        <f>"日本左傳學文獻輯刊．33"</f>
        <v>日本左傳學文獻輯刊．33</v>
      </c>
      <c r="D142" s="7" t="str">
        <f t="shared" si="51"/>
        <v>劉偉主編</v>
      </c>
      <c r="E142" s="7" t="str">
        <f t="shared" si="52"/>
        <v>巴蜀書社</v>
      </c>
      <c r="F142" s="7" t="str">
        <f>"K225.04/96/33"</f>
        <v>K225.04/96/33</v>
      </c>
    </row>
    <row r="143" customHeight="1" spans="1:6">
      <c r="A143" s="6">
        <v>142</v>
      </c>
      <c r="B143" s="7" t="str">
        <f t="shared" si="50"/>
        <v>978-7-5531-1301-2</v>
      </c>
      <c r="C143" s="7" t="str">
        <f>"日本左傳學文獻輯刊．34"</f>
        <v>日本左傳學文獻輯刊．34</v>
      </c>
      <c r="D143" s="7" t="str">
        <f t="shared" si="51"/>
        <v>劉偉主編</v>
      </c>
      <c r="E143" s="7" t="str">
        <f t="shared" si="52"/>
        <v>巴蜀書社</v>
      </c>
      <c r="F143" s="7" t="str">
        <f>"K225.04/96/34"</f>
        <v>K225.04/96/34</v>
      </c>
    </row>
    <row r="144" customHeight="1" spans="1:6">
      <c r="A144" s="6">
        <v>143</v>
      </c>
      <c r="B144" s="7" t="str">
        <f t="shared" si="50"/>
        <v>978-7-5531-1301-2</v>
      </c>
      <c r="C144" s="7" t="str">
        <f>"日本左傳學文獻輯刊．35"</f>
        <v>日本左傳學文獻輯刊．35</v>
      </c>
      <c r="D144" s="7" t="str">
        <f t="shared" si="51"/>
        <v>劉偉主編</v>
      </c>
      <c r="E144" s="7" t="str">
        <f t="shared" si="52"/>
        <v>巴蜀書社</v>
      </c>
      <c r="F144" s="7" t="str">
        <f>"K225.04/96/35"</f>
        <v>K225.04/96/35</v>
      </c>
    </row>
    <row r="145" customHeight="1" spans="1:6">
      <c r="A145" s="6">
        <v>144</v>
      </c>
      <c r="B145" s="7" t="str">
        <f t="shared" si="50"/>
        <v>978-7-5531-1301-2</v>
      </c>
      <c r="C145" s="7" t="str">
        <f>"日本左傳學文獻輯刊．36"</f>
        <v>日本左傳學文獻輯刊．36</v>
      </c>
      <c r="D145" s="7" t="str">
        <f t="shared" si="51"/>
        <v>劉偉主編</v>
      </c>
      <c r="E145" s="7" t="str">
        <f t="shared" si="52"/>
        <v>巴蜀書社</v>
      </c>
      <c r="F145" s="7" t="str">
        <f>"K225.04/96/36"</f>
        <v>K225.04/96/36</v>
      </c>
    </row>
    <row r="146" customHeight="1" spans="1:6">
      <c r="A146" s="6">
        <v>145</v>
      </c>
      <c r="B146" s="7" t="str">
        <f t="shared" si="50"/>
        <v>978-7-5531-1301-2</v>
      </c>
      <c r="C146" s="7" t="str">
        <f>"日本左傳學文獻輯刊．37"</f>
        <v>日本左傳學文獻輯刊．37</v>
      </c>
      <c r="D146" s="7" t="str">
        <f t="shared" si="51"/>
        <v>劉偉主編</v>
      </c>
      <c r="E146" s="7" t="str">
        <f t="shared" si="52"/>
        <v>巴蜀書社</v>
      </c>
      <c r="F146" s="7" t="str">
        <f>"K225.04/96/37"</f>
        <v>K225.04/96/37</v>
      </c>
    </row>
    <row r="147" customHeight="1" spans="1:6">
      <c r="A147" s="6">
        <v>146</v>
      </c>
      <c r="B147" s="7" t="str">
        <f t="shared" si="50"/>
        <v>978-7-5531-1301-2</v>
      </c>
      <c r="C147" s="7" t="str">
        <f>"日本左傳學文獻輯刊．38"</f>
        <v>日本左傳學文獻輯刊．38</v>
      </c>
      <c r="D147" s="7" t="str">
        <f t="shared" si="51"/>
        <v>劉偉主編</v>
      </c>
      <c r="E147" s="7" t="str">
        <f t="shared" si="52"/>
        <v>巴蜀書社</v>
      </c>
      <c r="F147" s="7" t="str">
        <f>"K225.04/96/38"</f>
        <v>K225.04/96/38</v>
      </c>
    </row>
    <row r="148" customHeight="1" spans="1:6">
      <c r="A148" s="6">
        <v>147</v>
      </c>
      <c r="B148" s="7" t="str">
        <f t="shared" si="50"/>
        <v>978-7-5531-1301-2</v>
      </c>
      <c r="C148" s="7" t="str">
        <f>"日本左傳學文獻輯刊．39"</f>
        <v>日本左傳學文獻輯刊．39</v>
      </c>
      <c r="D148" s="7" t="str">
        <f t="shared" si="51"/>
        <v>劉偉主編</v>
      </c>
      <c r="E148" s="7" t="str">
        <f t="shared" si="52"/>
        <v>巴蜀書社</v>
      </c>
      <c r="F148" s="7" t="str">
        <f>"K225.04/96/39"</f>
        <v>K225.04/96/39</v>
      </c>
    </row>
    <row r="149" customHeight="1" spans="1:6">
      <c r="A149" s="6">
        <v>148</v>
      </c>
      <c r="B149" s="7" t="str">
        <f t="shared" si="50"/>
        <v>978-7-5531-1301-2</v>
      </c>
      <c r="C149" s="7" t="str">
        <f>"日本左傳學文獻輯刊．4"</f>
        <v>日本左傳學文獻輯刊．4</v>
      </c>
      <c r="D149" s="7" t="str">
        <f t="shared" si="51"/>
        <v>劉偉主編</v>
      </c>
      <c r="E149" s="7" t="str">
        <f t="shared" si="52"/>
        <v>巴蜀書社</v>
      </c>
      <c r="F149" s="7" t="str">
        <f>"K225.04/96/4"</f>
        <v>K225.04/96/4</v>
      </c>
    </row>
    <row r="150" customHeight="1" spans="1:6">
      <c r="A150" s="6">
        <v>149</v>
      </c>
      <c r="B150" s="7" t="str">
        <f t="shared" si="50"/>
        <v>978-7-5531-1301-2</v>
      </c>
      <c r="C150" s="7" t="str">
        <f>"日本左傳學文獻輯刊．40"</f>
        <v>日本左傳學文獻輯刊．40</v>
      </c>
      <c r="D150" s="7" t="str">
        <f t="shared" si="51"/>
        <v>劉偉主編</v>
      </c>
      <c r="E150" s="7" t="str">
        <f t="shared" si="52"/>
        <v>巴蜀書社</v>
      </c>
      <c r="F150" s="7" t="str">
        <f>"K225.04/96/40"</f>
        <v>K225.04/96/40</v>
      </c>
    </row>
    <row r="151" customHeight="1" spans="1:6">
      <c r="A151" s="6">
        <v>150</v>
      </c>
      <c r="B151" s="7" t="str">
        <f t="shared" si="50"/>
        <v>978-7-5531-1301-2</v>
      </c>
      <c r="C151" s="7" t="str">
        <f>"日本左傳學文獻輯刊．41"</f>
        <v>日本左傳學文獻輯刊．41</v>
      </c>
      <c r="D151" s="7" t="str">
        <f t="shared" si="51"/>
        <v>劉偉主編</v>
      </c>
      <c r="E151" s="7" t="str">
        <f t="shared" si="52"/>
        <v>巴蜀書社</v>
      </c>
      <c r="F151" s="7" t="str">
        <f>"K225.04/96/41"</f>
        <v>K225.04/96/41</v>
      </c>
    </row>
    <row r="152" customHeight="1" spans="1:6">
      <c r="A152" s="6">
        <v>151</v>
      </c>
      <c r="B152" s="7" t="str">
        <f t="shared" si="50"/>
        <v>978-7-5531-1301-2</v>
      </c>
      <c r="C152" s="7" t="str">
        <f>"日本左傳學文獻輯刊．42"</f>
        <v>日本左傳學文獻輯刊．42</v>
      </c>
      <c r="D152" s="7" t="str">
        <f t="shared" si="51"/>
        <v>劉偉主編</v>
      </c>
      <c r="E152" s="7" t="str">
        <f t="shared" si="52"/>
        <v>巴蜀書社</v>
      </c>
      <c r="F152" s="7" t="str">
        <f>"K225.04/96/42"</f>
        <v>K225.04/96/42</v>
      </c>
    </row>
    <row r="153" customHeight="1" spans="1:6">
      <c r="A153" s="6">
        <v>152</v>
      </c>
      <c r="B153" s="7" t="str">
        <f t="shared" si="50"/>
        <v>978-7-5531-1301-2</v>
      </c>
      <c r="C153" s="7" t="str">
        <f>"日本左傳學文獻輯刊．43"</f>
        <v>日本左傳學文獻輯刊．43</v>
      </c>
      <c r="D153" s="7" t="str">
        <f t="shared" si="51"/>
        <v>劉偉主編</v>
      </c>
      <c r="E153" s="7" t="str">
        <f t="shared" si="52"/>
        <v>巴蜀書社</v>
      </c>
      <c r="F153" s="7" t="str">
        <f>"K225.04/96/43"</f>
        <v>K225.04/96/43</v>
      </c>
    </row>
    <row r="154" customHeight="1" spans="1:6">
      <c r="A154" s="6">
        <v>153</v>
      </c>
      <c r="B154" s="7" t="str">
        <f t="shared" si="50"/>
        <v>978-7-5531-1301-2</v>
      </c>
      <c r="C154" s="7" t="str">
        <f>"日本左傳學文獻輯刊．44"</f>
        <v>日本左傳學文獻輯刊．44</v>
      </c>
      <c r="D154" s="7" t="str">
        <f t="shared" si="51"/>
        <v>劉偉主編</v>
      </c>
      <c r="E154" s="7" t="str">
        <f t="shared" si="52"/>
        <v>巴蜀書社</v>
      </c>
      <c r="F154" s="7" t="str">
        <f>"K225.04/96/44"</f>
        <v>K225.04/96/44</v>
      </c>
    </row>
    <row r="155" customHeight="1" spans="1:6">
      <c r="A155" s="6">
        <v>154</v>
      </c>
      <c r="B155" s="7" t="str">
        <f t="shared" si="50"/>
        <v>978-7-5531-1301-2</v>
      </c>
      <c r="C155" s="7" t="str">
        <f>"日本左傳學文獻輯刊．45"</f>
        <v>日本左傳學文獻輯刊．45</v>
      </c>
      <c r="D155" s="7" t="str">
        <f t="shared" si="51"/>
        <v>劉偉主編</v>
      </c>
      <c r="E155" s="7" t="str">
        <f t="shared" si="52"/>
        <v>巴蜀書社</v>
      </c>
      <c r="F155" s="7" t="str">
        <f>"K225.04/96/45"</f>
        <v>K225.04/96/45</v>
      </c>
    </row>
    <row r="156" customHeight="1" spans="1:6">
      <c r="A156" s="6">
        <v>155</v>
      </c>
      <c r="B156" s="7" t="str">
        <f t="shared" si="50"/>
        <v>978-7-5531-1301-2</v>
      </c>
      <c r="C156" s="7" t="str">
        <f>"日本左傳學文獻輯刊．46"</f>
        <v>日本左傳學文獻輯刊．46</v>
      </c>
      <c r="D156" s="7" t="str">
        <f t="shared" si="51"/>
        <v>劉偉主編</v>
      </c>
      <c r="E156" s="7" t="str">
        <f t="shared" si="52"/>
        <v>巴蜀書社</v>
      </c>
      <c r="F156" s="7" t="str">
        <f>"K225.04/96/46"</f>
        <v>K225.04/96/46</v>
      </c>
    </row>
    <row r="157" customHeight="1" spans="1:6">
      <c r="A157" s="6">
        <v>156</v>
      </c>
      <c r="B157" s="7" t="str">
        <f t="shared" si="50"/>
        <v>978-7-5531-1301-2</v>
      </c>
      <c r="C157" s="7" t="str">
        <f>"日本左傳學文獻輯刊．47"</f>
        <v>日本左傳學文獻輯刊．47</v>
      </c>
      <c r="D157" s="7" t="str">
        <f t="shared" si="51"/>
        <v>劉偉主編</v>
      </c>
      <c r="E157" s="7" t="str">
        <f t="shared" si="52"/>
        <v>巴蜀書社</v>
      </c>
      <c r="F157" s="7" t="str">
        <f>"K225.04/96/47"</f>
        <v>K225.04/96/47</v>
      </c>
    </row>
    <row r="158" customHeight="1" spans="1:6">
      <c r="A158" s="6">
        <v>157</v>
      </c>
      <c r="B158" s="7" t="str">
        <f t="shared" si="50"/>
        <v>978-7-5531-1301-2</v>
      </c>
      <c r="C158" s="7" t="str">
        <f>"日本左傳學文獻輯刊．48"</f>
        <v>日本左傳學文獻輯刊．48</v>
      </c>
      <c r="D158" s="7" t="str">
        <f t="shared" si="51"/>
        <v>劉偉主編</v>
      </c>
      <c r="E158" s="7" t="str">
        <f t="shared" si="52"/>
        <v>巴蜀書社</v>
      </c>
      <c r="F158" s="7" t="str">
        <f>"K225.04/96/48"</f>
        <v>K225.04/96/48</v>
      </c>
    </row>
    <row r="159" customHeight="1" spans="1:6">
      <c r="A159" s="6">
        <v>158</v>
      </c>
      <c r="B159" s="7" t="str">
        <f t="shared" si="50"/>
        <v>978-7-5531-1301-2</v>
      </c>
      <c r="C159" s="7" t="str">
        <f>"日本左傳學文獻輯刊．5"</f>
        <v>日本左傳學文獻輯刊．5</v>
      </c>
      <c r="D159" s="7" t="str">
        <f t="shared" si="51"/>
        <v>劉偉主編</v>
      </c>
      <c r="E159" s="7" t="str">
        <f t="shared" si="52"/>
        <v>巴蜀書社</v>
      </c>
      <c r="F159" s="7" t="str">
        <f>"K225.04/96/5"</f>
        <v>K225.04/96/5</v>
      </c>
    </row>
    <row r="160" customHeight="1" spans="1:6">
      <c r="A160" s="6">
        <v>159</v>
      </c>
      <c r="B160" s="7" t="str">
        <f t="shared" si="50"/>
        <v>978-7-5531-1301-2</v>
      </c>
      <c r="C160" s="7" t="str">
        <f>"日本左傳學文獻輯刊．6"</f>
        <v>日本左傳學文獻輯刊．6</v>
      </c>
      <c r="D160" s="7" t="str">
        <f t="shared" si="51"/>
        <v>劉偉主編</v>
      </c>
      <c r="E160" s="7" t="str">
        <f t="shared" si="52"/>
        <v>巴蜀書社</v>
      </c>
      <c r="F160" s="7" t="str">
        <f>"K225.04/96/6"</f>
        <v>K225.04/96/6</v>
      </c>
    </row>
    <row r="161" customHeight="1" spans="1:6">
      <c r="A161" s="6">
        <v>160</v>
      </c>
      <c r="B161" s="7" t="str">
        <f t="shared" si="50"/>
        <v>978-7-5531-1301-2</v>
      </c>
      <c r="C161" s="7" t="str">
        <f>"日本左傳學文獻輯刊．7"</f>
        <v>日本左傳學文獻輯刊．7</v>
      </c>
      <c r="D161" s="7" t="str">
        <f t="shared" si="51"/>
        <v>劉偉主編</v>
      </c>
      <c r="E161" s="7" t="str">
        <f t="shared" si="52"/>
        <v>巴蜀書社</v>
      </c>
      <c r="F161" s="7" t="str">
        <f>"K225.04/96/7"</f>
        <v>K225.04/96/7</v>
      </c>
    </row>
    <row r="162" customHeight="1" spans="1:6">
      <c r="A162" s="6">
        <v>161</v>
      </c>
      <c r="B162" s="7" t="str">
        <f t="shared" si="50"/>
        <v>978-7-5531-1301-2</v>
      </c>
      <c r="C162" s="7" t="str">
        <f>"日本左傳學文獻輯刊．8"</f>
        <v>日本左傳學文獻輯刊．8</v>
      </c>
      <c r="D162" s="7" t="str">
        <f t="shared" si="51"/>
        <v>劉偉主編</v>
      </c>
      <c r="E162" s="7" t="str">
        <f t="shared" si="52"/>
        <v>巴蜀書社</v>
      </c>
      <c r="F162" s="7" t="str">
        <f>"K225.04/96/8"</f>
        <v>K225.04/96/8</v>
      </c>
    </row>
    <row r="163" customHeight="1" spans="1:6">
      <c r="A163" s="6">
        <v>162</v>
      </c>
      <c r="B163" s="7" t="str">
        <f t="shared" si="50"/>
        <v>978-7-5531-1301-2</v>
      </c>
      <c r="C163" s="7" t="str">
        <f>"日本左傳學文獻輯刊．9"</f>
        <v>日本左傳學文獻輯刊．9</v>
      </c>
      <c r="D163" s="7" t="str">
        <f t="shared" si="51"/>
        <v>劉偉主編</v>
      </c>
      <c r="E163" s="7" t="str">
        <f t="shared" si="52"/>
        <v>巴蜀書社</v>
      </c>
      <c r="F163" s="7" t="str">
        <f>"K225.04/96/9"</f>
        <v>K225.04/96/9</v>
      </c>
    </row>
    <row r="164" customHeight="1" spans="1:6">
      <c r="A164" s="6">
        <v>163</v>
      </c>
      <c r="B164" s="7" t="str">
        <f>"978-7-208-16483-3"</f>
        <v>978-7-208-16483-3</v>
      </c>
      <c r="C164" s="7" t="str">
        <f>"魏晋南北朝史"</f>
        <v>魏晋南北朝史</v>
      </c>
      <c r="D164" s="7" t="str">
        <f>"王仲荦著"</f>
        <v>王仲荦著</v>
      </c>
      <c r="E164" s="7" t="str">
        <f>"上海人民出版社"</f>
        <v>上海人民出版社</v>
      </c>
      <c r="F164" s="7" t="str">
        <f>"K235/13"</f>
        <v>K235/13</v>
      </c>
    </row>
    <row r="165" customHeight="1" spans="1:6">
      <c r="A165" s="6">
        <v>164</v>
      </c>
      <c r="B165" s="7" t="str">
        <f t="shared" ref="B165:B172" si="53">"978-7-5325-9734-5"</f>
        <v>978-7-5325-9734-5</v>
      </c>
      <c r="C165" s="7" t="str">
        <f>"建炎以來系年要錄．1"</f>
        <v>建炎以來系年要錄．1</v>
      </c>
      <c r="D165" s="7" t="str">
        <f t="shared" ref="D165:D172" si="54">"(宋) 李心傳撰；辛更儒點校"</f>
        <v>(宋) 李心傳撰；辛更儒點校</v>
      </c>
      <c r="E165" s="7" t="str">
        <f t="shared" ref="E165:E172" si="55">"上海古籍出版社"</f>
        <v>上海古籍出版社</v>
      </c>
      <c r="F165" s="7" t="str">
        <f>"K244.066/28/1"</f>
        <v>K244.066/28/1</v>
      </c>
    </row>
    <row r="166" customHeight="1" spans="1:6">
      <c r="A166" s="6">
        <v>165</v>
      </c>
      <c r="B166" s="7" t="str">
        <f t="shared" si="53"/>
        <v>978-7-5325-9734-5</v>
      </c>
      <c r="C166" s="7" t="str">
        <f>"建炎以來系年要錄．2"</f>
        <v>建炎以來系年要錄．2</v>
      </c>
      <c r="D166" s="7" t="str">
        <f t="shared" si="54"/>
        <v>(宋) 李心傳撰；辛更儒點校</v>
      </c>
      <c r="E166" s="7" t="str">
        <f t="shared" si="55"/>
        <v>上海古籍出版社</v>
      </c>
      <c r="F166" s="7" t="str">
        <f>"K244.066/28/2"</f>
        <v>K244.066/28/2</v>
      </c>
    </row>
    <row r="167" customHeight="1" spans="1:6">
      <c r="A167" s="6">
        <v>166</v>
      </c>
      <c r="B167" s="7" t="str">
        <f t="shared" si="53"/>
        <v>978-7-5325-9734-5</v>
      </c>
      <c r="C167" s="7" t="str">
        <f>"建炎以來系年要錄．3"</f>
        <v>建炎以來系年要錄．3</v>
      </c>
      <c r="D167" s="7" t="str">
        <f t="shared" si="54"/>
        <v>(宋) 李心傳撰；辛更儒點校</v>
      </c>
      <c r="E167" s="7" t="str">
        <f t="shared" si="55"/>
        <v>上海古籍出版社</v>
      </c>
      <c r="F167" s="7" t="str">
        <f>"K244.066/28/3"</f>
        <v>K244.066/28/3</v>
      </c>
    </row>
    <row r="168" customHeight="1" spans="1:6">
      <c r="A168" s="6">
        <v>167</v>
      </c>
      <c r="B168" s="7" t="str">
        <f t="shared" si="53"/>
        <v>978-7-5325-9734-5</v>
      </c>
      <c r="C168" s="7" t="str">
        <f>"建炎以來系年要錄．4"</f>
        <v>建炎以來系年要錄．4</v>
      </c>
      <c r="D168" s="7" t="str">
        <f t="shared" si="54"/>
        <v>(宋) 李心傳撰；辛更儒點校</v>
      </c>
      <c r="E168" s="7" t="str">
        <f t="shared" si="55"/>
        <v>上海古籍出版社</v>
      </c>
      <c r="F168" s="7" t="str">
        <f>"K244.066/28/4"</f>
        <v>K244.066/28/4</v>
      </c>
    </row>
    <row r="169" customHeight="1" spans="1:6">
      <c r="A169" s="6">
        <v>168</v>
      </c>
      <c r="B169" s="7" t="str">
        <f t="shared" si="53"/>
        <v>978-7-5325-9734-5</v>
      </c>
      <c r="C169" s="7" t="str">
        <f>"建炎以來系年要錄．5"</f>
        <v>建炎以來系年要錄．5</v>
      </c>
      <c r="D169" s="7" t="str">
        <f t="shared" si="54"/>
        <v>(宋) 李心傳撰；辛更儒點校</v>
      </c>
      <c r="E169" s="7" t="str">
        <f t="shared" si="55"/>
        <v>上海古籍出版社</v>
      </c>
      <c r="F169" s="7" t="str">
        <f>"K244.066/28/5"</f>
        <v>K244.066/28/5</v>
      </c>
    </row>
    <row r="170" customHeight="1" spans="1:6">
      <c r="A170" s="6">
        <v>169</v>
      </c>
      <c r="B170" s="7" t="str">
        <f t="shared" si="53"/>
        <v>978-7-5325-9734-5</v>
      </c>
      <c r="C170" s="7" t="str">
        <f>"建炎以來系年要錄．6"</f>
        <v>建炎以來系年要錄．6</v>
      </c>
      <c r="D170" s="7" t="str">
        <f t="shared" si="54"/>
        <v>(宋) 李心傳撰；辛更儒點校</v>
      </c>
      <c r="E170" s="7" t="str">
        <f t="shared" si="55"/>
        <v>上海古籍出版社</v>
      </c>
      <c r="F170" s="7" t="str">
        <f>"K244.066/28/6"</f>
        <v>K244.066/28/6</v>
      </c>
    </row>
    <row r="171" customHeight="1" spans="1:6">
      <c r="A171" s="6">
        <v>170</v>
      </c>
      <c r="B171" s="7" t="str">
        <f t="shared" si="53"/>
        <v>978-7-5325-9734-5</v>
      </c>
      <c r="C171" s="7" t="str">
        <f>"建炎以來系年要錄．7"</f>
        <v>建炎以來系年要錄．7</v>
      </c>
      <c r="D171" s="7" t="str">
        <f t="shared" si="54"/>
        <v>(宋) 李心傳撰；辛更儒點校</v>
      </c>
      <c r="E171" s="7" t="str">
        <f t="shared" si="55"/>
        <v>上海古籍出版社</v>
      </c>
      <c r="F171" s="7" t="str">
        <f>"K244.066/28/7"</f>
        <v>K244.066/28/7</v>
      </c>
    </row>
    <row r="172" customHeight="1" spans="1:6">
      <c r="A172" s="6">
        <v>171</v>
      </c>
      <c r="B172" s="7" t="str">
        <f t="shared" si="53"/>
        <v>978-7-5325-9734-5</v>
      </c>
      <c r="C172" s="7" t="str">
        <f>"建炎以來系年要錄．8"</f>
        <v>建炎以來系年要錄．8</v>
      </c>
      <c r="D172" s="7" t="str">
        <f t="shared" si="54"/>
        <v>(宋) 李心傳撰；辛更儒點校</v>
      </c>
      <c r="E172" s="7" t="str">
        <f t="shared" si="55"/>
        <v>上海古籍出版社</v>
      </c>
      <c r="F172" s="7" t="str">
        <f>"K244.066/28/8"</f>
        <v>K244.066/28/8</v>
      </c>
    </row>
    <row r="173" customHeight="1" spans="1:6">
      <c r="A173" s="6">
        <v>172</v>
      </c>
      <c r="B173" s="7" t="str">
        <f>"978-7-208-16324-9"</f>
        <v>978-7-208-16324-9</v>
      </c>
      <c r="C173" s="7" t="str">
        <f>"水浒寻宋"</f>
        <v>水浒寻宋</v>
      </c>
      <c r="D173" s="7" t="str">
        <f>"虞云国著"</f>
        <v>虞云国著</v>
      </c>
      <c r="E173" s="7" t="str">
        <f>"上海人民出版社"</f>
        <v>上海人民出版社</v>
      </c>
      <c r="F173" s="7" t="str">
        <f>"K244.07/19"</f>
        <v>K244.07/19</v>
      </c>
    </row>
    <row r="174" customHeight="1" spans="1:6">
      <c r="A174" s="6">
        <v>173</v>
      </c>
      <c r="B174" s="8" t="s">
        <v>12132</v>
      </c>
      <c r="C174" s="8" t="s">
        <v>12133</v>
      </c>
      <c r="D174" s="8" t="s">
        <v>12134</v>
      </c>
      <c r="E174" s="8" t="s">
        <v>261</v>
      </c>
      <c r="F174" s="8" t="s">
        <v>12135</v>
      </c>
    </row>
    <row r="175" customHeight="1" spans="1:6">
      <c r="A175" s="6">
        <v>174</v>
      </c>
      <c r="B175" s="8" t="s">
        <v>12132</v>
      </c>
      <c r="C175" s="8" t="s">
        <v>12133</v>
      </c>
      <c r="D175" s="8" t="s">
        <v>12134</v>
      </c>
      <c r="E175" s="8" t="s">
        <v>261</v>
      </c>
      <c r="F175" s="8" t="s">
        <v>12135</v>
      </c>
    </row>
    <row r="176" customHeight="1" spans="1:6">
      <c r="A176" s="6">
        <v>175</v>
      </c>
      <c r="B176" s="8" t="s">
        <v>12132</v>
      </c>
      <c r="C176" s="8" t="s">
        <v>12133</v>
      </c>
      <c r="D176" s="8" t="s">
        <v>12134</v>
      </c>
      <c r="E176" s="8" t="s">
        <v>261</v>
      </c>
      <c r="F176" s="8" t="s">
        <v>12135</v>
      </c>
    </row>
    <row r="177" customHeight="1" spans="1:6">
      <c r="A177" s="6">
        <v>176</v>
      </c>
      <c r="B177" s="7" t="str">
        <f t="shared" ref="B177:B179" si="56">"978-7-214-15329-6"</f>
        <v>978-7-214-15329-6</v>
      </c>
      <c r="C177" s="7" t="str">
        <f t="shared" ref="C177:C179" si="57">"忠贞不贰?：辽代的越境之举：frontier crossings in Liao China"</f>
        <v>忠贞不贰?：辽代的越境之举：frontier crossings in Liao China</v>
      </c>
      <c r="D177" s="7" t="str">
        <f t="shared" ref="D177:D179" si="58">"(英) 史怀梅著；曹流译"</f>
        <v>(英) 史怀梅著；曹流译</v>
      </c>
      <c r="E177" s="7" t="str">
        <f t="shared" ref="E177:E179" si="59">"江苏人民出版社"</f>
        <v>江苏人民出版社</v>
      </c>
      <c r="F177" s="7" t="str">
        <f t="shared" ref="F177:F179" si="60">"K246.107/3"</f>
        <v>K246.107/3</v>
      </c>
    </row>
    <row r="178" customHeight="1" spans="1:6">
      <c r="A178" s="6">
        <v>177</v>
      </c>
      <c r="B178" s="7" t="str">
        <f t="shared" si="56"/>
        <v>978-7-214-15329-6</v>
      </c>
      <c r="C178" s="7" t="str">
        <f t="shared" si="57"/>
        <v>忠贞不贰?：辽代的越境之举：frontier crossings in Liao China</v>
      </c>
      <c r="D178" s="7" t="str">
        <f t="shared" si="58"/>
        <v>(英) 史怀梅著；曹流译</v>
      </c>
      <c r="E178" s="7" t="str">
        <f t="shared" si="59"/>
        <v>江苏人民出版社</v>
      </c>
      <c r="F178" s="7" t="str">
        <f t="shared" si="60"/>
        <v>K246.107/3</v>
      </c>
    </row>
    <row r="179" customHeight="1" spans="1:6">
      <c r="A179" s="6">
        <v>178</v>
      </c>
      <c r="B179" s="7" t="str">
        <f t="shared" si="56"/>
        <v>978-7-214-15329-6</v>
      </c>
      <c r="C179" s="7" t="str">
        <f t="shared" si="57"/>
        <v>忠贞不贰?：辽代的越境之举：frontier crossings in Liao China</v>
      </c>
      <c r="D179" s="7" t="str">
        <f t="shared" si="58"/>
        <v>(英) 史怀梅著；曹流译</v>
      </c>
      <c r="E179" s="7" t="str">
        <f t="shared" si="59"/>
        <v>江苏人民出版社</v>
      </c>
      <c r="F179" s="7" t="str">
        <f t="shared" si="60"/>
        <v>K246.107/3</v>
      </c>
    </row>
    <row r="180" customHeight="1" spans="1:6">
      <c r="A180" s="6">
        <v>179</v>
      </c>
      <c r="B180" s="7" t="str">
        <f t="shared" ref="B180:B193" si="61">"978-7-101-11665-6"</f>
        <v>978-7-101-11665-6</v>
      </c>
      <c r="C180" s="7" t="str">
        <f>"南明史．第一册：義例．自識 跋 目錄"</f>
        <v>南明史．第一册：義例．自識 跋 目錄</v>
      </c>
      <c r="D180" s="7" t="str">
        <f t="shared" ref="D180:D193" si="62">"錢海岳撰"</f>
        <v>錢海岳撰</v>
      </c>
      <c r="E180" s="7" t="str">
        <f t="shared" ref="E180:E193" si="63">"中華書局"</f>
        <v>中華書局</v>
      </c>
      <c r="F180" s="7" t="str">
        <f>"K248.4/2/1"</f>
        <v>K248.4/2/1</v>
      </c>
    </row>
    <row r="181" customHeight="1" spans="1:6">
      <c r="A181" s="6">
        <v>180</v>
      </c>
      <c r="B181" s="7" t="str">
        <f t="shared" si="61"/>
        <v>978-7-101-11665-6</v>
      </c>
      <c r="C181" s="7" t="str">
        <f>"南明史．第十册：列傳．卷七十四至卷八十三"</f>
        <v>南明史．第十册：列傳．卷七十四至卷八十三</v>
      </c>
      <c r="D181" s="7" t="str">
        <f t="shared" si="62"/>
        <v>錢海岳撰</v>
      </c>
      <c r="E181" s="7" t="str">
        <f t="shared" si="63"/>
        <v>中華書局</v>
      </c>
      <c r="F181" s="7" t="str">
        <f>"K248.4/2/10"</f>
        <v>K248.4/2/10</v>
      </c>
    </row>
    <row r="182" customHeight="1" spans="1:6">
      <c r="A182" s="6">
        <v>181</v>
      </c>
      <c r="B182" s="7" t="str">
        <f t="shared" si="61"/>
        <v>978-7-101-11665-6</v>
      </c>
      <c r="C182" s="7" t="str">
        <f>"南明史．第十一册：列傳．卷八十四至卷九十"</f>
        <v>南明史．第十一册：列傳．卷八十四至卷九十</v>
      </c>
      <c r="D182" s="7" t="str">
        <f t="shared" si="62"/>
        <v>錢海岳撰</v>
      </c>
      <c r="E182" s="7" t="str">
        <f t="shared" si="63"/>
        <v>中華書局</v>
      </c>
      <c r="F182" s="7" t="str">
        <f>"K248.4/2/11"</f>
        <v>K248.4/2/11</v>
      </c>
    </row>
    <row r="183" customHeight="1" spans="1:6">
      <c r="A183" s="6">
        <v>182</v>
      </c>
      <c r="B183" s="7" t="str">
        <f t="shared" si="61"/>
        <v>978-7-101-11665-6</v>
      </c>
      <c r="C183" s="7" t="str">
        <f>"南明史．第十二册：列傳．卷九十一至卷一百"</f>
        <v>南明史．第十二册：列傳．卷九十一至卷一百</v>
      </c>
      <c r="D183" s="7" t="str">
        <f t="shared" si="62"/>
        <v>錢海岳撰</v>
      </c>
      <c r="E183" s="7" t="str">
        <f t="shared" si="63"/>
        <v>中華書局</v>
      </c>
      <c r="F183" s="7" t="str">
        <f>"K248.4/2/12"</f>
        <v>K248.4/2/12</v>
      </c>
    </row>
    <row r="184" customHeight="1" spans="1:6">
      <c r="A184" s="6">
        <v>183</v>
      </c>
      <c r="B184" s="7" t="str">
        <f t="shared" si="61"/>
        <v>978-7-101-11665-6</v>
      </c>
      <c r="C184" s="7" t="str">
        <f>"南明史．第十三册：列傳．卷一百零一至卷一百零八"</f>
        <v>南明史．第十三册：列傳．卷一百零一至卷一百零八</v>
      </c>
      <c r="D184" s="7" t="str">
        <f t="shared" si="62"/>
        <v>錢海岳撰</v>
      </c>
      <c r="E184" s="7" t="str">
        <f t="shared" si="63"/>
        <v>中華書局</v>
      </c>
      <c r="F184" s="7" t="str">
        <f>"K248.4/2/13"</f>
        <v>K248.4/2/13</v>
      </c>
    </row>
    <row r="185" customHeight="1" spans="1:6">
      <c r="A185" s="6">
        <v>184</v>
      </c>
      <c r="B185" s="7" t="str">
        <f t="shared" si="61"/>
        <v>978-7-101-11665-6</v>
      </c>
      <c r="C185" s="7" t="str">
        <f>"南明史．第十四册：列傳．卷一百零九至卷一百二十"</f>
        <v>南明史．第十四册：列傳．卷一百零九至卷一百二十</v>
      </c>
      <c r="D185" s="7" t="str">
        <f t="shared" si="62"/>
        <v>錢海岳撰</v>
      </c>
      <c r="E185" s="7" t="str">
        <f t="shared" si="63"/>
        <v>中華書局</v>
      </c>
      <c r="F185" s="7" t="str">
        <f>"K248.4/2/14"</f>
        <v>K248.4/2/14</v>
      </c>
    </row>
    <row r="186" customHeight="1" spans="1:6">
      <c r="A186" s="6">
        <v>185</v>
      </c>
      <c r="B186" s="7" t="str">
        <f t="shared" si="61"/>
        <v>978-7-101-11665-6</v>
      </c>
      <c r="C186" s="7" t="str">
        <f>"南明史．第二册：本紀．卷一至卷五"</f>
        <v>南明史．第二册：本紀．卷一至卷五</v>
      </c>
      <c r="D186" s="7" t="str">
        <f t="shared" si="62"/>
        <v>錢海岳撰</v>
      </c>
      <c r="E186" s="7" t="str">
        <f t="shared" si="63"/>
        <v>中華書局</v>
      </c>
      <c r="F186" s="7" t="str">
        <f>"K248.4/2/2"</f>
        <v>K248.4/2/2</v>
      </c>
    </row>
    <row r="187" customHeight="1" spans="1:6">
      <c r="A187" s="6">
        <v>186</v>
      </c>
      <c r="B187" s="7" t="str">
        <f t="shared" si="61"/>
        <v>978-7-101-11665-6</v>
      </c>
      <c r="C187" s="7" t="str">
        <f>"南明史．第三册：志．卷六至卷十四"</f>
        <v>南明史．第三册：志．卷六至卷十四</v>
      </c>
      <c r="D187" s="7" t="str">
        <f t="shared" si="62"/>
        <v>錢海岳撰</v>
      </c>
      <c r="E187" s="7" t="str">
        <f t="shared" si="63"/>
        <v>中華書局</v>
      </c>
      <c r="F187" s="7" t="str">
        <f>"K248.4/2/3"</f>
        <v>K248.4/2/3</v>
      </c>
    </row>
    <row r="188" customHeight="1" spans="1:6">
      <c r="A188" s="6">
        <v>187</v>
      </c>
      <c r="B188" s="7" t="str">
        <f t="shared" si="61"/>
        <v>978-7-101-11665-6</v>
      </c>
      <c r="C188" s="7" t="str">
        <f>"南明史．第四册：表．卷十五至卷二十四"</f>
        <v>南明史．第四册：表．卷十五至卷二十四</v>
      </c>
      <c r="D188" s="7" t="str">
        <f t="shared" si="62"/>
        <v>錢海岳撰</v>
      </c>
      <c r="E188" s="7" t="str">
        <f t="shared" si="63"/>
        <v>中華書局</v>
      </c>
      <c r="F188" s="7" t="str">
        <f>"K248.4/2/4"</f>
        <v>K248.4/2/4</v>
      </c>
    </row>
    <row r="189" customHeight="1" spans="1:6">
      <c r="A189" s="6">
        <v>188</v>
      </c>
      <c r="B189" s="7" t="str">
        <f t="shared" si="61"/>
        <v>978-7-101-11665-6</v>
      </c>
      <c r="C189" s="7" t="str">
        <f>"南明史．第五冊：列傳．卷二十五至卷三十五"</f>
        <v>南明史．第五冊：列傳．卷二十五至卷三十五</v>
      </c>
      <c r="D189" s="7" t="str">
        <f t="shared" si="62"/>
        <v>錢海岳撰</v>
      </c>
      <c r="E189" s="7" t="str">
        <f t="shared" si="63"/>
        <v>中華書局</v>
      </c>
      <c r="F189" s="7" t="str">
        <f>"K248.4/2/5"</f>
        <v>K248.4/2/5</v>
      </c>
    </row>
    <row r="190" customHeight="1" spans="1:6">
      <c r="A190" s="6">
        <v>189</v>
      </c>
      <c r="B190" s="7" t="str">
        <f t="shared" si="61"/>
        <v>978-7-101-11665-6</v>
      </c>
      <c r="C190" s="7" t="str">
        <f>"南明史．第六冊：列傳．卷三十六至卷四十六"</f>
        <v>南明史．第六冊：列傳．卷三十六至卷四十六</v>
      </c>
      <c r="D190" s="7" t="str">
        <f t="shared" si="62"/>
        <v>錢海岳撰</v>
      </c>
      <c r="E190" s="7" t="str">
        <f t="shared" si="63"/>
        <v>中華書局</v>
      </c>
      <c r="F190" s="7" t="str">
        <f>"K248.4/2/6"</f>
        <v>K248.4/2/6</v>
      </c>
    </row>
    <row r="191" customHeight="1" spans="1:6">
      <c r="A191" s="6">
        <v>190</v>
      </c>
      <c r="B191" s="7" t="str">
        <f t="shared" si="61"/>
        <v>978-7-101-11665-6</v>
      </c>
      <c r="C191" s="7" t="str">
        <f>"南明史．第七冊：列傳．卷四十七至卷五十六"</f>
        <v>南明史．第七冊：列傳．卷四十七至卷五十六</v>
      </c>
      <c r="D191" s="7" t="str">
        <f t="shared" si="62"/>
        <v>錢海岳撰</v>
      </c>
      <c r="E191" s="7" t="str">
        <f t="shared" si="63"/>
        <v>中華書局</v>
      </c>
      <c r="F191" s="7" t="str">
        <f>"K248.4/2/7"</f>
        <v>K248.4/2/7</v>
      </c>
    </row>
    <row r="192" customHeight="1" spans="1:6">
      <c r="A192" s="6">
        <v>191</v>
      </c>
      <c r="B192" s="7" t="str">
        <f t="shared" si="61"/>
        <v>978-7-101-11665-6</v>
      </c>
      <c r="C192" s="7" t="str">
        <f>"南明史．第八冊：列傳．卷五十七至卷六十四"</f>
        <v>南明史．第八冊：列傳．卷五十七至卷六十四</v>
      </c>
      <c r="D192" s="7" t="str">
        <f t="shared" si="62"/>
        <v>錢海岳撰</v>
      </c>
      <c r="E192" s="7" t="str">
        <f t="shared" si="63"/>
        <v>中華書局</v>
      </c>
      <c r="F192" s="7" t="str">
        <f>"K248.4/2/8"</f>
        <v>K248.4/2/8</v>
      </c>
    </row>
    <row r="193" customHeight="1" spans="1:6">
      <c r="A193" s="6">
        <v>192</v>
      </c>
      <c r="B193" s="7" t="str">
        <f t="shared" si="61"/>
        <v>978-7-101-11665-6</v>
      </c>
      <c r="C193" s="7" t="str">
        <f>"南明史．第九冊：列傳．卷六十五至卷七十三"</f>
        <v>南明史．第九冊：列傳．卷六十五至卷七十三</v>
      </c>
      <c r="D193" s="7" t="str">
        <f t="shared" si="62"/>
        <v>錢海岳撰</v>
      </c>
      <c r="E193" s="7" t="str">
        <f t="shared" si="63"/>
        <v>中華書局</v>
      </c>
      <c r="F193" s="7" t="str">
        <f>"K248.4/2/9"</f>
        <v>K248.4/2/9</v>
      </c>
    </row>
    <row r="194" customHeight="1" spans="1:6">
      <c r="A194" s="6">
        <v>193</v>
      </c>
      <c r="B194" s="7" t="str">
        <f>"978-7-5426-7362-6"</f>
        <v>978-7-5426-7362-6</v>
      </c>
      <c r="C194" s="7" t="str">
        <f>"大清定局"</f>
        <v>大清定局</v>
      </c>
      <c r="D194" s="7" t="str">
        <f>"向敬之著"</f>
        <v>向敬之著</v>
      </c>
      <c r="E194" s="7" t="str">
        <f>"上海三联书店"</f>
        <v>上海三联书店</v>
      </c>
      <c r="F194" s="7" t="str">
        <f>"K249.09/65"</f>
        <v>K249.09/65</v>
      </c>
    </row>
    <row r="195" customHeight="1" spans="1:6">
      <c r="A195" s="6">
        <v>194</v>
      </c>
      <c r="B195" s="7" t="str">
        <f>"978-7-5426-7362-6"</f>
        <v>978-7-5426-7362-6</v>
      </c>
      <c r="C195" s="7" t="str">
        <f>"大清定局"</f>
        <v>大清定局</v>
      </c>
      <c r="D195" s="7" t="str">
        <f>"向敬之著"</f>
        <v>向敬之著</v>
      </c>
      <c r="E195" s="7" t="str">
        <f>"上海三联书店"</f>
        <v>上海三联书店</v>
      </c>
      <c r="F195" s="7" t="str">
        <f>"K249.09/65"</f>
        <v>K249.09/65</v>
      </c>
    </row>
    <row r="196" customHeight="1" spans="1:6">
      <c r="A196" s="6">
        <v>195</v>
      </c>
      <c r="B196" s="7" t="str">
        <f>"978-7-5506-3428-2"</f>
        <v>978-7-5506-3428-2</v>
      </c>
      <c r="C196" s="7" t="str">
        <f>"清史十五讲"</f>
        <v>清史十五讲</v>
      </c>
      <c r="D196" s="7" t="str">
        <f>"何孝荣著"</f>
        <v>何孝荣著</v>
      </c>
      <c r="E196" s="7" t="str">
        <f>"凤凰出版社"</f>
        <v>凤凰出版社</v>
      </c>
      <c r="F196" s="7" t="str">
        <f>"K249.09/66=D"</f>
        <v>K249.09/66=D</v>
      </c>
    </row>
    <row r="197" customHeight="1" spans="1:6">
      <c r="A197" s="6">
        <v>196</v>
      </c>
      <c r="B197" s="7" t="str">
        <f>"978-7-5506-3428-2"</f>
        <v>978-7-5506-3428-2</v>
      </c>
      <c r="C197" s="7" t="str">
        <f>"清史十五讲"</f>
        <v>清史十五讲</v>
      </c>
      <c r="D197" s="7" t="str">
        <f>"何孝荣著"</f>
        <v>何孝荣著</v>
      </c>
      <c r="E197" s="7" t="str">
        <f>"凤凰出版社"</f>
        <v>凤凰出版社</v>
      </c>
      <c r="F197" s="7" t="str">
        <f>"K249.09/66=D"</f>
        <v>K249.09/66=D</v>
      </c>
    </row>
    <row r="198" customHeight="1" spans="1:6">
      <c r="A198" s="6">
        <v>197</v>
      </c>
      <c r="B198" s="7" t="str">
        <f>"978-7-101-14855-8"</f>
        <v>978-7-101-14855-8</v>
      </c>
      <c r="C198" s="7" t="str">
        <f>"乾隆十二时辰"</f>
        <v>乾隆十二时辰</v>
      </c>
      <c r="D198" s="7" t="str">
        <f>"吴十洲著"</f>
        <v>吴十洲著</v>
      </c>
      <c r="E198" s="7" t="str">
        <f t="shared" ref="E198:E201" si="64">"中华书局"</f>
        <v>中华书局</v>
      </c>
      <c r="F198" s="7" t="str">
        <f>"K249/21"</f>
        <v>K249/21</v>
      </c>
    </row>
    <row r="199" customHeight="1" spans="1:6">
      <c r="A199" s="6">
        <v>198</v>
      </c>
      <c r="B199" s="7" t="str">
        <f>"978-7-101-14855-8"</f>
        <v>978-7-101-14855-8</v>
      </c>
      <c r="C199" s="7" t="str">
        <f>"乾隆十二时辰"</f>
        <v>乾隆十二时辰</v>
      </c>
      <c r="D199" s="7" t="str">
        <f>"吴十洲著"</f>
        <v>吴十洲著</v>
      </c>
      <c r="E199" s="7" t="str">
        <f t="shared" si="64"/>
        <v>中华书局</v>
      </c>
      <c r="F199" s="7" t="str">
        <f>"K249/21"</f>
        <v>K249/21</v>
      </c>
    </row>
    <row r="200" customHeight="1" spans="1:6">
      <c r="A200" s="6">
        <v>199</v>
      </c>
      <c r="B200" s="7" t="str">
        <f>"978-7-101-11512-3"</f>
        <v>978-7-101-11512-3</v>
      </c>
      <c r="C200" s="7" t="str">
        <f>"中国近代史"</f>
        <v>中国近代史</v>
      </c>
      <c r="D200" s="7" t="str">
        <f>"蒋廷黻著；徐卫东编"</f>
        <v>蒋廷黻著；徐卫东编</v>
      </c>
      <c r="E200" s="7" t="str">
        <f t="shared" si="64"/>
        <v>中华书局</v>
      </c>
      <c r="F200" s="7" t="str">
        <f>"K25/51=D"</f>
        <v>K25/51=D</v>
      </c>
    </row>
    <row r="201" customHeight="1" spans="1:6">
      <c r="A201" s="6">
        <v>200</v>
      </c>
      <c r="B201" s="7" t="str">
        <f>"978-7-101-11512-3"</f>
        <v>978-7-101-11512-3</v>
      </c>
      <c r="C201" s="7" t="str">
        <f>"中国近代史"</f>
        <v>中国近代史</v>
      </c>
      <c r="D201" s="7" t="str">
        <f>"蒋廷黻著；徐卫东编"</f>
        <v>蒋廷黻著；徐卫东编</v>
      </c>
      <c r="E201" s="7" t="str">
        <f t="shared" si="64"/>
        <v>中华书局</v>
      </c>
      <c r="F201" s="7" t="str">
        <f>"K25/51=D"</f>
        <v>K25/51=D</v>
      </c>
    </row>
    <row r="202" customHeight="1" spans="1:6">
      <c r="A202" s="6">
        <v>201</v>
      </c>
      <c r="B202" s="7" t="str">
        <f t="shared" ref="B202:B204" si="65">"978-7-04-056623-9"</f>
        <v>978-7-04-056623-9</v>
      </c>
      <c r="C202" s="7" t="str">
        <f t="shared" ref="C202:C204" si="66">"中国近现代史纲要：2021年版"</f>
        <v>中国近现代史纲要：2021年版</v>
      </c>
      <c r="D202" s="7" t="str">
        <f t="shared" ref="D202:D204" si="67">"本书编写组"</f>
        <v>本书编写组</v>
      </c>
      <c r="E202" s="7" t="str">
        <f t="shared" ref="E202:E204" si="68">"高等教育出版社"</f>
        <v>高等教育出版社</v>
      </c>
      <c r="F202" s="7" t="str">
        <f t="shared" ref="F202:F204" si="69">"K250.7/19=8D"</f>
        <v>K250.7/19=8D</v>
      </c>
    </row>
    <row r="203" customHeight="1" spans="1:6">
      <c r="A203" s="6">
        <v>202</v>
      </c>
      <c r="B203" s="7" t="str">
        <f t="shared" si="65"/>
        <v>978-7-04-056623-9</v>
      </c>
      <c r="C203" s="7" t="str">
        <f t="shared" si="66"/>
        <v>中国近现代史纲要：2021年版</v>
      </c>
      <c r="D203" s="7" t="str">
        <f t="shared" si="67"/>
        <v>本书编写组</v>
      </c>
      <c r="E203" s="7" t="str">
        <f t="shared" si="68"/>
        <v>高等教育出版社</v>
      </c>
      <c r="F203" s="7" t="str">
        <f t="shared" si="69"/>
        <v>K250.7/19=8D</v>
      </c>
    </row>
    <row r="204" customHeight="1" spans="1:6">
      <c r="A204" s="6">
        <v>203</v>
      </c>
      <c r="B204" s="7" t="str">
        <f t="shared" si="65"/>
        <v>978-7-04-056623-9</v>
      </c>
      <c r="C204" s="7" t="str">
        <f t="shared" si="66"/>
        <v>中国近现代史纲要：2021年版</v>
      </c>
      <c r="D204" s="7" t="str">
        <f t="shared" si="67"/>
        <v>本书编写组</v>
      </c>
      <c r="E204" s="7" t="str">
        <f t="shared" si="68"/>
        <v>高等教育出版社</v>
      </c>
      <c r="F204" s="7" t="str">
        <f t="shared" si="69"/>
        <v>K250.7/19=8D</v>
      </c>
    </row>
    <row r="205" customHeight="1" spans="1:6">
      <c r="A205" s="6">
        <v>204</v>
      </c>
      <c r="B205" s="7" t="str">
        <f>"978-7-108-06998-6"</f>
        <v>978-7-108-06998-6</v>
      </c>
      <c r="C205" s="7" t="str">
        <f>"中国近百年史话"</f>
        <v>中国近百年史话</v>
      </c>
      <c r="D205" s="7" t="str">
        <f>"曹聚仁著"</f>
        <v>曹聚仁著</v>
      </c>
      <c r="E205" s="7" t="str">
        <f>"三联书店"</f>
        <v>三联书店</v>
      </c>
      <c r="F205" s="7" t="str">
        <f>"K250.9/25"</f>
        <v>K250.9/25</v>
      </c>
    </row>
    <row r="206" customHeight="1" spans="1:6">
      <c r="A206" s="6">
        <v>205</v>
      </c>
      <c r="B206" s="7" t="str">
        <f>"978-7-108-06998-6"</f>
        <v>978-7-108-06998-6</v>
      </c>
      <c r="C206" s="7" t="str">
        <f>"中国近百年史话"</f>
        <v>中国近百年史话</v>
      </c>
      <c r="D206" s="7" t="str">
        <f>"曹聚仁著"</f>
        <v>曹聚仁著</v>
      </c>
      <c r="E206" s="7" t="str">
        <f>"三联书店"</f>
        <v>三联书店</v>
      </c>
      <c r="F206" s="7" t="str">
        <f>"K250.9/25"</f>
        <v>K250.9/25</v>
      </c>
    </row>
    <row r="207" customHeight="1" spans="1:6">
      <c r="A207" s="6">
        <v>206</v>
      </c>
      <c r="B207" s="7" t="str">
        <f>"978-7-5154-0975-7"</f>
        <v>978-7-5154-0975-7</v>
      </c>
      <c r="C207" s="7" t="str">
        <f>"中华人民共和国简史：1949-2019"</f>
        <v>中华人民共和国简史：1949-2019</v>
      </c>
      <c r="D207" s="7" t="str">
        <f>"当代中国研究所著"</f>
        <v>当代中国研究所著</v>
      </c>
      <c r="E207" s="7" t="str">
        <f>"当代中国出版社"</f>
        <v>当代中国出版社</v>
      </c>
      <c r="F207" s="7" t="str">
        <f>"K27/42-2"</f>
        <v>K27/42-2</v>
      </c>
    </row>
    <row r="208" customHeight="1" spans="1:6">
      <c r="A208" s="6">
        <v>207</v>
      </c>
      <c r="B208" s="7" t="str">
        <f>"978-7-5154-0975-7"</f>
        <v>978-7-5154-0975-7</v>
      </c>
      <c r="C208" s="7" t="str">
        <f>"中华人民共和国简史：1949-2019"</f>
        <v>中华人民共和国简史：1949-2019</v>
      </c>
      <c r="D208" s="7" t="str">
        <f>"当代中国研究所著"</f>
        <v>当代中国研究所著</v>
      </c>
      <c r="E208" s="7" t="str">
        <f>"当代中国出版社"</f>
        <v>当代中国出版社</v>
      </c>
      <c r="F208" s="7" t="str">
        <f>"K27/42-2"</f>
        <v>K27/42-2</v>
      </c>
    </row>
    <row r="209" customHeight="1" spans="1:6">
      <c r="A209" s="6">
        <v>208</v>
      </c>
      <c r="B209" s="7" t="str">
        <f>"978-7-03-069012-8"</f>
        <v>978-7-03-069012-8</v>
      </c>
      <c r="C209" s="7" t="str">
        <f>"中国古代北方民族史．柔然卷"</f>
        <v>中国古代北方民族史．柔然卷</v>
      </c>
      <c r="D209" s="7" t="str">
        <f>"张久和， 刘国祥主编袁刚著"</f>
        <v>张久和， 刘国祥主编袁刚著</v>
      </c>
      <c r="E209" s="7" t="str">
        <f>"科学出版社"</f>
        <v>科学出版社</v>
      </c>
      <c r="F209" s="7" t="str">
        <f>"K289/78"</f>
        <v>K289/78</v>
      </c>
    </row>
    <row r="210" customHeight="1" spans="1:6">
      <c r="A210" s="6">
        <v>209</v>
      </c>
      <c r="B210" s="7" t="str">
        <f>"978-7-5043-8359-4"</f>
        <v>978-7-5043-8359-4</v>
      </c>
      <c r="C210" s="7" t="str">
        <f>"从建国门到复兴门：漫步长安街"</f>
        <v>从建国门到复兴门：漫步长安街</v>
      </c>
      <c r="D210" s="7" t="str">
        <f>"陈宏， 桂岩主编"</f>
        <v>陈宏， 桂岩主编</v>
      </c>
      <c r="E210" s="7" t="str">
        <f>"中国广播影视出版社"</f>
        <v>中国广播影视出版社</v>
      </c>
      <c r="F210" s="7" t="str">
        <f>"K291/119"</f>
        <v>K291/119</v>
      </c>
    </row>
    <row r="211" customHeight="1" spans="1:6">
      <c r="A211" s="6">
        <v>210</v>
      </c>
      <c r="B211" s="7" t="str">
        <f>"978-7-5043-8359-4"</f>
        <v>978-7-5043-8359-4</v>
      </c>
      <c r="C211" s="7" t="str">
        <f>"从建国门到复兴门：漫步长安街"</f>
        <v>从建国门到复兴门：漫步长安街</v>
      </c>
      <c r="D211" s="7" t="str">
        <f>"陈宏， 桂岩主编"</f>
        <v>陈宏， 桂岩主编</v>
      </c>
      <c r="E211" s="7" t="str">
        <f>"中国广播影视出版社"</f>
        <v>中国广播影视出版社</v>
      </c>
      <c r="F211" s="7" t="str">
        <f>"K291/119"</f>
        <v>K291/119</v>
      </c>
    </row>
    <row r="212" customHeight="1" spans="1:6">
      <c r="A212" s="6">
        <v>211</v>
      </c>
      <c r="B212" s="7" t="str">
        <f>"978-7-5426-7448-7"</f>
        <v>978-7-5426-7448-7</v>
      </c>
      <c r="C212" s="7" t="str">
        <f>"阅读南京西路"</f>
        <v>阅读南京西路</v>
      </c>
      <c r="D212" s="7" t="str">
        <f>"乔争月著"</f>
        <v>乔争月著</v>
      </c>
      <c r="E212" s="7" t="str">
        <f>"上海三联书店"</f>
        <v>上海三联书店</v>
      </c>
      <c r="F212" s="7" t="str">
        <f>"K295.1/310"</f>
        <v>K295.1/310</v>
      </c>
    </row>
    <row r="213" customHeight="1" spans="1:6">
      <c r="A213" s="6">
        <v>212</v>
      </c>
      <c r="B213" s="7" t="str">
        <f>"978-7-5426-7448-7"</f>
        <v>978-7-5426-7448-7</v>
      </c>
      <c r="C213" s="7" t="str">
        <f>"阅读南京西路"</f>
        <v>阅读南京西路</v>
      </c>
      <c r="D213" s="7" t="str">
        <f>"乔争月著"</f>
        <v>乔争月著</v>
      </c>
      <c r="E213" s="7" t="str">
        <f>"上海三联书店"</f>
        <v>上海三联书店</v>
      </c>
      <c r="F213" s="7" t="str">
        <f>"K295.1/310"</f>
        <v>K295.1/310</v>
      </c>
    </row>
    <row r="214" customHeight="1" spans="1:6">
      <c r="A214" s="6">
        <v>213</v>
      </c>
      <c r="B214" s="8" t="s">
        <v>12136</v>
      </c>
      <c r="C214" s="8" t="s">
        <v>12137</v>
      </c>
      <c r="D214" s="8" t="s">
        <v>12138</v>
      </c>
      <c r="E214" s="8" t="s">
        <v>370</v>
      </c>
      <c r="F214" s="8" t="s">
        <v>12139</v>
      </c>
    </row>
    <row r="215" customHeight="1" spans="1:6">
      <c r="A215" s="6">
        <v>214</v>
      </c>
      <c r="B215" s="8" t="s">
        <v>12136</v>
      </c>
      <c r="C215" s="8" t="s">
        <v>12137</v>
      </c>
      <c r="D215" s="8" t="s">
        <v>12138</v>
      </c>
      <c r="E215" s="8" t="s">
        <v>370</v>
      </c>
      <c r="F215" s="8" t="s">
        <v>12139</v>
      </c>
    </row>
    <row r="216" customHeight="1" spans="1:6">
      <c r="A216" s="6">
        <v>215</v>
      </c>
      <c r="B216" s="7" t="str">
        <f>"978-7-211-08521-7"</f>
        <v>978-7-211-08521-7</v>
      </c>
      <c r="C216" s="7" t="str">
        <f>"福建的文化与自然遗产"</f>
        <v>福建的文化与自然遗产</v>
      </c>
      <c r="D216" s="7" t="str">
        <f t="shared" ref="D216:D219" si="70">"福建省人民政府新闻办公室编"</f>
        <v>福建省人民政府新闻办公室编</v>
      </c>
      <c r="E216" s="7" t="str">
        <f t="shared" ref="E216:E219" si="71">"福建人民出版社"</f>
        <v>福建人民出版社</v>
      </c>
      <c r="F216" s="7" t="str">
        <f>"K295.7/15"</f>
        <v>K295.7/15</v>
      </c>
    </row>
    <row r="217" customHeight="1" spans="1:6">
      <c r="A217" s="6">
        <v>216</v>
      </c>
      <c r="B217" s="7" t="str">
        <f>"978-7-211-08521-7"</f>
        <v>978-7-211-08521-7</v>
      </c>
      <c r="C217" s="7" t="str">
        <f>"福建的文化与自然遗产"</f>
        <v>福建的文化与自然遗产</v>
      </c>
      <c r="D217" s="7" t="str">
        <f t="shared" si="70"/>
        <v>福建省人民政府新闻办公室编</v>
      </c>
      <c r="E217" s="7" t="str">
        <f t="shared" si="71"/>
        <v>福建人民出版社</v>
      </c>
      <c r="F217" s="7" t="str">
        <f>"K295.7/15"</f>
        <v>K295.7/15</v>
      </c>
    </row>
    <row r="218" customHeight="1" spans="1:6">
      <c r="A218" s="6">
        <v>217</v>
      </c>
      <c r="B218" s="7" t="str">
        <f>"978-7-211-08522-4"</f>
        <v>978-7-211-08522-4</v>
      </c>
      <c r="C218" s="7" t="str">
        <f>"福建的世界遗产"</f>
        <v>福建的世界遗产</v>
      </c>
      <c r="D218" s="7" t="str">
        <f t="shared" si="70"/>
        <v>福建省人民政府新闻办公室编</v>
      </c>
      <c r="E218" s="7" t="str">
        <f t="shared" si="71"/>
        <v>福建人民出版社</v>
      </c>
      <c r="F218" s="7" t="str">
        <f>"K295.7/16"</f>
        <v>K295.7/16</v>
      </c>
    </row>
    <row r="219" customHeight="1" spans="1:6">
      <c r="A219" s="6">
        <v>218</v>
      </c>
      <c r="B219" s="7" t="str">
        <f>"978-7-211-08522-4"</f>
        <v>978-7-211-08522-4</v>
      </c>
      <c r="C219" s="7" t="str">
        <f>"福建的世界遗产"</f>
        <v>福建的世界遗产</v>
      </c>
      <c r="D219" s="7" t="str">
        <f t="shared" si="70"/>
        <v>福建省人民政府新闻办公室编</v>
      </c>
      <c r="E219" s="7" t="str">
        <f t="shared" si="71"/>
        <v>福建人民出版社</v>
      </c>
      <c r="F219" s="7" t="str">
        <f>"K295.7/16"</f>
        <v>K295.7/16</v>
      </c>
    </row>
    <row r="220" customHeight="1" spans="1:6">
      <c r="A220" s="6">
        <v>219</v>
      </c>
      <c r="B220" s="8" t="s">
        <v>12140</v>
      </c>
      <c r="C220" s="8" t="s">
        <v>12141</v>
      </c>
      <c r="D220" s="8" t="s">
        <v>12142</v>
      </c>
      <c r="E220" s="8" t="s">
        <v>9894</v>
      </c>
      <c r="F220" s="8" t="s">
        <v>12143</v>
      </c>
    </row>
    <row r="221" customHeight="1" spans="1:6">
      <c r="A221" s="6">
        <v>220</v>
      </c>
      <c r="B221" s="8" t="s">
        <v>12140</v>
      </c>
      <c r="C221" s="8" t="s">
        <v>12141</v>
      </c>
      <c r="D221" s="8" t="s">
        <v>12142</v>
      </c>
      <c r="E221" s="8" t="s">
        <v>9894</v>
      </c>
      <c r="F221" s="8" t="s">
        <v>12143</v>
      </c>
    </row>
    <row r="222" customHeight="1" spans="1:6">
      <c r="A222" s="6">
        <v>221</v>
      </c>
      <c r="B222" s="7" t="str">
        <f>"978-7-200-15596-9"</f>
        <v>978-7-200-15596-9</v>
      </c>
      <c r="C222" s="7" t="str">
        <f>"莲花盛开：澳门特别行政区20年：1999-2019"</f>
        <v>莲花盛开：澳门特别行政区20年：1999-2019</v>
      </c>
      <c r="D222" s="7" t="str">
        <f>"李晓兵编著"</f>
        <v>李晓兵编著</v>
      </c>
      <c r="E222" s="7" t="str">
        <f>"北京出版社"</f>
        <v>北京出版社</v>
      </c>
      <c r="F222" s="7" t="str">
        <f>"K296.59/9"</f>
        <v>K296.59/9</v>
      </c>
    </row>
    <row r="223" customHeight="1" spans="1:6">
      <c r="A223" s="6">
        <v>222</v>
      </c>
      <c r="B223" s="7" t="str">
        <f>"978-7-200-15596-9"</f>
        <v>978-7-200-15596-9</v>
      </c>
      <c r="C223" s="7" t="str">
        <f>"莲花盛开：澳门特别行政区20年：1999-2019"</f>
        <v>莲花盛开：澳门特别行政区20年：1999-2019</v>
      </c>
      <c r="D223" s="7" t="str">
        <f>"李晓兵编著"</f>
        <v>李晓兵编著</v>
      </c>
      <c r="E223" s="7" t="str">
        <f>"北京出版社"</f>
        <v>北京出版社</v>
      </c>
      <c r="F223" s="7" t="str">
        <f>"K296.59/9"</f>
        <v>K296.59/9</v>
      </c>
    </row>
    <row r="224" customHeight="1" spans="1:6">
      <c r="A224" s="6">
        <v>223</v>
      </c>
      <c r="B224" s="7" t="str">
        <f>"978-7-5201-6696-6"</f>
        <v>978-7-5201-6696-6</v>
      </c>
      <c r="C224" s="7" t="str">
        <f>"从计量、叙事到文本解读：社会史实证研究的方法转向"</f>
        <v>从计量、叙事到文本解读：社会史实证研究的方法转向</v>
      </c>
      <c r="D224" s="7" t="str">
        <f>"王笛著"</f>
        <v>王笛著</v>
      </c>
      <c r="E224" s="7" t="str">
        <f>"社会科学文献出版社"</f>
        <v>社会科学文献出版社</v>
      </c>
      <c r="F224" s="7" t="str">
        <f>"K297.1/15"</f>
        <v>K297.1/15</v>
      </c>
    </row>
    <row r="225" customHeight="1" spans="1:6">
      <c r="A225" s="6">
        <v>224</v>
      </c>
      <c r="B225" s="7" t="str">
        <f>"978-7-5201-6696-6"</f>
        <v>978-7-5201-6696-6</v>
      </c>
      <c r="C225" s="7" t="str">
        <f>"从计量、叙事到文本解读：社会史实证研究的方法转向"</f>
        <v>从计量、叙事到文本解读：社会史实证研究的方法转向</v>
      </c>
      <c r="D225" s="7" t="str">
        <f>"王笛著"</f>
        <v>王笛著</v>
      </c>
      <c r="E225" s="7" t="str">
        <f>"社会科学文献出版社"</f>
        <v>社会科学文献出版社</v>
      </c>
      <c r="F225" s="7" t="str">
        <f>"K297.1/15"</f>
        <v>K297.1/15</v>
      </c>
    </row>
    <row r="226" customHeight="1" spans="1:6">
      <c r="A226" s="6">
        <v>225</v>
      </c>
      <c r="B226" s="7" t="str">
        <f t="shared" ref="B226:B229" si="72">"978-7-5211-0292-5"</f>
        <v>978-7-5211-0292-5</v>
      </c>
      <c r="C226" s="7" t="str">
        <f>"西藏翻身农奴口述史．翻身农奴把歌唱"</f>
        <v>西藏翻身农奴口述史．翻身农奴把歌唱</v>
      </c>
      <c r="D226" s="7" t="str">
        <f>"主编周韶西， 周炜"</f>
        <v>主编周韶西， 周炜</v>
      </c>
      <c r="E226" s="7" t="str">
        <f t="shared" ref="E226:E229" si="73">"中国藏学出版社"</f>
        <v>中国藏学出版社</v>
      </c>
      <c r="F226" s="7" t="str">
        <f>"K297.5/34/1"</f>
        <v>K297.5/34/1</v>
      </c>
    </row>
    <row r="227" customHeight="1" spans="1:6">
      <c r="A227" s="6">
        <v>226</v>
      </c>
      <c r="B227" s="7" t="str">
        <f t="shared" si="72"/>
        <v>978-7-5211-0292-5</v>
      </c>
      <c r="C227" s="7" t="str">
        <f>"西藏翻身农奴口述史．共产堂来了晴了天"</f>
        <v>西藏翻身农奴口述史．共产堂来了晴了天</v>
      </c>
      <c r="D227" s="7" t="str">
        <f>"主编周韶西， 周炜"</f>
        <v>主编周韶西， 周炜</v>
      </c>
      <c r="E227" s="7" t="str">
        <f t="shared" si="73"/>
        <v>中国藏学出版社</v>
      </c>
      <c r="F227" s="7" t="str">
        <f>"K297.5/34/2"</f>
        <v>K297.5/34/2</v>
      </c>
    </row>
    <row r="228" customHeight="1" spans="1:6">
      <c r="A228" s="6">
        <v>227</v>
      </c>
      <c r="B228" s="7" t="str">
        <f t="shared" si="72"/>
        <v>978-7-5211-0292-5</v>
      </c>
      <c r="C228" s="7" t="str">
        <f>"西藏翻身农奴口述史．奴隶娃子的过去和现在"</f>
        <v>西藏翻身农奴口述史．奴隶娃子的过去和现在</v>
      </c>
      <c r="D228" s="7" t="str">
        <f>"主编周炜， 周韶西"</f>
        <v>主编周炜， 周韶西</v>
      </c>
      <c r="E228" s="7" t="str">
        <f t="shared" si="73"/>
        <v>中国藏学出版社</v>
      </c>
      <c r="F228" s="7" t="str">
        <f>"K297.5/34/3"</f>
        <v>K297.5/34/3</v>
      </c>
    </row>
    <row r="229" customHeight="1" spans="1:6">
      <c r="A229" s="6">
        <v>228</v>
      </c>
      <c r="B229" s="7" t="str">
        <f t="shared" si="72"/>
        <v>978-7-5211-0292-5</v>
      </c>
      <c r="C229" s="7" t="str">
        <f>"西藏翻身农奴口述史．五个翻身农奴的历史记忆"</f>
        <v>西藏翻身农奴口述史．五个翻身农奴的历史记忆</v>
      </c>
      <c r="D229" s="7" t="str">
        <f>"主编周炜， 周韶西"</f>
        <v>主编周炜， 周韶西</v>
      </c>
      <c r="E229" s="7" t="str">
        <f t="shared" si="73"/>
        <v>中国藏学出版社</v>
      </c>
      <c r="F229" s="7" t="str">
        <f>"K297.5/34/4"</f>
        <v>K297.5/34/4</v>
      </c>
    </row>
    <row r="230" customHeight="1" spans="1:6">
      <c r="A230" s="6">
        <v>229</v>
      </c>
      <c r="B230" s="8" t="s">
        <v>12144</v>
      </c>
      <c r="C230" s="8" t="s">
        <v>12145</v>
      </c>
      <c r="D230" s="8" t="s">
        <v>12146</v>
      </c>
      <c r="E230" s="8" t="s">
        <v>48</v>
      </c>
      <c r="F230" s="8" t="s">
        <v>12147</v>
      </c>
    </row>
    <row r="231" customHeight="1" spans="1:6">
      <c r="A231" s="6">
        <v>230</v>
      </c>
      <c r="B231" s="8" t="s">
        <v>12144</v>
      </c>
      <c r="C231" s="8" t="s">
        <v>12145</v>
      </c>
      <c r="D231" s="8" t="s">
        <v>12146</v>
      </c>
      <c r="E231" s="8" t="s">
        <v>48</v>
      </c>
      <c r="F231" s="8" t="s">
        <v>12147</v>
      </c>
    </row>
    <row r="232" customHeight="1" spans="1:6">
      <c r="A232" s="6">
        <v>231</v>
      </c>
      <c r="B232" s="7" t="str">
        <f>"978-7-5139-3411-4"</f>
        <v>978-7-5139-3411-4</v>
      </c>
      <c r="C232" s="7" t="str">
        <f>"东亚的诞生：从秦汉到隋唐"</f>
        <v>东亚的诞生：从秦汉到隋唐</v>
      </c>
      <c r="D232" s="7" t="str">
        <f>"(美) 何肯著；魏美强译"</f>
        <v>(美) 何肯著；魏美强译</v>
      </c>
      <c r="E232" s="7" t="str">
        <f>"民主与建设出版社"</f>
        <v>民主与建设出版社</v>
      </c>
      <c r="F232" s="7" t="str">
        <f>"K31/10"</f>
        <v>K31/10</v>
      </c>
    </row>
    <row r="233" customHeight="1" spans="1:6">
      <c r="A233" s="6">
        <v>232</v>
      </c>
      <c r="B233" s="7" t="str">
        <f>"978-7-5139-3411-4"</f>
        <v>978-7-5139-3411-4</v>
      </c>
      <c r="C233" s="7" t="str">
        <f>"东亚的诞生：从秦汉到隋唐"</f>
        <v>东亚的诞生：从秦汉到隋唐</v>
      </c>
      <c r="D233" s="7" t="str">
        <f>"(美) 何肯著；魏美强译"</f>
        <v>(美) 何肯著；魏美强译</v>
      </c>
      <c r="E233" s="7" t="str">
        <f>"民主与建设出版社"</f>
        <v>民主与建设出版社</v>
      </c>
      <c r="F233" s="7" t="str">
        <f>"K31/10"</f>
        <v>K31/10</v>
      </c>
    </row>
    <row r="234" customHeight="1" spans="1:6">
      <c r="A234" s="6">
        <v>233</v>
      </c>
      <c r="B234" s="7" t="str">
        <f>"978-7-5217-2967-2"</f>
        <v>978-7-5217-2967-2</v>
      </c>
      <c r="C234" s="7" t="str">
        <f>"国家的重生：日本战后腾飞之路"</f>
        <v>国家的重生：日本战后腾飞之路</v>
      </c>
      <c r="D234" s="7" t="str">
        <f>"马国川著"</f>
        <v>马国川著</v>
      </c>
      <c r="E234" s="7" t="str">
        <f>"中信出版集团股份有限公司"</f>
        <v>中信出版集团股份有限公司</v>
      </c>
      <c r="F234" s="7" t="str">
        <f>"K313.5/8"</f>
        <v>K313.5/8</v>
      </c>
    </row>
    <row r="235" customHeight="1" spans="1:6">
      <c r="A235" s="6">
        <v>234</v>
      </c>
      <c r="B235" s="7" t="str">
        <f>"978-7-5217-2967-2"</f>
        <v>978-7-5217-2967-2</v>
      </c>
      <c r="C235" s="7" t="str">
        <f>"国家的重生：日本战后腾飞之路"</f>
        <v>国家的重生：日本战后腾飞之路</v>
      </c>
      <c r="D235" s="7" t="str">
        <f>"马国川著"</f>
        <v>马国川著</v>
      </c>
      <c r="E235" s="7" t="str">
        <f>"中信出版集团股份有限公司"</f>
        <v>中信出版集团股份有限公司</v>
      </c>
      <c r="F235" s="7" t="str">
        <f>"K313.5/8"</f>
        <v>K313.5/8</v>
      </c>
    </row>
    <row r="236" customHeight="1" spans="1:6">
      <c r="A236" s="6">
        <v>235</v>
      </c>
      <c r="B236" s="7" t="str">
        <f>"978-7-100-19370-2"</f>
        <v>978-7-100-19370-2</v>
      </c>
      <c r="C236" s="7" t="str">
        <f>"欧洲文化史"</f>
        <v>欧洲文化史</v>
      </c>
      <c r="D236" s="7" t="str">
        <f>"阎宗临著"</f>
        <v>阎宗临著</v>
      </c>
      <c r="E236" s="7" t="str">
        <f>"商务印书馆"</f>
        <v>商务印书馆</v>
      </c>
      <c r="F236" s="7" t="str">
        <f>"K500.3/64"</f>
        <v>K500.3/64</v>
      </c>
    </row>
    <row r="237" customHeight="1" spans="1:6">
      <c r="A237" s="6">
        <v>236</v>
      </c>
      <c r="B237" s="7" t="str">
        <f>"978-7-100-19370-2"</f>
        <v>978-7-100-19370-2</v>
      </c>
      <c r="C237" s="7" t="str">
        <f>"欧洲文化史"</f>
        <v>欧洲文化史</v>
      </c>
      <c r="D237" s="7" t="str">
        <f>"阎宗临著"</f>
        <v>阎宗临著</v>
      </c>
      <c r="E237" s="7" t="str">
        <f>"商务印书馆"</f>
        <v>商务印书馆</v>
      </c>
      <c r="F237" s="7" t="str">
        <f>"K500.3/64"</f>
        <v>K500.3/64</v>
      </c>
    </row>
    <row r="238" customHeight="1" spans="1:6">
      <c r="A238" s="6">
        <v>237</v>
      </c>
      <c r="B238" s="7" t="str">
        <f t="shared" ref="B238:B240" si="74">"978-7-108-04604-8"</f>
        <v>978-7-108-04604-8</v>
      </c>
      <c r="C238" s="7" t="str">
        <f t="shared" ref="C238:C240" si="75">"穆斯林发现欧洲：天下大国的视野转换"</f>
        <v>穆斯林发现欧洲：天下大国的视野转换</v>
      </c>
      <c r="D238" s="7" t="str">
        <f t="shared" ref="D238:D240" si="76">"(英) 伯纳德·刘易斯著；李中文译"</f>
        <v>(英) 伯纳德·刘易斯著；李中文译</v>
      </c>
      <c r="E238" s="7" t="str">
        <f t="shared" ref="E238:E243" si="77">"三联书店"</f>
        <v>三联书店</v>
      </c>
      <c r="F238" s="7" t="str">
        <f t="shared" ref="F238:F240" si="78">"K503/59"</f>
        <v>K503/59</v>
      </c>
    </row>
    <row r="239" customHeight="1" spans="1:6">
      <c r="A239" s="6">
        <v>238</v>
      </c>
      <c r="B239" s="7" t="str">
        <f t="shared" si="74"/>
        <v>978-7-108-04604-8</v>
      </c>
      <c r="C239" s="7" t="str">
        <f t="shared" si="75"/>
        <v>穆斯林发现欧洲：天下大国的视野转换</v>
      </c>
      <c r="D239" s="7" t="str">
        <f t="shared" si="76"/>
        <v>(英) 伯纳德·刘易斯著；李中文译</v>
      </c>
      <c r="E239" s="7" t="str">
        <f t="shared" si="77"/>
        <v>三联书店</v>
      </c>
      <c r="F239" s="7" t="str">
        <f t="shared" si="78"/>
        <v>K503/59</v>
      </c>
    </row>
    <row r="240" customHeight="1" spans="1:6">
      <c r="A240" s="6">
        <v>239</v>
      </c>
      <c r="B240" s="7" t="str">
        <f t="shared" si="74"/>
        <v>978-7-108-04604-8</v>
      </c>
      <c r="C240" s="7" t="str">
        <f t="shared" si="75"/>
        <v>穆斯林发现欧洲：天下大国的视野转换</v>
      </c>
      <c r="D240" s="7" t="str">
        <f t="shared" si="76"/>
        <v>(英) 伯纳德·刘易斯著；李中文译</v>
      </c>
      <c r="E240" s="7" t="str">
        <f t="shared" si="77"/>
        <v>三联书店</v>
      </c>
      <c r="F240" s="7" t="str">
        <f t="shared" si="78"/>
        <v>K503/59</v>
      </c>
    </row>
    <row r="241" customHeight="1" spans="1:6">
      <c r="A241" s="6">
        <v>240</v>
      </c>
      <c r="B241" s="7" t="str">
        <f t="shared" ref="B241:B243" si="79">"978-7-108-06966-5"</f>
        <v>978-7-108-06966-5</v>
      </c>
      <c r="C241" s="7" t="str">
        <f t="shared" ref="C241:C243" si="80">"亲历纳粹：见证战争的孩子们"</f>
        <v>亲历纳粹：见证战争的孩子们</v>
      </c>
      <c r="D241" s="7" t="str">
        <f t="shared" ref="D241:D243" si="81">"(英) 尼古拉斯·斯塔加特著Nicholas Stargardt；卢欣渝译"</f>
        <v>(英) 尼古拉斯·斯塔加特著Nicholas Stargardt；卢欣渝译</v>
      </c>
      <c r="E241" s="7" t="str">
        <f t="shared" si="77"/>
        <v>三联书店</v>
      </c>
      <c r="F241" s="7" t="str">
        <f t="shared" ref="F241:F243" si="82">"K516.44/22"</f>
        <v>K516.44/22</v>
      </c>
    </row>
    <row r="242" customHeight="1" spans="1:6">
      <c r="A242" s="6">
        <v>241</v>
      </c>
      <c r="B242" s="7" t="str">
        <f t="shared" si="79"/>
        <v>978-7-108-06966-5</v>
      </c>
      <c r="C242" s="7" t="str">
        <f t="shared" si="80"/>
        <v>亲历纳粹：见证战争的孩子们</v>
      </c>
      <c r="D242" s="7" t="str">
        <f t="shared" si="81"/>
        <v>(英) 尼古拉斯·斯塔加特著Nicholas Stargardt；卢欣渝译</v>
      </c>
      <c r="E242" s="7" t="str">
        <f t="shared" si="77"/>
        <v>三联书店</v>
      </c>
      <c r="F242" s="7" t="str">
        <f t="shared" si="82"/>
        <v>K516.44/22</v>
      </c>
    </row>
    <row r="243" customHeight="1" spans="1:6">
      <c r="A243" s="6">
        <v>242</v>
      </c>
      <c r="B243" s="7" t="str">
        <f t="shared" si="79"/>
        <v>978-7-108-06966-5</v>
      </c>
      <c r="C243" s="7" t="str">
        <f t="shared" si="80"/>
        <v>亲历纳粹：见证战争的孩子们</v>
      </c>
      <c r="D243" s="7" t="str">
        <f t="shared" si="81"/>
        <v>(英) 尼古拉斯·斯塔加特著Nicholas Stargardt；卢欣渝译</v>
      </c>
      <c r="E243" s="7" t="str">
        <f t="shared" si="77"/>
        <v>三联书店</v>
      </c>
      <c r="F243" s="7" t="str">
        <f t="shared" si="82"/>
        <v>K516.44/22</v>
      </c>
    </row>
    <row r="244" customHeight="1" spans="1:6">
      <c r="A244" s="6">
        <v>243</v>
      </c>
      <c r="B244" s="7" t="str">
        <f>"978-7-5217-2322-9"</f>
        <v>978-7-5217-2322-9</v>
      </c>
      <c r="C244" s="7" t="str">
        <f>"希腊三百年"</f>
        <v>希腊三百年</v>
      </c>
      <c r="D244" s="7" t="str">
        <f>"(英) 罗德里克·比顿著Roderick Beaton；姜智芹， 王佳存译"</f>
        <v>(英) 罗德里克·比顿著Roderick Beaton；姜智芹， 王佳存译</v>
      </c>
      <c r="E244" s="7" t="str">
        <f t="shared" ref="E244:E247" si="83">"中信出版集团股份有限公司"</f>
        <v>中信出版集团股份有限公司</v>
      </c>
      <c r="F244" s="7" t="str">
        <f>"K54/4"</f>
        <v>K54/4</v>
      </c>
    </row>
    <row r="245" customHeight="1" spans="1:6">
      <c r="A245" s="6">
        <v>244</v>
      </c>
      <c r="B245" s="7" t="str">
        <f>"978-7-5217-2322-9"</f>
        <v>978-7-5217-2322-9</v>
      </c>
      <c r="C245" s="7" t="str">
        <f>"希腊三百年"</f>
        <v>希腊三百年</v>
      </c>
      <c r="D245" s="7" t="str">
        <f>"(英) 罗德里克·比顿著Roderick Beaton；姜智芹， 王佳存译"</f>
        <v>(英) 罗德里克·比顿著Roderick Beaton；姜智芹， 王佳存译</v>
      </c>
      <c r="E245" s="7" t="str">
        <f t="shared" si="83"/>
        <v>中信出版集团股份有限公司</v>
      </c>
      <c r="F245" s="7" t="str">
        <f>"K54/4"</f>
        <v>K54/4</v>
      </c>
    </row>
    <row r="246" customHeight="1" spans="1:6">
      <c r="A246" s="6">
        <v>245</v>
      </c>
      <c r="B246" s="7" t="str">
        <f>"978-7-5217-3022-7"</f>
        <v>978-7-5217-3022-7</v>
      </c>
      <c r="C246" s="7" t="str">
        <f>"西班牙的灵魂：一个文明的哀伤与荣光：an interpretation of Spain and the Spanish people"</f>
        <v>西班牙的灵魂：一个文明的哀伤与荣光：an interpretation of Spain and the Spanish people</v>
      </c>
      <c r="D246" s="7" t="str">
        <f>"(美) 约翰·克罗著John Crow；庄安祺译"</f>
        <v>(美) 约翰·克罗著John Crow；庄安祺译</v>
      </c>
      <c r="E246" s="7" t="str">
        <f t="shared" si="83"/>
        <v>中信出版集团股份有限公司</v>
      </c>
      <c r="F246" s="7" t="str">
        <f>"K551.03/2"</f>
        <v>K551.03/2</v>
      </c>
    </row>
    <row r="247" customHeight="1" spans="1:6">
      <c r="A247" s="6">
        <v>246</v>
      </c>
      <c r="B247" s="7" t="str">
        <f>"978-7-5217-3022-7"</f>
        <v>978-7-5217-3022-7</v>
      </c>
      <c r="C247" s="7" t="str">
        <f>"西班牙的灵魂：一个文明的哀伤与荣光：an interpretation of Spain and the Spanish people"</f>
        <v>西班牙的灵魂：一个文明的哀伤与荣光：an interpretation of Spain and the Spanish people</v>
      </c>
      <c r="D247" s="7" t="str">
        <f>"(美) 约翰·克罗著John Crow；庄安祺译"</f>
        <v>(美) 约翰·克罗著John Crow；庄安祺译</v>
      </c>
      <c r="E247" s="7" t="str">
        <f t="shared" si="83"/>
        <v>中信出版集团股份有限公司</v>
      </c>
      <c r="F247" s="7" t="str">
        <f>"K551.03/2"</f>
        <v>K551.03/2</v>
      </c>
    </row>
    <row r="248" customHeight="1" spans="1:6">
      <c r="A248" s="6">
        <v>247</v>
      </c>
      <c r="B248" s="7" t="str">
        <f t="shared" ref="B248:B250" si="84">"978-7-108-06636-7"</f>
        <v>978-7-108-06636-7</v>
      </c>
      <c r="C248" s="7" t="str">
        <f t="shared" ref="C248:C250" si="85">"地狱与良伴：西班牙内战及其造就的世界：the Spanish civil war and the world it made"</f>
        <v>地狱与良伴：西班牙内战及其造就的世界：the Spanish civil war and the world it made</v>
      </c>
      <c r="D248" s="7" t="str">
        <f t="shared" ref="D248:D250" si="86">"(美) 理查德·罗兹著；李阳译"</f>
        <v>(美) 理查德·罗兹著；李阳译</v>
      </c>
      <c r="E248" s="7" t="str">
        <f t="shared" ref="E248:E256" si="87">"三联书店"</f>
        <v>三联书店</v>
      </c>
      <c r="F248" s="7" t="str">
        <f t="shared" ref="F248:F250" si="88">"K551.52/4"</f>
        <v>K551.52/4</v>
      </c>
    </row>
    <row r="249" customHeight="1" spans="1:6">
      <c r="A249" s="6">
        <v>248</v>
      </c>
      <c r="B249" s="7" t="str">
        <f t="shared" si="84"/>
        <v>978-7-108-06636-7</v>
      </c>
      <c r="C249" s="7" t="str">
        <f t="shared" si="85"/>
        <v>地狱与良伴：西班牙内战及其造就的世界：the Spanish civil war and the world it made</v>
      </c>
      <c r="D249" s="7" t="str">
        <f t="shared" si="86"/>
        <v>(美) 理查德·罗兹著；李阳译</v>
      </c>
      <c r="E249" s="7" t="str">
        <f t="shared" si="87"/>
        <v>三联书店</v>
      </c>
      <c r="F249" s="7" t="str">
        <f t="shared" si="88"/>
        <v>K551.52/4</v>
      </c>
    </row>
    <row r="250" customHeight="1" spans="1:6">
      <c r="A250" s="6">
        <v>249</v>
      </c>
      <c r="B250" s="7" t="str">
        <f t="shared" si="84"/>
        <v>978-7-108-06636-7</v>
      </c>
      <c r="C250" s="7" t="str">
        <f t="shared" si="85"/>
        <v>地狱与良伴：西班牙内战及其造就的世界：the Spanish civil war and the world it made</v>
      </c>
      <c r="D250" s="7" t="str">
        <f t="shared" si="86"/>
        <v>(美) 理查德·罗兹著；李阳译</v>
      </c>
      <c r="E250" s="7" t="str">
        <f t="shared" si="87"/>
        <v>三联书店</v>
      </c>
      <c r="F250" s="7" t="str">
        <f t="shared" si="88"/>
        <v>K551.52/4</v>
      </c>
    </row>
    <row r="251" customHeight="1" spans="1:6">
      <c r="A251" s="6">
        <v>250</v>
      </c>
      <c r="B251" s="7" t="str">
        <f t="shared" ref="B251:B253" si="89">"978-7-108-06820-0"</f>
        <v>978-7-108-06820-0</v>
      </c>
      <c r="C251" s="7" t="str">
        <f t="shared" ref="C251:C253" si="90">"时尚的精髓：法国路易十四时代的优雅品味及奢侈生活"</f>
        <v>时尚的精髓：法国路易十四时代的优雅品味及奢侈生活</v>
      </c>
      <c r="D251" s="7" t="str">
        <f t="shared" ref="D251:D253" si="91">"(美) 琼·德让著；杨冀译"</f>
        <v>(美) 琼·德让著；杨冀译</v>
      </c>
      <c r="E251" s="7" t="str">
        <f t="shared" si="87"/>
        <v>三联书店</v>
      </c>
      <c r="F251" s="7" t="str">
        <f t="shared" ref="F251:F253" si="92">"K565.3/16"</f>
        <v>K565.3/16</v>
      </c>
    </row>
    <row r="252" customHeight="1" spans="1:6">
      <c r="A252" s="6">
        <v>251</v>
      </c>
      <c r="B252" s="7" t="str">
        <f t="shared" si="89"/>
        <v>978-7-108-06820-0</v>
      </c>
      <c r="C252" s="7" t="str">
        <f t="shared" si="90"/>
        <v>时尚的精髓：法国路易十四时代的优雅品味及奢侈生活</v>
      </c>
      <c r="D252" s="7" t="str">
        <f t="shared" si="91"/>
        <v>(美) 琼·德让著；杨冀译</v>
      </c>
      <c r="E252" s="7" t="str">
        <f t="shared" si="87"/>
        <v>三联书店</v>
      </c>
      <c r="F252" s="7" t="str">
        <f t="shared" si="92"/>
        <v>K565.3/16</v>
      </c>
    </row>
    <row r="253" customHeight="1" spans="1:6">
      <c r="A253" s="6">
        <v>252</v>
      </c>
      <c r="B253" s="7" t="str">
        <f t="shared" si="89"/>
        <v>978-7-108-06820-0</v>
      </c>
      <c r="C253" s="7" t="str">
        <f t="shared" si="90"/>
        <v>时尚的精髓：法国路易十四时代的优雅品味及奢侈生活</v>
      </c>
      <c r="D253" s="7" t="str">
        <f t="shared" si="91"/>
        <v>(美) 琼·德让著；杨冀译</v>
      </c>
      <c r="E253" s="7" t="str">
        <f t="shared" si="87"/>
        <v>三联书店</v>
      </c>
      <c r="F253" s="7" t="str">
        <f t="shared" si="92"/>
        <v>K565.3/16</v>
      </c>
    </row>
    <row r="254" customHeight="1" spans="1:6">
      <c r="A254" s="6">
        <v>253</v>
      </c>
      <c r="B254" s="7" t="str">
        <f t="shared" ref="B254:B256" si="93">"978-7-108-06842-2"</f>
        <v>978-7-108-06842-2</v>
      </c>
      <c r="C254" s="7" t="str">
        <f t="shared" ref="C254:C256" si="94">"丛林：澳大利亚内陆文明之旅：travels in the heart of Australia"</f>
        <v>丛林：澳大利亚内陆文明之旅：travels in the heart of Australia</v>
      </c>
      <c r="D254" s="7" t="str">
        <f t="shared" ref="D254:D256" si="95">"(澳) 唐·沃森著Don Watson；李景艳译"</f>
        <v>(澳) 唐·沃森著Don Watson；李景艳译</v>
      </c>
      <c r="E254" s="7" t="str">
        <f t="shared" si="87"/>
        <v>三联书店</v>
      </c>
      <c r="F254" s="7" t="str">
        <f t="shared" ref="F254:F256" si="96">"K611.0/2"</f>
        <v>K611.0/2</v>
      </c>
    </row>
    <row r="255" customHeight="1" spans="1:6">
      <c r="A255" s="6">
        <v>254</v>
      </c>
      <c r="B255" s="7" t="str">
        <f t="shared" si="93"/>
        <v>978-7-108-06842-2</v>
      </c>
      <c r="C255" s="7" t="str">
        <f t="shared" si="94"/>
        <v>丛林：澳大利亚内陆文明之旅：travels in the heart of Australia</v>
      </c>
      <c r="D255" s="7" t="str">
        <f t="shared" si="95"/>
        <v>(澳) 唐·沃森著Don Watson；李景艳译</v>
      </c>
      <c r="E255" s="7" t="str">
        <f t="shared" si="87"/>
        <v>三联书店</v>
      </c>
      <c r="F255" s="7" t="str">
        <f t="shared" si="96"/>
        <v>K611.0/2</v>
      </c>
    </row>
    <row r="256" customHeight="1" spans="1:6">
      <c r="A256" s="6">
        <v>255</v>
      </c>
      <c r="B256" s="7" t="str">
        <f t="shared" si="93"/>
        <v>978-7-108-06842-2</v>
      </c>
      <c r="C256" s="7" t="str">
        <f t="shared" si="94"/>
        <v>丛林：澳大利亚内陆文明之旅：travels in the heart of Australia</v>
      </c>
      <c r="D256" s="7" t="str">
        <f t="shared" si="95"/>
        <v>(澳) 唐·沃森著Don Watson；李景艳译</v>
      </c>
      <c r="E256" s="7" t="str">
        <f t="shared" si="87"/>
        <v>三联书店</v>
      </c>
      <c r="F256" s="7" t="str">
        <f t="shared" si="96"/>
        <v>K611.0/2</v>
      </c>
    </row>
    <row r="257" customHeight="1" spans="1:6">
      <c r="A257" s="6">
        <v>256</v>
      </c>
      <c r="B257" s="7" t="str">
        <f>"978-7-5139-3678-1"</f>
        <v>978-7-5139-3678-1</v>
      </c>
      <c r="C257" s="7" t="str">
        <f>"美利坚帝国：一部全球史：a global history"</f>
        <v>美利坚帝国：一部全球史：a global history</v>
      </c>
      <c r="D257" s="7" t="str">
        <f>"(英) A. G. 霍普金斯著A. G. Hopkns；薛雍乐译"</f>
        <v>(英) A. G. 霍普金斯著A. G. Hopkns；薛雍乐译</v>
      </c>
      <c r="E257" s="7" t="str">
        <f>"民主与建设出版社"</f>
        <v>民主与建设出版社</v>
      </c>
      <c r="F257" s="7" t="str">
        <f>"K712.0/31"</f>
        <v>K712.0/31</v>
      </c>
    </row>
    <row r="258" customHeight="1" spans="1:6">
      <c r="A258" s="6">
        <v>257</v>
      </c>
      <c r="B258" s="7" t="str">
        <f>"978-7-5139-3678-1"</f>
        <v>978-7-5139-3678-1</v>
      </c>
      <c r="C258" s="7" t="str">
        <f>"美利坚帝国：一部全球史：a global history"</f>
        <v>美利坚帝国：一部全球史：a global history</v>
      </c>
      <c r="D258" s="7" t="str">
        <f>"(英) A. G. 霍普金斯著A. G. Hopkns；薛雍乐译"</f>
        <v>(英) A. G. 霍普金斯著A. G. Hopkns；薛雍乐译</v>
      </c>
      <c r="E258" s="7" t="str">
        <f>"民主与建设出版社"</f>
        <v>民主与建设出版社</v>
      </c>
      <c r="F258" s="7" t="str">
        <f>"K712.0/31"</f>
        <v>K712.0/31</v>
      </c>
    </row>
    <row r="259" customHeight="1" spans="1:6">
      <c r="A259" s="6">
        <v>258</v>
      </c>
      <c r="B259" s="7" t="str">
        <f>"978-7-220-12260-6"</f>
        <v>978-7-220-12260-6</v>
      </c>
      <c r="C259" s="7" t="str">
        <f>"无墙之城：美国历史上的城市与自然"</f>
        <v>无墙之城：美国历史上的城市与自然</v>
      </c>
      <c r="D259" s="7" t="str">
        <f>"侯深著"</f>
        <v>侯深著</v>
      </c>
      <c r="E259" s="7" t="str">
        <f>"四川人民出版社"</f>
        <v>四川人民出版社</v>
      </c>
      <c r="F259" s="7" t="str">
        <f>"K712.9/3"</f>
        <v>K712.9/3</v>
      </c>
    </row>
    <row r="260" customHeight="1" spans="1:6">
      <c r="A260" s="6">
        <v>259</v>
      </c>
      <c r="B260" s="7" t="str">
        <f>"978-7-220-12260-6"</f>
        <v>978-7-220-12260-6</v>
      </c>
      <c r="C260" s="7" t="str">
        <f>"无墙之城：美国历史上的城市与自然"</f>
        <v>无墙之城：美国历史上的城市与自然</v>
      </c>
      <c r="D260" s="7" t="str">
        <f>"侯深著"</f>
        <v>侯深著</v>
      </c>
      <c r="E260" s="7" t="str">
        <f>"四川人民出版社"</f>
        <v>四川人民出版社</v>
      </c>
      <c r="F260" s="7" t="str">
        <f>"K712.9/3"</f>
        <v>K712.9/3</v>
      </c>
    </row>
    <row r="261" customHeight="1" spans="1:6">
      <c r="A261" s="6">
        <v>260</v>
      </c>
      <c r="B261" s="7" t="str">
        <f>"978-7-108-06987-0"</f>
        <v>978-7-108-06987-0</v>
      </c>
      <c r="C261" s="7" t="str">
        <f>"人类的群星闪耀时"</f>
        <v>人类的群星闪耀时</v>
      </c>
      <c r="D261" s="7" t="str">
        <f>"斯蒂芬·茨威格著；舒昌善译"</f>
        <v>斯蒂芬·茨威格著；舒昌善译</v>
      </c>
      <c r="E261" s="7" t="str">
        <f>"三联书店"</f>
        <v>三联书店</v>
      </c>
      <c r="F261" s="7" t="str">
        <f>"K811/128"</f>
        <v>K811/128</v>
      </c>
    </row>
    <row r="262" customHeight="1" spans="1:6">
      <c r="A262" s="6">
        <v>261</v>
      </c>
      <c r="B262" s="7" t="str">
        <f>"978-7-108-06987-0"</f>
        <v>978-7-108-06987-0</v>
      </c>
      <c r="C262" s="7" t="str">
        <f>"人类的群星闪耀时"</f>
        <v>人类的群星闪耀时</v>
      </c>
      <c r="D262" s="7" t="str">
        <f>"斯蒂芬·茨威格著；舒昌善译"</f>
        <v>斯蒂芬·茨威格著；舒昌善译</v>
      </c>
      <c r="E262" s="7" t="str">
        <f>"三联书店"</f>
        <v>三联书店</v>
      </c>
      <c r="F262" s="7" t="str">
        <f>"K811/128"</f>
        <v>K811/128</v>
      </c>
    </row>
    <row r="263" customHeight="1" spans="1:6">
      <c r="A263" s="6">
        <v>262</v>
      </c>
      <c r="B263" s="7" t="str">
        <f t="shared" ref="B263:B265" si="97">"978-7-5154-1089-0"</f>
        <v>978-7-5154-1089-0</v>
      </c>
      <c r="C263" s="7" t="str">
        <f t="shared" ref="C263:C265" si="98">"西方人文素描"</f>
        <v>西方人文素描</v>
      </c>
      <c r="D263" s="7" t="str">
        <f t="shared" ref="D263:D265" si="99">"(美) 寒哲著；胡亚非， 郑伟译"</f>
        <v>(美) 寒哲著；胡亚非， 郑伟译</v>
      </c>
      <c r="E263" s="7" t="str">
        <f t="shared" ref="E263:E265" si="100">"当代中国出版社"</f>
        <v>当代中国出版社</v>
      </c>
      <c r="F263" s="7" t="str">
        <f t="shared" ref="F263:F265" si="101">"K811/293"</f>
        <v>K811/293</v>
      </c>
    </row>
    <row r="264" customHeight="1" spans="1:6">
      <c r="A264" s="6">
        <v>263</v>
      </c>
      <c r="B264" s="7" t="str">
        <f t="shared" si="97"/>
        <v>978-7-5154-1089-0</v>
      </c>
      <c r="C264" s="7" t="str">
        <f t="shared" si="98"/>
        <v>西方人文素描</v>
      </c>
      <c r="D264" s="7" t="str">
        <f t="shared" si="99"/>
        <v>(美) 寒哲著；胡亚非， 郑伟译</v>
      </c>
      <c r="E264" s="7" t="str">
        <f t="shared" si="100"/>
        <v>当代中国出版社</v>
      </c>
      <c r="F264" s="7" t="str">
        <f t="shared" si="101"/>
        <v>K811/293</v>
      </c>
    </row>
    <row r="265" customHeight="1" spans="1:6">
      <c r="A265" s="6">
        <v>264</v>
      </c>
      <c r="B265" s="7" t="str">
        <f t="shared" si="97"/>
        <v>978-7-5154-1089-0</v>
      </c>
      <c r="C265" s="7" t="str">
        <f t="shared" si="98"/>
        <v>西方人文素描</v>
      </c>
      <c r="D265" s="7" t="str">
        <f t="shared" si="99"/>
        <v>(美) 寒哲著；胡亚非， 郑伟译</v>
      </c>
      <c r="E265" s="7" t="str">
        <f t="shared" si="100"/>
        <v>当代中国出版社</v>
      </c>
      <c r="F265" s="7" t="str">
        <f t="shared" si="101"/>
        <v>K811/293</v>
      </c>
    </row>
    <row r="266" customHeight="1" spans="1:6">
      <c r="A266" s="6">
        <v>265</v>
      </c>
      <c r="B266" s="9" t="str">
        <f>"978-7-5217-2916-0"</f>
        <v>978-7-5217-2916-0</v>
      </c>
      <c r="C266" s="9" t="str">
        <f>"为什么? 100位哲学家的哲思故事"</f>
        <v>为什么? 100位哲学家的哲思故事</v>
      </c>
      <c r="D266" s="9" t="str">
        <f>"(意) 翁贝托·加林贝蒂， 伊雷妮·梅利尼， 马里亚·路易莎·彼得鲁切利著；潘源文译"</f>
        <v>(意) 翁贝托·加林贝蒂， 伊雷妮·梅利尼， 马里亚·路易莎·彼得鲁切利著；潘源文译</v>
      </c>
      <c r="E266" s="9" t="str">
        <f>"中信出版集团股份有限公司"</f>
        <v>中信出版集团股份有限公司</v>
      </c>
      <c r="F266" s="9" t="str">
        <f>"K815.1/28"</f>
        <v>K815.1/28</v>
      </c>
    </row>
    <row r="267" customHeight="1" spans="1:6">
      <c r="A267" s="6">
        <v>266</v>
      </c>
      <c r="B267" s="7" t="str">
        <f>"978-7-5057-5176-7"</f>
        <v>978-7-5057-5176-7</v>
      </c>
      <c r="C267" s="7" t="str">
        <f>"她们的传奇：率性而为的女性们"</f>
        <v>她们的传奇：率性而为的女性们</v>
      </c>
      <c r="D267" s="7" t="str">
        <f>"(法) 佩内洛普·芭桔编绘；王晨雪译"</f>
        <v>(法) 佩内洛普·芭桔编绘；王晨雪译</v>
      </c>
      <c r="E267" s="7" t="str">
        <f>"中国友谊出版公司"</f>
        <v>中国友谊出版公司</v>
      </c>
      <c r="F267" s="7" t="str">
        <f>"K818.5/27"</f>
        <v>K818.5/27</v>
      </c>
    </row>
    <row r="268" customHeight="1" spans="1:6">
      <c r="A268" s="6">
        <v>267</v>
      </c>
      <c r="B268" s="7" t="str">
        <f>"978-7-5057-5176-7"</f>
        <v>978-7-5057-5176-7</v>
      </c>
      <c r="C268" s="7" t="str">
        <f>"她们的传奇：率性而为的女性们"</f>
        <v>她们的传奇：率性而为的女性们</v>
      </c>
      <c r="D268" s="7" t="str">
        <f>"(法) 佩内洛普·芭桔编绘；王晨雪译"</f>
        <v>(法) 佩内洛普·芭桔编绘；王晨雪译</v>
      </c>
      <c r="E268" s="7" t="str">
        <f>"中国友谊出版公司"</f>
        <v>中国友谊出版公司</v>
      </c>
      <c r="F268" s="7" t="str">
        <f>"K818.5/27"</f>
        <v>K818.5/27</v>
      </c>
    </row>
    <row r="269" customHeight="1" spans="1:6">
      <c r="A269" s="6">
        <v>268</v>
      </c>
      <c r="B269" s="8" t="s">
        <v>12148</v>
      </c>
      <c r="C269" s="8" t="s">
        <v>12149</v>
      </c>
      <c r="D269" s="8" t="s">
        <v>12150</v>
      </c>
      <c r="E269" s="8" t="s">
        <v>1962</v>
      </c>
      <c r="F269" s="8" t="s">
        <v>12151</v>
      </c>
    </row>
    <row r="270" customHeight="1" spans="1:6">
      <c r="A270" s="6">
        <v>269</v>
      </c>
      <c r="B270" s="8" t="s">
        <v>12148</v>
      </c>
      <c r="C270" s="8" t="s">
        <v>12149</v>
      </c>
      <c r="D270" s="8" t="s">
        <v>12150</v>
      </c>
      <c r="E270" s="8" t="s">
        <v>1962</v>
      </c>
      <c r="F270" s="8" t="s">
        <v>12151</v>
      </c>
    </row>
    <row r="271" customHeight="1" spans="1:6">
      <c r="A271" s="6">
        <v>270</v>
      </c>
      <c r="B271" s="7" t="str">
        <f>"978-7-5217-2546-9"</f>
        <v>978-7-5217-2546-9</v>
      </c>
      <c r="C271" s="7" t="str">
        <f>"历史的面孔"</f>
        <v>历史的面孔</v>
      </c>
      <c r="D271" s="7" t="str">
        <f>"徐涛著"</f>
        <v>徐涛著</v>
      </c>
      <c r="E271" s="7" t="str">
        <f>"中信出版集团股份有限公司"</f>
        <v>中信出版集团股份有限公司</v>
      </c>
      <c r="F271" s="7" t="str">
        <f>"K820.5/31"</f>
        <v>K820.5/31</v>
      </c>
    </row>
    <row r="272" customHeight="1" spans="1:6">
      <c r="A272" s="6">
        <v>271</v>
      </c>
      <c r="B272" s="7" t="str">
        <f>"978-7-5217-2546-9"</f>
        <v>978-7-5217-2546-9</v>
      </c>
      <c r="C272" s="7" t="str">
        <f>"历史的面孔"</f>
        <v>历史的面孔</v>
      </c>
      <c r="D272" s="7" t="str">
        <f>"徐涛著"</f>
        <v>徐涛著</v>
      </c>
      <c r="E272" s="7" t="str">
        <f>"中信出版集团股份有限公司"</f>
        <v>中信出版集团股份有限公司</v>
      </c>
      <c r="F272" s="7" t="str">
        <f>"K820.5/31"</f>
        <v>K820.5/31</v>
      </c>
    </row>
    <row r="273" customHeight="1" spans="1:6">
      <c r="A273" s="6">
        <v>272</v>
      </c>
      <c r="B273" s="7" t="str">
        <f>"978-7-108-06889-7"</f>
        <v>978-7-108-06889-7</v>
      </c>
      <c r="C273" s="7" t="str">
        <f>"斯文关天意：近代新旧之间的士人与学人"</f>
        <v>斯文关天意：近代新旧之间的士人与学人</v>
      </c>
      <c r="D273" s="7" t="str">
        <f>"罗志田著"</f>
        <v>罗志田著</v>
      </c>
      <c r="E273" s="7" t="str">
        <f t="shared" ref="E273:E280" si="102">"三联书店"</f>
        <v>三联书店</v>
      </c>
      <c r="F273" s="7" t="str">
        <f>"K820.5/32"</f>
        <v>K820.5/32</v>
      </c>
    </row>
    <row r="274" customHeight="1" spans="1:6">
      <c r="A274" s="6">
        <v>273</v>
      </c>
      <c r="B274" s="7" t="str">
        <f>"978-7-108-06889-7"</f>
        <v>978-7-108-06889-7</v>
      </c>
      <c r="C274" s="7" t="str">
        <f>"斯文关天意：近代新旧之间的士人与学人"</f>
        <v>斯文关天意：近代新旧之间的士人与学人</v>
      </c>
      <c r="D274" s="7" t="str">
        <f>"罗志田著"</f>
        <v>罗志田著</v>
      </c>
      <c r="E274" s="7" t="str">
        <f t="shared" si="102"/>
        <v>三联书店</v>
      </c>
      <c r="F274" s="7" t="str">
        <f>"K820.5/32"</f>
        <v>K820.5/32</v>
      </c>
    </row>
    <row r="275" customHeight="1" spans="1:6">
      <c r="A275" s="6">
        <v>274</v>
      </c>
      <c r="B275" s="8" t="s">
        <v>12152</v>
      </c>
      <c r="C275" s="8" t="s">
        <v>12153</v>
      </c>
      <c r="D275" s="8" t="s">
        <v>12154</v>
      </c>
      <c r="E275" s="8" t="s">
        <v>854</v>
      </c>
      <c r="F275" s="8" t="s">
        <v>12155</v>
      </c>
    </row>
    <row r="276" customHeight="1" spans="1:6">
      <c r="A276" s="6">
        <v>275</v>
      </c>
      <c r="B276" s="8" t="s">
        <v>12152</v>
      </c>
      <c r="C276" s="8" t="s">
        <v>12153</v>
      </c>
      <c r="D276" s="8" t="s">
        <v>12154</v>
      </c>
      <c r="E276" s="8" t="s">
        <v>854</v>
      </c>
      <c r="F276" s="8" t="s">
        <v>12155</v>
      </c>
    </row>
    <row r="277" customHeight="1" spans="1:6">
      <c r="A277" s="6">
        <v>276</v>
      </c>
      <c r="B277" s="7" t="str">
        <f>"978-7-108-04366-5"</f>
        <v>978-7-108-04366-5</v>
      </c>
      <c r="C277" s="7" t="str">
        <f>"我的一个世纪"</f>
        <v>我的一个世纪</v>
      </c>
      <c r="D277" s="7" t="str">
        <f>"董竹君著"</f>
        <v>董竹君著</v>
      </c>
      <c r="E277" s="7" t="str">
        <f t="shared" si="102"/>
        <v>三联书店</v>
      </c>
      <c r="F277" s="7" t="str">
        <f>"K825.38/370=D"</f>
        <v>K825.38/370=D</v>
      </c>
    </row>
    <row r="278" customHeight="1" spans="1:6">
      <c r="A278" s="6">
        <v>277</v>
      </c>
      <c r="B278" s="7" t="str">
        <f>"978-7-108-04366-5"</f>
        <v>978-7-108-04366-5</v>
      </c>
      <c r="C278" s="7" t="str">
        <f>"我的一个世纪"</f>
        <v>我的一个世纪</v>
      </c>
      <c r="D278" s="7" t="str">
        <f>"董竹君著"</f>
        <v>董竹君著</v>
      </c>
      <c r="E278" s="7" t="str">
        <f t="shared" si="102"/>
        <v>三联书店</v>
      </c>
      <c r="F278" s="7" t="str">
        <f>"K825.38/370=D"</f>
        <v>K825.38/370=D</v>
      </c>
    </row>
    <row r="279" customHeight="1" spans="1:6">
      <c r="A279" s="6">
        <v>278</v>
      </c>
      <c r="B279" s="7" t="str">
        <f>"978-7-108-07002-9"</f>
        <v>978-7-108-07002-9</v>
      </c>
      <c r="C279" s="7" t="str">
        <f>"我的自学小史"</f>
        <v>我的自学小史</v>
      </c>
      <c r="D279" s="7" t="str">
        <f>"梁漱溟著"</f>
        <v>梁漱溟著</v>
      </c>
      <c r="E279" s="7" t="str">
        <f t="shared" si="102"/>
        <v>三联书店</v>
      </c>
      <c r="F279" s="7" t="str">
        <f>"K825.4=74/6"</f>
        <v>K825.4=74/6</v>
      </c>
    </row>
    <row r="280" customHeight="1" spans="1:6">
      <c r="A280" s="6">
        <v>279</v>
      </c>
      <c r="B280" s="7" t="str">
        <f>"978-7-108-07002-9"</f>
        <v>978-7-108-07002-9</v>
      </c>
      <c r="C280" s="7" t="str">
        <f>"我的自学小史"</f>
        <v>我的自学小史</v>
      </c>
      <c r="D280" s="7" t="str">
        <f>"梁漱溟著"</f>
        <v>梁漱溟著</v>
      </c>
      <c r="E280" s="7" t="str">
        <f t="shared" si="102"/>
        <v>三联书店</v>
      </c>
      <c r="F280" s="7" t="str">
        <f>"K825.4=74/6"</f>
        <v>K825.4=74/6</v>
      </c>
    </row>
    <row r="281" customHeight="1" spans="1:6">
      <c r="A281" s="6">
        <v>280</v>
      </c>
      <c r="B281" s="7" t="str">
        <f>"978-7-301-30861-5"</f>
        <v>978-7-301-30861-5</v>
      </c>
      <c r="C281" s="7" t="str">
        <f>"蔡元培年谱新编．上卷"</f>
        <v>蔡元培年谱新编．上卷</v>
      </c>
      <c r="D281" s="7" t="str">
        <f>"王世儒编"</f>
        <v>王世儒编</v>
      </c>
      <c r="E281" s="7" t="str">
        <f>"北京大学出版社"</f>
        <v>北京大学出版社</v>
      </c>
      <c r="F281" s="7" t="str">
        <f>"K825.46=6/11/1"</f>
        <v>K825.46=6/11/1</v>
      </c>
    </row>
    <row r="282" customHeight="1" spans="1:6">
      <c r="A282" s="6">
        <v>281</v>
      </c>
      <c r="B282" s="7" t="str">
        <f>"978-7-301-30861-5"</f>
        <v>978-7-301-30861-5</v>
      </c>
      <c r="C282" s="7" t="str">
        <f>"蔡元培年谱新编．下卷"</f>
        <v>蔡元培年谱新编．下卷</v>
      </c>
      <c r="D282" s="7" t="str">
        <f>"王世儒编"</f>
        <v>王世儒编</v>
      </c>
      <c r="E282" s="7" t="str">
        <f>"北京大学出版社"</f>
        <v>北京大学出版社</v>
      </c>
      <c r="F282" s="7" t="str">
        <f>"K825.46=6/11/2"</f>
        <v>K825.46=6/11/2</v>
      </c>
    </row>
    <row r="283" customHeight="1" spans="1:6">
      <c r="A283" s="6">
        <v>282</v>
      </c>
      <c r="B283" s="7" t="str">
        <f>"978-7-5161-4551-7"</f>
        <v>978-7-5161-4551-7</v>
      </c>
      <c r="C283" s="7" t="str">
        <f>"吳承恩年譜"</f>
        <v>吳承恩年譜</v>
      </c>
      <c r="D283" s="7" t="str">
        <f>"蔡鐵鷹著"</f>
        <v>蔡鐵鷹著</v>
      </c>
      <c r="E283" s="7" t="str">
        <f>"中國社會科學出版社"</f>
        <v>中國社會科學出版社</v>
      </c>
      <c r="F283" s="7" t="str">
        <f>"K825.6/1099"</f>
        <v>K825.6/1099</v>
      </c>
    </row>
    <row r="284" customHeight="1" spans="1:6">
      <c r="A284" s="6">
        <v>283</v>
      </c>
      <c r="B284" s="7" t="str">
        <f>"978-7-5161-4551-7"</f>
        <v>978-7-5161-4551-7</v>
      </c>
      <c r="C284" s="7" t="str">
        <f>"吳承恩年譜"</f>
        <v>吳承恩年譜</v>
      </c>
      <c r="D284" s="7" t="str">
        <f>"蔡鐵鷹著"</f>
        <v>蔡鐵鷹著</v>
      </c>
      <c r="E284" s="7" t="str">
        <f>"中國社會科學出版社"</f>
        <v>中國社會科學出版社</v>
      </c>
      <c r="F284" s="7" t="str">
        <f>"K825.6/1099"</f>
        <v>K825.6/1099</v>
      </c>
    </row>
    <row r="285" customHeight="1" spans="1:6">
      <c r="A285" s="6">
        <v>284</v>
      </c>
      <c r="B285" s="8" t="s">
        <v>12156</v>
      </c>
      <c r="C285" s="8" t="s">
        <v>12157</v>
      </c>
      <c r="D285" s="8" t="s">
        <v>12158</v>
      </c>
      <c r="E285" s="8" t="s">
        <v>539</v>
      </c>
      <c r="F285" s="8" t="s">
        <v>12159</v>
      </c>
    </row>
    <row r="286" customHeight="1" spans="1:6">
      <c r="A286" s="6">
        <v>285</v>
      </c>
      <c r="B286" s="8" t="s">
        <v>12156</v>
      </c>
      <c r="C286" s="8" t="s">
        <v>12157</v>
      </c>
      <c r="D286" s="8" t="s">
        <v>12158</v>
      </c>
      <c r="E286" s="8" t="s">
        <v>539</v>
      </c>
      <c r="F286" s="8" t="s">
        <v>12159</v>
      </c>
    </row>
    <row r="287" customHeight="1" spans="1:6">
      <c r="A287" s="6">
        <v>286</v>
      </c>
      <c r="B287" s="8" t="s">
        <v>12156</v>
      </c>
      <c r="C287" s="8" t="s">
        <v>12157</v>
      </c>
      <c r="D287" s="8" t="s">
        <v>12158</v>
      </c>
      <c r="E287" s="8" t="s">
        <v>539</v>
      </c>
      <c r="F287" s="8" t="s">
        <v>12159</v>
      </c>
    </row>
    <row r="288" customHeight="1" spans="1:6">
      <c r="A288" s="6">
        <v>287</v>
      </c>
      <c r="B288" s="8" t="s">
        <v>12160</v>
      </c>
      <c r="C288" s="8" t="s">
        <v>12161</v>
      </c>
      <c r="D288" s="8" t="s">
        <v>12162</v>
      </c>
      <c r="E288" s="8" t="s">
        <v>316</v>
      </c>
      <c r="F288" s="8" t="s">
        <v>12163</v>
      </c>
    </row>
    <row r="289" customHeight="1" spans="1:6">
      <c r="A289" s="6">
        <v>288</v>
      </c>
      <c r="B289" s="8" t="s">
        <v>12160</v>
      </c>
      <c r="C289" s="8" t="s">
        <v>12161</v>
      </c>
      <c r="D289" s="8" t="s">
        <v>12162</v>
      </c>
      <c r="E289" s="8" t="s">
        <v>316</v>
      </c>
      <c r="F289" s="8" t="s">
        <v>12163</v>
      </c>
    </row>
    <row r="290" customHeight="1" spans="1:6">
      <c r="A290" s="6">
        <v>289</v>
      </c>
      <c r="B290" s="7" t="str">
        <f t="shared" ref="B290:B292" si="103">"978-7-02-017012-8"</f>
        <v>978-7-02-017012-8</v>
      </c>
      <c r="C290" s="7" t="str">
        <f t="shared" ref="C290:C292" si="104">"鲁迅批判"</f>
        <v>鲁迅批判</v>
      </c>
      <c r="D290" s="7" t="str">
        <f t="shared" ref="D290:D292" si="105">"李长之著"</f>
        <v>李长之著</v>
      </c>
      <c r="E290" s="7" t="str">
        <f t="shared" ref="E290:E292" si="106">"人民文学出版社"</f>
        <v>人民文学出版社</v>
      </c>
      <c r="F290" s="7" t="str">
        <f t="shared" ref="F290:F292" si="107">"K825.6/550=D-2"</f>
        <v>K825.6/550=D-2</v>
      </c>
    </row>
    <row r="291" customHeight="1" spans="1:6">
      <c r="A291" s="6">
        <v>290</v>
      </c>
      <c r="B291" s="7" t="str">
        <f t="shared" si="103"/>
        <v>978-7-02-017012-8</v>
      </c>
      <c r="C291" s="7" t="str">
        <f t="shared" si="104"/>
        <v>鲁迅批判</v>
      </c>
      <c r="D291" s="7" t="str">
        <f t="shared" si="105"/>
        <v>李长之著</v>
      </c>
      <c r="E291" s="7" t="str">
        <f t="shared" si="106"/>
        <v>人民文学出版社</v>
      </c>
      <c r="F291" s="7" t="str">
        <f t="shared" si="107"/>
        <v>K825.6/550=D-2</v>
      </c>
    </row>
    <row r="292" customHeight="1" spans="1:6">
      <c r="A292" s="6">
        <v>291</v>
      </c>
      <c r="B292" s="7" t="str">
        <f t="shared" si="103"/>
        <v>978-7-02-017012-8</v>
      </c>
      <c r="C292" s="7" t="str">
        <f t="shared" si="104"/>
        <v>鲁迅批判</v>
      </c>
      <c r="D292" s="7" t="str">
        <f t="shared" si="105"/>
        <v>李长之著</v>
      </c>
      <c r="E292" s="7" t="str">
        <f t="shared" si="106"/>
        <v>人民文学出版社</v>
      </c>
      <c r="F292" s="7" t="str">
        <f t="shared" si="107"/>
        <v>K825.6/550=D-2</v>
      </c>
    </row>
    <row r="293" customHeight="1" spans="1:6">
      <c r="A293" s="6">
        <v>292</v>
      </c>
      <c r="B293" s="8" t="s">
        <v>12164</v>
      </c>
      <c r="C293" s="8" t="s">
        <v>12165</v>
      </c>
      <c r="D293" s="8" t="s">
        <v>12166</v>
      </c>
      <c r="E293" s="8" t="s">
        <v>261</v>
      </c>
      <c r="F293" s="8" t="s">
        <v>12167</v>
      </c>
    </row>
    <row r="294" customHeight="1" spans="1:6">
      <c r="A294" s="6">
        <v>293</v>
      </c>
      <c r="B294" s="8" t="s">
        <v>12164</v>
      </c>
      <c r="C294" s="8" t="s">
        <v>12165</v>
      </c>
      <c r="D294" s="8" t="s">
        <v>12166</v>
      </c>
      <c r="E294" s="8" t="s">
        <v>261</v>
      </c>
      <c r="F294" s="8" t="s">
        <v>12167</v>
      </c>
    </row>
    <row r="295" customHeight="1" spans="1:6">
      <c r="A295" s="6">
        <v>294</v>
      </c>
      <c r="B295" s="8" t="s">
        <v>12164</v>
      </c>
      <c r="C295" s="8" t="s">
        <v>12165</v>
      </c>
      <c r="D295" s="8" t="s">
        <v>12166</v>
      </c>
      <c r="E295" s="8" t="s">
        <v>261</v>
      </c>
      <c r="F295" s="8" t="s">
        <v>12167</v>
      </c>
    </row>
    <row r="296" customHeight="1" spans="1:6">
      <c r="A296" s="6">
        <v>295</v>
      </c>
      <c r="B296" s="7" t="str">
        <f>"978-7-101-14659-2"</f>
        <v>978-7-101-14659-2</v>
      </c>
      <c r="C296" s="7" t="str">
        <f>"中国诗人的生活"</f>
        <v>中国诗人的生活</v>
      </c>
      <c r="D296" s="7" t="str">
        <f>"胡怀琛著；徐卫东编"</f>
        <v>胡怀琛著；徐卫东编</v>
      </c>
      <c r="E296" s="7" t="str">
        <f>"中华书局"</f>
        <v>中华书局</v>
      </c>
      <c r="F296" s="7" t="str">
        <f>"K825.6=2/17"</f>
        <v>K825.6=2/17</v>
      </c>
    </row>
    <row r="297" customHeight="1" spans="1:6">
      <c r="A297" s="6">
        <v>296</v>
      </c>
      <c r="B297" s="7" t="str">
        <f>"978-7-101-14659-2"</f>
        <v>978-7-101-14659-2</v>
      </c>
      <c r="C297" s="7" t="str">
        <f>"中国诗人的生活"</f>
        <v>中国诗人的生活</v>
      </c>
      <c r="D297" s="7" t="str">
        <f>"胡怀琛著；徐卫东编"</f>
        <v>胡怀琛著；徐卫东编</v>
      </c>
      <c r="E297" s="7" t="str">
        <f>"中华书局"</f>
        <v>中华书局</v>
      </c>
      <c r="F297" s="7" t="str">
        <f>"K825.6=2/17"</f>
        <v>K825.6=2/17</v>
      </c>
    </row>
    <row r="298" customHeight="1" spans="1:6">
      <c r="A298" s="6">
        <v>297</v>
      </c>
      <c r="B298" s="7" t="str">
        <f>"978-7-210-10882-5"</f>
        <v>978-7-210-10882-5</v>
      </c>
      <c r="C298" s="7" t="str">
        <f>"陶渊明年谱考辨"</f>
        <v>陶渊明年谱考辨</v>
      </c>
      <c r="D298" s="7" t="str">
        <f>"龚斌著"</f>
        <v>龚斌著</v>
      </c>
      <c r="E298" s="7" t="str">
        <f>"江西人民出版社"</f>
        <v>江西人民出版社</v>
      </c>
      <c r="F298" s="7" t="str">
        <f>"K825.6=372/4"</f>
        <v>K825.6=372/4</v>
      </c>
    </row>
    <row r="299" customHeight="1" spans="1:6">
      <c r="A299" s="6">
        <v>298</v>
      </c>
      <c r="B299" s="7" t="str">
        <f>"978-7-210-10882-5"</f>
        <v>978-7-210-10882-5</v>
      </c>
      <c r="C299" s="7" t="str">
        <f>"陶渊明年谱考辨"</f>
        <v>陶渊明年谱考辨</v>
      </c>
      <c r="D299" s="7" t="str">
        <f>"龚斌著"</f>
        <v>龚斌著</v>
      </c>
      <c r="E299" s="7" t="str">
        <f>"江西人民出版社"</f>
        <v>江西人民出版社</v>
      </c>
      <c r="F299" s="7" t="str">
        <f>"K825.6=372/4"</f>
        <v>K825.6=372/4</v>
      </c>
    </row>
    <row r="300" customHeight="1" spans="1:6">
      <c r="A300" s="6">
        <v>299</v>
      </c>
      <c r="B300" s="7" t="str">
        <f>"978-7-108-07010-4"</f>
        <v>978-7-108-07010-4</v>
      </c>
      <c r="C300" s="7" t="str">
        <f>"李白"</f>
        <v>李白</v>
      </c>
      <c r="D300" s="7" t="str">
        <f>"王瑶著"</f>
        <v>王瑶著</v>
      </c>
      <c r="E300" s="7" t="str">
        <f>"三联书店"</f>
        <v>三联书店</v>
      </c>
      <c r="F300" s="7" t="str">
        <f>"K825.6=422/15"</f>
        <v>K825.6=422/15</v>
      </c>
    </row>
    <row r="301" customHeight="1" spans="1:6">
      <c r="A301" s="6">
        <v>300</v>
      </c>
      <c r="B301" s="7" t="str">
        <f>"978-7-108-07010-4"</f>
        <v>978-7-108-07010-4</v>
      </c>
      <c r="C301" s="7" t="str">
        <f>"李白"</f>
        <v>李白</v>
      </c>
      <c r="D301" s="7" t="str">
        <f>"王瑶著"</f>
        <v>王瑶著</v>
      </c>
      <c r="E301" s="7" t="str">
        <f>"三联书店"</f>
        <v>三联书店</v>
      </c>
      <c r="F301" s="7" t="str">
        <f>"K825.6=422/15"</f>
        <v>K825.6=422/15</v>
      </c>
    </row>
    <row r="302" customHeight="1" spans="1:6">
      <c r="A302" s="6">
        <v>301</v>
      </c>
      <c r="B302" s="7" t="str">
        <f>"978-7-5212-0827-6"</f>
        <v>978-7-5212-0827-6</v>
      </c>
      <c r="C302" s="7" t="str">
        <f>"北宋文儒：欧阳修传"</f>
        <v>北宋文儒：欧阳修传</v>
      </c>
      <c r="D302" s="7" t="str">
        <f>"邵振国著"</f>
        <v>邵振国著</v>
      </c>
      <c r="E302" s="7" t="str">
        <f>"作家出版社"</f>
        <v>作家出版社</v>
      </c>
      <c r="F302" s="7" t="str">
        <f>"K825.6=441/19"</f>
        <v>K825.6=441/19</v>
      </c>
    </row>
    <row r="303" customHeight="1" spans="1:6">
      <c r="A303" s="6">
        <v>302</v>
      </c>
      <c r="B303" s="7" t="str">
        <f>"978-7-5212-0827-6"</f>
        <v>978-7-5212-0827-6</v>
      </c>
      <c r="C303" s="7" t="str">
        <f>"北宋文儒：欧阳修传"</f>
        <v>北宋文儒：欧阳修传</v>
      </c>
      <c r="D303" s="7" t="str">
        <f>"邵振国著"</f>
        <v>邵振国著</v>
      </c>
      <c r="E303" s="7" t="str">
        <f>"作家出版社"</f>
        <v>作家出版社</v>
      </c>
      <c r="F303" s="7" t="str">
        <f>"K825.6=441/19"</f>
        <v>K825.6=441/19</v>
      </c>
    </row>
    <row r="304" customHeight="1" spans="1:6">
      <c r="A304" s="6">
        <v>303</v>
      </c>
      <c r="B304" s="7" t="str">
        <f t="shared" ref="B304:B306" si="108">"978-7-200-12959-5"</f>
        <v>978-7-200-12959-5</v>
      </c>
      <c r="C304" s="7" t="str">
        <f t="shared" ref="C304:C306" si="109">"曹雪芹故事"</f>
        <v>曹雪芹故事</v>
      </c>
      <c r="D304" s="7" t="str">
        <f t="shared" ref="D304:D306" si="110">"周汝昌著；周伦玲整理"</f>
        <v>周汝昌著；周伦玲整理</v>
      </c>
      <c r="E304" s="7" t="str">
        <f t="shared" ref="E304:E306" si="111">"北京出版社"</f>
        <v>北京出版社</v>
      </c>
      <c r="F304" s="7" t="str">
        <f t="shared" ref="F304:F306" si="112">"K825.6=49/12"</f>
        <v>K825.6=49/12</v>
      </c>
    </row>
    <row r="305" customHeight="1" spans="1:6">
      <c r="A305" s="6">
        <v>304</v>
      </c>
      <c r="B305" s="7" t="str">
        <f t="shared" si="108"/>
        <v>978-7-200-12959-5</v>
      </c>
      <c r="C305" s="7" t="str">
        <f t="shared" si="109"/>
        <v>曹雪芹故事</v>
      </c>
      <c r="D305" s="7" t="str">
        <f t="shared" si="110"/>
        <v>周汝昌著；周伦玲整理</v>
      </c>
      <c r="E305" s="7" t="str">
        <f t="shared" si="111"/>
        <v>北京出版社</v>
      </c>
      <c r="F305" s="7" t="str">
        <f t="shared" si="112"/>
        <v>K825.6=49/12</v>
      </c>
    </row>
    <row r="306" customHeight="1" spans="1:6">
      <c r="A306" s="6">
        <v>305</v>
      </c>
      <c r="B306" s="7" t="str">
        <f t="shared" si="108"/>
        <v>978-7-200-12959-5</v>
      </c>
      <c r="C306" s="7" t="str">
        <f t="shared" si="109"/>
        <v>曹雪芹故事</v>
      </c>
      <c r="D306" s="7" t="str">
        <f t="shared" si="110"/>
        <v>周汝昌著；周伦玲整理</v>
      </c>
      <c r="E306" s="7" t="str">
        <f t="shared" si="111"/>
        <v>北京出版社</v>
      </c>
      <c r="F306" s="7" t="str">
        <f t="shared" si="112"/>
        <v>K825.6=49/12</v>
      </c>
    </row>
    <row r="307" customHeight="1" spans="1:6">
      <c r="A307" s="6">
        <v>306</v>
      </c>
      <c r="B307" s="7" t="str">
        <f>"978-7-5594-6117-9"</f>
        <v>978-7-5594-6117-9</v>
      </c>
      <c r="C307" s="7" t="str">
        <f>"中国鲁迅学史"</f>
        <v>中国鲁迅学史</v>
      </c>
      <c r="D307" s="7" t="str">
        <f>"张梦阳著"</f>
        <v>张梦阳著</v>
      </c>
      <c r="E307" s="7" t="str">
        <f>"江苏凤凰文艺出版社"</f>
        <v>江苏凤凰文艺出版社</v>
      </c>
      <c r="F307" s="7" t="str">
        <f>"K825.6=6/92"</f>
        <v>K825.6=6/92</v>
      </c>
    </row>
    <row r="308" customHeight="1" spans="1:6">
      <c r="A308" s="6">
        <v>307</v>
      </c>
      <c r="B308" s="7" t="str">
        <f>"978-7-5594-6117-9"</f>
        <v>978-7-5594-6117-9</v>
      </c>
      <c r="C308" s="7" t="str">
        <f>"中国鲁迅学史"</f>
        <v>中国鲁迅学史</v>
      </c>
      <c r="D308" s="7" t="str">
        <f>"张梦阳著"</f>
        <v>张梦阳著</v>
      </c>
      <c r="E308" s="7" t="str">
        <f>"江苏凤凰文艺出版社"</f>
        <v>江苏凤凰文艺出版社</v>
      </c>
      <c r="F308" s="7" t="str">
        <f>"K825.6=6/92"</f>
        <v>K825.6=6/92</v>
      </c>
    </row>
    <row r="309" customHeight="1" spans="1:6">
      <c r="A309" s="6">
        <v>308</v>
      </c>
      <c r="B309" s="7" t="str">
        <f t="shared" ref="B309:B311" si="113">"978-7-5447-8840-3"</f>
        <v>978-7-5447-8840-3</v>
      </c>
      <c r="C309" s="7" t="str">
        <f t="shared" ref="C309:C311" si="114">"傅雷家书．留学岁月"</f>
        <v>傅雷家书．留学岁月</v>
      </c>
      <c r="D309" s="7" t="str">
        <f t="shared" ref="D309:D314" si="115">"傅雷， 朱梅馥， 傅聪著；傅敏编"</f>
        <v>傅雷， 朱梅馥， 傅聪著；傅敏编</v>
      </c>
      <c r="E309" s="7" t="str">
        <f t="shared" ref="E309:E314" si="116">"译林出版社"</f>
        <v>译林出版社</v>
      </c>
      <c r="F309" s="7" t="str">
        <f t="shared" ref="F309:F311" si="117">"K825.6=72/32/1"</f>
        <v>K825.6=72/32/1</v>
      </c>
    </row>
    <row r="310" customHeight="1" spans="1:6">
      <c r="A310" s="6">
        <v>309</v>
      </c>
      <c r="B310" s="7" t="str">
        <f t="shared" si="113"/>
        <v>978-7-5447-8840-3</v>
      </c>
      <c r="C310" s="7" t="str">
        <f t="shared" si="114"/>
        <v>傅雷家书．留学岁月</v>
      </c>
      <c r="D310" s="7" t="str">
        <f t="shared" si="115"/>
        <v>傅雷， 朱梅馥， 傅聪著；傅敏编</v>
      </c>
      <c r="E310" s="7" t="str">
        <f t="shared" si="116"/>
        <v>译林出版社</v>
      </c>
      <c r="F310" s="7" t="str">
        <f t="shared" si="117"/>
        <v>K825.6=72/32/1</v>
      </c>
    </row>
    <row r="311" customHeight="1" spans="1:6">
      <c r="A311" s="6">
        <v>310</v>
      </c>
      <c r="B311" s="7" t="str">
        <f t="shared" si="113"/>
        <v>978-7-5447-8840-3</v>
      </c>
      <c r="C311" s="7" t="str">
        <f t="shared" si="114"/>
        <v>傅雷家书．留学岁月</v>
      </c>
      <c r="D311" s="7" t="str">
        <f t="shared" si="115"/>
        <v>傅雷， 朱梅馥， 傅聪著；傅敏编</v>
      </c>
      <c r="E311" s="7" t="str">
        <f t="shared" si="116"/>
        <v>译林出版社</v>
      </c>
      <c r="F311" s="7" t="str">
        <f t="shared" si="117"/>
        <v>K825.6=72/32/1</v>
      </c>
    </row>
    <row r="312" customHeight="1" spans="1:6">
      <c r="A312" s="6">
        <v>311</v>
      </c>
      <c r="B312" s="7" t="str">
        <f t="shared" ref="B312:B314" si="118">"978-7-5447-8841-0"</f>
        <v>978-7-5447-8841-0</v>
      </c>
      <c r="C312" s="7" t="str">
        <f t="shared" ref="C312:C314" si="119">"傅雷家书．艺术生涯"</f>
        <v>傅雷家书．艺术生涯</v>
      </c>
      <c r="D312" s="7" t="str">
        <f t="shared" si="115"/>
        <v>傅雷， 朱梅馥， 傅聪著；傅敏编</v>
      </c>
      <c r="E312" s="7" t="str">
        <f t="shared" si="116"/>
        <v>译林出版社</v>
      </c>
      <c r="F312" s="7" t="str">
        <f t="shared" ref="F312:F314" si="120">"K825.6=72/32/2"</f>
        <v>K825.6=72/32/2</v>
      </c>
    </row>
    <row r="313" customHeight="1" spans="1:6">
      <c r="A313" s="6">
        <v>312</v>
      </c>
      <c r="B313" s="7" t="str">
        <f t="shared" si="118"/>
        <v>978-7-5447-8841-0</v>
      </c>
      <c r="C313" s="7" t="str">
        <f t="shared" si="119"/>
        <v>傅雷家书．艺术生涯</v>
      </c>
      <c r="D313" s="7" t="str">
        <f t="shared" si="115"/>
        <v>傅雷， 朱梅馥， 傅聪著；傅敏编</v>
      </c>
      <c r="E313" s="7" t="str">
        <f t="shared" si="116"/>
        <v>译林出版社</v>
      </c>
      <c r="F313" s="7" t="str">
        <f t="shared" si="120"/>
        <v>K825.6=72/32/2</v>
      </c>
    </row>
    <row r="314" customHeight="1" spans="1:6">
      <c r="A314" s="6">
        <v>313</v>
      </c>
      <c r="B314" s="7" t="str">
        <f t="shared" si="118"/>
        <v>978-7-5447-8841-0</v>
      </c>
      <c r="C314" s="7" t="str">
        <f t="shared" si="119"/>
        <v>傅雷家书．艺术生涯</v>
      </c>
      <c r="D314" s="7" t="str">
        <f t="shared" si="115"/>
        <v>傅雷， 朱梅馥， 傅聪著；傅敏编</v>
      </c>
      <c r="E314" s="7" t="str">
        <f t="shared" si="116"/>
        <v>译林出版社</v>
      </c>
      <c r="F314" s="7" t="str">
        <f t="shared" si="120"/>
        <v>K825.6=72/32/2</v>
      </c>
    </row>
    <row r="315" customHeight="1" spans="1:6">
      <c r="A315" s="6">
        <v>314</v>
      </c>
      <c r="B315" s="7" t="str">
        <f>"978-7-5203-7077-6"</f>
        <v>978-7-5203-7077-6</v>
      </c>
      <c r="C315" s="7" t="str">
        <f>"英语世界的茅盾研究"</f>
        <v>英语世界的茅盾研究</v>
      </c>
      <c r="D315" s="7" t="str">
        <f>"周娇燕著"</f>
        <v>周娇燕著</v>
      </c>
      <c r="E315" s="7" t="str">
        <f>"中国社会科学出版社"</f>
        <v>中国社会科学出版社</v>
      </c>
      <c r="F315" s="7" t="str">
        <f>"K825.6=74/41"</f>
        <v>K825.6=74/41</v>
      </c>
    </row>
    <row r="316" customHeight="1" spans="1:6">
      <c r="A316" s="6">
        <v>315</v>
      </c>
      <c r="B316" s="7" t="str">
        <f>"978-7-5203-7077-6"</f>
        <v>978-7-5203-7077-6</v>
      </c>
      <c r="C316" s="7" t="str">
        <f>"英语世界的茅盾研究"</f>
        <v>英语世界的茅盾研究</v>
      </c>
      <c r="D316" s="7" t="str">
        <f>"周娇燕著"</f>
        <v>周娇燕著</v>
      </c>
      <c r="E316" s="7" t="str">
        <f>"中国社会科学出版社"</f>
        <v>中国社会科学出版社</v>
      </c>
      <c r="F316" s="7" t="str">
        <f>"K825.6=74/41"</f>
        <v>K825.6=74/41</v>
      </c>
    </row>
    <row r="317" customHeight="1" spans="1:6">
      <c r="A317" s="6">
        <v>316</v>
      </c>
      <c r="B317" s="7" t="str">
        <f>"978-7-5143-8161-0"</f>
        <v>978-7-5143-8161-0</v>
      </c>
      <c r="C317" s="7" t="str">
        <f>"我们的80年代：中国的文学与文人"</f>
        <v>我们的80年代：中国的文学与文人</v>
      </c>
      <c r="D317" s="7" t="str">
        <f>"汪兆骞著"</f>
        <v>汪兆骞著</v>
      </c>
      <c r="E317" s="7" t="str">
        <f>"现代出版社"</f>
        <v>现代出版社</v>
      </c>
      <c r="F317" s="7" t="str">
        <f>"K825.6=76/104"</f>
        <v>K825.6=76/104</v>
      </c>
    </row>
    <row r="318" customHeight="1" spans="1:6">
      <c r="A318" s="6">
        <v>317</v>
      </c>
      <c r="B318" s="7" t="str">
        <f>"978-7-5143-8161-0"</f>
        <v>978-7-5143-8161-0</v>
      </c>
      <c r="C318" s="7" t="str">
        <f>"我们的80年代：中国的文学与文人"</f>
        <v>我们的80年代：中国的文学与文人</v>
      </c>
      <c r="D318" s="7" t="str">
        <f>"汪兆骞著"</f>
        <v>汪兆骞著</v>
      </c>
      <c r="E318" s="7" t="str">
        <f>"现代出版社"</f>
        <v>现代出版社</v>
      </c>
      <c r="F318" s="7" t="str">
        <f>"K825.6=76/104"</f>
        <v>K825.6=76/104</v>
      </c>
    </row>
    <row r="319" customHeight="1" spans="1:6">
      <c r="A319" s="6">
        <v>318</v>
      </c>
      <c r="B319" s="7" t="str">
        <f>"978-7-5455-6395-5"</f>
        <v>978-7-5455-6395-5</v>
      </c>
      <c r="C319" s="7" t="str">
        <f>"愿为敦煌燃此生：常书鸿自传"</f>
        <v>愿为敦煌燃此生：常书鸿自传</v>
      </c>
      <c r="D319" s="7" t="str">
        <f>"常书鸿著"</f>
        <v>常书鸿著</v>
      </c>
      <c r="E319" s="7" t="str">
        <f>"天地出版社"</f>
        <v>天地出版社</v>
      </c>
      <c r="F319" s="7" t="str">
        <f>"K825.72=75/13"</f>
        <v>K825.72=75/13</v>
      </c>
    </row>
    <row r="320" customHeight="1" spans="1:6">
      <c r="A320" s="6">
        <v>319</v>
      </c>
      <c r="B320" s="7" t="str">
        <f>"978-7-5455-6395-5"</f>
        <v>978-7-5455-6395-5</v>
      </c>
      <c r="C320" s="7" t="str">
        <f>"愿为敦煌燃此生：常书鸿自传"</f>
        <v>愿为敦煌燃此生：常书鸿自传</v>
      </c>
      <c r="D320" s="7" t="str">
        <f>"常书鸿著"</f>
        <v>常书鸿著</v>
      </c>
      <c r="E320" s="7" t="str">
        <f>"天地出版社"</f>
        <v>天地出版社</v>
      </c>
      <c r="F320" s="7" t="str">
        <f>"K825.72=75/13"</f>
        <v>K825.72=75/13</v>
      </c>
    </row>
    <row r="321" customHeight="1" spans="1:6">
      <c r="A321" s="6">
        <v>320</v>
      </c>
      <c r="B321" s="8" t="s">
        <v>12168</v>
      </c>
      <c r="C321" s="8" t="s">
        <v>12169</v>
      </c>
      <c r="D321" s="8" t="s">
        <v>12170</v>
      </c>
      <c r="E321" s="8" t="s">
        <v>298</v>
      </c>
      <c r="F321" s="8" t="s">
        <v>12171</v>
      </c>
    </row>
    <row r="322" customHeight="1" spans="1:6">
      <c r="A322" s="6">
        <v>321</v>
      </c>
      <c r="B322" s="8" t="s">
        <v>12168</v>
      </c>
      <c r="C322" s="8" t="s">
        <v>12169</v>
      </c>
      <c r="D322" s="8" t="s">
        <v>12170</v>
      </c>
      <c r="E322" s="8" t="s">
        <v>298</v>
      </c>
      <c r="F322" s="8" t="s">
        <v>12171</v>
      </c>
    </row>
    <row r="323" customHeight="1" spans="1:6">
      <c r="A323" s="6">
        <v>322</v>
      </c>
      <c r="B323" s="7" t="str">
        <f>"978-7-215-12328-1"</f>
        <v>978-7-215-12328-1</v>
      </c>
      <c r="C323" s="7" t="str">
        <f>"史家之绝唱：司马迁与《史记》"</f>
        <v>史家之绝唱：司马迁与《史记》</v>
      </c>
      <c r="D323" s="7" t="str">
        <f>"王培华著"</f>
        <v>王培华著</v>
      </c>
      <c r="E323" s="7" t="str">
        <f>"河南人民出版社"</f>
        <v>河南人民出版社</v>
      </c>
      <c r="F323" s="7" t="str">
        <f>"K825.81=341/10"</f>
        <v>K825.81=341/10</v>
      </c>
    </row>
    <row r="324" customHeight="1" spans="1:6">
      <c r="A324" s="6">
        <v>323</v>
      </c>
      <c r="B324" s="7" t="str">
        <f>"978-7-215-12328-1"</f>
        <v>978-7-215-12328-1</v>
      </c>
      <c r="C324" s="7" t="str">
        <f>"史家之绝唱：司马迁与《史记》"</f>
        <v>史家之绝唱：司马迁与《史记》</v>
      </c>
      <c r="D324" s="7" t="str">
        <f>"王培华著"</f>
        <v>王培华著</v>
      </c>
      <c r="E324" s="7" t="str">
        <f>"河南人民出版社"</f>
        <v>河南人民出版社</v>
      </c>
      <c r="F324" s="7" t="str">
        <f>"K825.81=341/10"</f>
        <v>K825.81=341/10</v>
      </c>
    </row>
    <row r="325" customHeight="1" spans="1:6">
      <c r="A325" s="6">
        <v>324</v>
      </c>
      <c r="B325" s="7" t="str">
        <f>"978-7-5325-9834-2"</f>
        <v>978-7-5325-9834-2</v>
      </c>
      <c r="C325" s="7" t="str">
        <f>"陈寅恪新论"</f>
        <v>陈寅恪新论</v>
      </c>
      <c r="D325" s="7" t="str">
        <f>"《中华文史论丛》编辑部编"</f>
        <v>《中华文史论丛》编辑部编</v>
      </c>
      <c r="E325" s="7" t="str">
        <f>"上海古籍出版社"</f>
        <v>上海古籍出版社</v>
      </c>
      <c r="F325" s="7" t="str">
        <f>"K825.81=72/10"</f>
        <v>K825.81=72/10</v>
      </c>
    </row>
    <row r="326" customHeight="1" spans="1:6">
      <c r="A326" s="6">
        <v>325</v>
      </c>
      <c r="B326" s="7" t="str">
        <f>"978-7-5325-9834-2"</f>
        <v>978-7-5325-9834-2</v>
      </c>
      <c r="C326" s="7" t="str">
        <f>"陈寅恪新论"</f>
        <v>陈寅恪新论</v>
      </c>
      <c r="D326" s="7" t="str">
        <f>"《中华文史论丛》编辑部编"</f>
        <v>《中华文史论丛》编辑部编</v>
      </c>
      <c r="E326" s="7" t="str">
        <f>"上海古籍出版社"</f>
        <v>上海古籍出版社</v>
      </c>
      <c r="F326" s="7" t="str">
        <f>"K825.81=72/10"</f>
        <v>K825.81=72/10</v>
      </c>
    </row>
    <row r="327" customHeight="1" spans="1:6">
      <c r="A327" s="6">
        <v>326</v>
      </c>
      <c r="B327" s="7" t="str">
        <f>"978-7-5321-7938-1"</f>
        <v>978-7-5321-7938-1</v>
      </c>
      <c r="C327" s="7" t="str">
        <f>"陈寅恪语录"</f>
        <v>陈寅恪语录</v>
      </c>
      <c r="D327" s="7" t="str">
        <f>"胡文辉编"</f>
        <v>胡文辉编</v>
      </c>
      <c r="E327" s="7" t="str">
        <f>"上海文艺出版社"</f>
        <v>上海文艺出版社</v>
      </c>
      <c r="F327" s="7" t="str">
        <f>"K825.81=72/9"</f>
        <v>K825.81=72/9</v>
      </c>
    </row>
    <row r="328" customHeight="1" spans="1:6">
      <c r="A328" s="6">
        <v>327</v>
      </c>
      <c r="B328" s="7" t="str">
        <f>"978-7-5321-7938-1"</f>
        <v>978-7-5321-7938-1</v>
      </c>
      <c r="C328" s="7" t="str">
        <f>"陈寅恪语录"</f>
        <v>陈寅恪语录</v>
      </c>
      <c r="D328" s="7" t="str">
        <f>"胡文辉编"</f>
        <v>胡文辉编</v>
      </c>
      <c r="E328" s="7" t="str">
        <f>"上海文艺出版社"</f>
        <v>上海文艺出版社</v>
      </c>
      <c r="F328" s="7" t="str">
        <f>"K825.81=72/9"</f>
        <v>K825.81=72/9</v>
      </c>
    </row>
    <row r="329" customHeight="1" spans="1:6">
      <c r="A329" s="6">
        <v>328</v>
      </c>
      <c r="B329" s="7" t="str">
        <f>"978-7-108-07008-1"</f>
        <v>978-7-108-07008-1</v>
      </c>
      <c r="C329" s="7" t="str">
        <f>"励耘家书"</f>
        <v>励耘家书</v>
      </c>
      <c r="D329" s="7" t="str">
        <f>"陈智超编注"</f>
        <v>陈智超编注</v>
      </c>
      <c r="E329" s="7" t="str">
        <f>"三联书店"</f>
        <v>三联书店</v>
      </c>
      <c r="F329" s="7" t="str">
        <f>"K825.81=73/2"</f>
        <v>K825.81=73/2</v>
      </c>
    </row>
    <row r="330" customHeight="1" spans="1:6">
      <c r="A330" s="6">
        <v>329</v>
      </c>
      <c r="B330" s="7" t="str">
        <f>"978-7-108-07008-1"</f>
        <v>978-7-108-07008-1</v>
      </c>
      <c r="C330" s="7" t="str">
        <f>"励耘家书"</f>
        <v>励耘家书</v>
      </c>
      <c r="D330" s="7" t="str">
        <f>"陈智超编注"</f>
        <v>陈智超编注</v>
      </c>
      <c r="E330" s="7" t="str">
        <f>"三联书店"</f>
        <v>三联书店</v>
      </c>
      <c r="F330" s="7" t="str">
        <f>"K825.81=73/2"</f>
        <v>K825.81=73/2</v>
      </c>
    </row>
    <row r="331" customHeight="1" spans="1:6">
      <c r="A331" s="6">
        <v>330</v>
      </c>
      <c r="B331" s="7" t="str">
        <f>"978-7-100-19826-4"</f>
        <v>978-7-100-19826-4</v>
      </c>
      <c r="C331" s="7" t="str">
        <f>"法兰西情书"</f>
        <v>法兰西情书</v>
      </c>
      <c r="D331" s="7" t="str">
        <f>"严济慈著"</f>
        <v>严济慈著</v>
      </c>
      <c r="E331" s="7" t="str">
        <f>"商务印书馆"</f>
        <v>商务印书馆</v>
      </c>
      <c r="F331" s="7" t="str">
        <f>"K826.11=75/5"</f>
        <v>K826.11=75/5</v>
      </c>
    </row>
    <row r="332" customHeight="1" spans="1:6">
      <c r="A332" s="6">
        <v>331</v>
      </c>
      <c r="B332" s="7" t="str">
        <f>"978-7-100-19826-4"</f>
        <v>978-7-100-19826-4</v>
      </c>
      <c r="C332" s="7" t="str">
        <f>"法兰西情书"</f>
        <v>法兰西情书</v>
      </c>
      <c r="D332" s="7" t="str">
        <f>"严济慈著"</f>
        <v>严济慈著</v>
      </c>
      <c r="E332" s="7" t="str">
        <f>"商务印书馆"</f>
        <v>商务印书馆</v>
      </c>
      <c r="F332" s="7" t="str">
        <f>"K826.11=75/5"</f>
        <v>K826.11=75/5</v>
      </c>
    </row>
    <row r="333" customHeight="1" spans="1:6">
      <c r="A333" s="6">
        <v>332</v>
      </c>
      <c r="B333" s="8" t="s">
        <v>12172</v>
      </c>
      <c r="C333" s="8" t="s">
        <v>12173</v>
      </c>
      <c r="D333" s="8" t="s">
        <v>12174</v>
      </c>
      <c r="E333" s="8" t="s">
        <v>12175</v>
      </c>
      <c r="F333" s="8" t="s">
        <v>12176</v>
      </c>
    </row>
    <row r="334" customHeight="1" spans="1:6">
      <c r="A334" s="6">
        <v>333</v>
      </c>
      <c r="B334" s="8" t="s">
        <v>12172</v>
      </c>
      <c r="C334" s="8" t="s">
        <v>12173</v>
      </c>
      <c r="D334" s="8" t="s">
        <v>12174</v>
      </c>
      <c r="E334" s="8" t="s">
        <v>12175</v>
      </c>
      <c r="F334" s="8" t="s">
        <v>12176</v>
      </c>
    </row>
    <row r="335" customHeight="1" spans="1:6">
      <c r="A335" s="6">
        <v>334</v>
      </c>
      <c r="B335" s="8" t="s">
        <v>12172</v>
      </c>
      <c r="C335" s="8" t="s">
        <v>12173</v>
      </c>
      <c r="D335" s="8" t="s">
        <v>12174</v>
      </c>
      <c r="E335" s="8" t="s">
        <v>12175</v>
      </c>
      <c r="F335" s="8" t="s">
        <v>12176</v>
      </c>
    </row>
    <row r="336" customHeight="1" spans="1:6">
      <c r="A336" s="6">
        <v>335</v>
      </c>
      <c r="B336" s="7" t="str">
        <f>"978-7-213-10100-7"</f>
        <v>978-7-213-10100-7</v>
      </c>
      <c r="C336" s="7" t="str">
        <f>"田间逐梦：共和国功勋袁隆平"</f>
        <v>田间逐梦：共和国功勋袁隆平</v>
      </c>
      <c r="D336" s="7" t="str">
        <f>"陈启文著"</f>
        <v>陈启文著</v>
      </c>
      <c r="E336" s="7" t="str">
        <f>"浙江人民出版社"</f>
        <v>浙江人民出版社</v>
      </c>
      <c r="F336" s="7" t="str">
        <f>"K826.3=76/14"</f>
        <v>K826.3=76/14</v>
      </c>
    </row>
    <row r="337" customHeight="1" spans="1:6">
      <c r="A337" s="6">
        <v>336</v>
      </c>
      <c r="B337" s="7" t="str">
        <f>"978-7-213-10100-7"</f>
        <v>978-7-213-10100-7</v>
      </c>
      <c r="C337" s="7" t="str">
        <f>"田间逐梦：共和国功勋袁隆平"</f>
        <v>田间逐梦：共和国功勋袁隆平</v>
      </c>
      <c r="D337" s="7" t="str">
        <f>"陈启文著"</f>
        <v>陈启文著</v>
      </c>
      <c r="E337" s="7" t="str">
        <f>"浙江人民出版社"</f>
        <v>浙江人民出版社</v>
      </c>
      <c r="F337" s="7" t="str">
        <f>"K826.3=76/14"</f>
        <v>K826.3=76/14</v>
      </c>
    </row>
    <row r="338" customHeight="1" spans="1:6">
      <c r="A338" s="6">
        <v>337</v>
      </c>
      <c r="B338" s="7" t="str">
        <f>"978-7-101-14546-5"</f>
        <v>978-7-101-14546-5</v>
      </c>
      <c r="C338" s="7" t="str">
        <f>"从草原到中原：后唐明宗李嗣源传：the later Tang reign of emperor Mingzong"</f>
        <v>从草原到中原：后唐明宗李嗣源传：the later Tang reign of emperor Mingzong</v>
      </c>
      <c r="D338" s="7" t="str">
        <f>"(美) 戴仁柱著；刘广丰译"</f>
        <v>(美) 戴仁柱著；刘广丰译</v>
      </c>
      <c r="E338" s="7" t="str">
        <f>"中华书局"</f>
        <v>中华书局</v>
      </c>
      <c r="F338" s="7" t="str">
        <f>"K827/1388"</f>
        <v>K827/1388</v>
      </c>
    </row>
    <row r="339" customHeight="1" spans="1:6">
      <c r="A339" s="6">
        <v>338</v>
      </c>
      <c r="B339" s="7" t="str">
        <f>"978-7-101-14546-5"</f>
        <v>978-7-101-14546-5</v>
      </c>
      <c r="C339" s="7" t="str">
        <f>"从草原到中原：后唐明宗李嗣源传：the later Tang reign of emperor Mingzong"</f>
        <v>从草原到中原：后唐明宗李嗣源传：the later Tang reign of emperor Mingzong</v>
      </c>
      <c r="D339" s="7" t="str">
        <f>"(美) 戴仁柱著；刘广丰译"</f>
        <v>(美) 戴仁柱著；刘广丰译</v>
      </c>
      <c r="E339" s="7" t="str">
        <f>"中华书局"</f>
        <v>中华书局</v>
      </c>
      <c r="F339" s="7" t="str">
        <f>"K827/1388"</f>
        <v>K827/1388</v>
      </c>
    </row>
    <row r="340" customHeight="1" spans="1:6">
      <c r="A340" s="6">
        <v>339</v>
      </c>
      <c r="B340" s="7" t="str">
        <f>"978-7-220-12127-2"</f>
        <v>978-7-220-12127-2</v>
      </c>
      <c r="C340" s="7" t="str">
        <f>"武则天研究"</f>
        <v>武则天研究</v>
      </c>
      <c r="D340" s="7" t="str">
        <f>"孟宪实著"</f>
        <v>孟宪实著</v>
      </c>
      <c r="E340" s="7" t="str">
        <f>"四川人民出版社"</f>
        <v>四川人民出版社</v>
      </c>
      <c r="F340" s="7" t="str">
        <f>"K827=421/36"</f>
        <v>K827=421/36</v>
      </c>
    </row>
    <row r="341" customHeight="1" spans="1:6">
      <c r="A341" s="6">
        <v>340</v>
      </c>
      <c r="B341" s="7" t="str">
        <f>"978-7-5538-0555-9"</f>
        <v>978-7-5538-0555-9</v>
      </c>
      <c r="C341" s="7" t="str">
        <f>"曾国藩年谱"</f>
        <v>曾国藩年谱</v>
      </c>
      <c r="D341" s="7" t="str">
        <f>"(清) 黎庶昌， 王定安等撰"</f>
        <v>(清) 黎庶昌， 王定安等撰</v>
      </c>
      <c r="E341" s="7" t="str">
        <f>"岳麓书社"</f>
        <v>岳麓书社</v>
      </c>
      <c r="F341" s="7" t="str">
        <f>"K827=52/1322=2D"</f>
        <v>K827=52/1322=2D</v>
      </c>
    </row>
    <row r="342" customHeight="1" spans="1:6">
      <c r="A342" s="6">
        <v>341</v>
      </c>
      <c r="B342" s="7" t="str">
        <f>"978-7-5538-0555-9"</f>
        <v>978-7-5538-0555-9</v>
      </c>
      <c r="C342" s="7" t="str">
        <f>"曾国藩年谱"</f>
        <v>曾国藩年谱</v>
      </c>
      <c r="D342" s="7" t="str">
        <f>"(清) 黎庶昌， 王定安等撰"</f>
        <v>(清) 黎庶昌， 王定安等撰</v>
      </c>
      <c r="E342" s="7" t="str">
        <f>"岳麓书社"</f>
        <v>岳麓书社</v>
      </c>
      <c r="F342" s="7" t="str">
        <f>"K827=52/1322=2D"</f>
        <v>K827=52/1322=2D</v>
      </c>
    </row>
    <row r="343" customHeight="1" spans="1:6">
      <c r="A343" s="6">
        <v>342</v>
      </c>
      <c r="B343" s="7" t="str">
        <f>"978-7-5682-9973-2"</f>
        <v>978-7-5682-9973-2</v>
      </c>
      <c r="C343" s="7" t="str">
        <f>"知行风向标：102位大学生的青春故事"</f>
        <v>知行风向标：102位大学生的青春故事</v>
      </c>
      <c r="D343" s="7" t="str">
        <f>"刘丽， 张振， 蔡运记编著"</f>
        <v>刘丽， 张振， 蔡运记编著</v>
      </c>
      <c r="E343" s="7" t="str">
        <f>"北京理工大学出版社"</f>
        <v>北京理工大学出版社</v>
      </c>
      <c r="F343" s="7" t="str">
        <f>"K828.4=76/3"</f>
        <v>K828.4=76/3</v>
      </c>
    </row>
    <row r="344" customHeight="1" spans="1:6">
      <c r="A344" s="6">
        <v>343</v>
      </c>
      <c r="B344" s="7" t="str">
        <f>"978-7-5682-9973-2"</f>
        <v>978-7-5682-9973-2</v>
      </c>
      <c r="C344" s="7" t="str">
        <f>"知行风向标：102位大学生的青春故事"</f>
        <v>知行风向标：102位大学生的青春故事</v>
      </c>
      <c r="D344" s="7" t="str">
        <f>"刘丽， 张振， 蔡运记编著"</f>
        <v>刘丽， 张振， 蔡运记编著</v>
      </c>
      <c r="E344" s="7" t="str">
        <f>"北京理工大学出版社"</f>
        <v>北京理工大学出版社</v>
      </c>
      <c r="F344" s="7" t="str">
        <f>"K828.4=76/3"</f>
        <v>K828.4=76/3</v>
      </c>
    </row>
    <row r="345" customHeight="1" spans="1:6">
      <c r="A345" s="6">
        <v>344</v>
      </c>
      <c r="B345" s="7" t="str">
        <f>"978-7-5594-5627-4"</f>
        <v>978-7-5594-5627-4</v>
      </c>
      <c r="C345" s="7" t="str">
        <f>"群星灿烂的年代"</f>
        <v>群星灿烂的年代</v>
      </c>
      <c r="D345" s="7" t="str">
        <f>"(俄) 伊·伊·巴纳耶夫著；刘敦健译"</f>
        <v>(俄) 伊·伊·巴纳耶夫著；刘敦健译</v>
      </c>
      <c r="E345" s="7" t="str">
        <f>"江苏凤凰文艺出版社"</f>
        <v>江苏凤凰文艺出版社</v>
      </c>
      <c r="F345" s="7" t="str">
        <f>"K835.125.6=41/6"</f>
        <v>K835.125.6=41/6</v>
      </c>
    </row>
    <row r="346" customHeight="1" spans="1:6">
      <c r="A346" s="6">
        <v>345</v>
      </c>
      <c r="B346" s="7" t="str">
        <f>"978-7-5594-5627-4"</f>
        <v>978-7-5594-5627-4</v>
      </c>
      <c r="C346" s="7" t="str">
        <f>"群星灿烂的年代"</f>
        <v>群星灿烂的年代</v>
      </c>
      <c r="D346" s="7" t="str">
        <f>"(俄) 伊·伊·巴纳耶夫著；刘敦健译"</f>
        <v>(俄) 伊·伊·巴纳耶夫著；刘敦健译</v>
      </c>
      <c r="E346" s="7" t="str">
        <f>"江苏凤凰文艺出版社"</f>
        <v>江苏凤凰文艺出版社</v>
      </c>
      <c r="F346" s="7" t="str">
        <f>"K835.125.6=41/6"</f>
        <v>K835.125.6=41/6</v>
      </c>
    </row>
    <row r="347" customHeight="1" spans="1:6">
      <c r="A347" s="6">
        <v>346</v>
      </c>
      <c r="B347" s="7" t="str">
        <f t="shared" ref="B347:B349" si="121">"978-7-108-06967-2"</f>
        <v>978-7-108-06967-2</v>
      </c>
      <c r="C347" s="7" t="str">
        <f t="shared" ref="C347:C349" si="122">"毛奇家族：一部战争史：Biographie Einer Familie"</f>
        <v>毛奇家族：一部战争史：Biographie Einer Familie</v>
      </c>
      <c r="D347" s="7" t="str">
        <f t="shared" ref="D347:D349" si="123">"(德) 奥拉夫·耶森著；察玳燕， 孟薇， 张芸译"</f>
        <v>(德) 奥拉夫·耶森著；察玳燕， 孟薇， 张芸译</v>
      </c>
      <c r="E347" s="7" t="str">
        <f t="shared" ref="E347:E349" si="124">"三联书店"</f>
        <v>三联书店</v>
      </c>
      <c r="F347" s="7" t="str">
        <f t="shared" ref="F347:F349" si="125">"K835.160.9/6"</f>
        <v>K835.160.9/6</v>
      </c>
    </row>
    <row r="348" customHeight="1" spans="1:6">
      <c r="A348" s="6">
        <v>347</v>
      </c>
      <c r="B348" s="7" t="str">
        <f t="shared" si="121"/>
        <v>978-7-108-06967-2</v>
      </c>
      <c r="C348" s="7" t="str">
        <f t="shared" si="122"/>
        <v>毛奇家族：一部战争史：Biographie Einer Familie</v>
      </c>
      <c r="D348" s="7" t="str">
        <f t="shared" si="123"/>
        <v>(德) 奥拉夫·耶森著；察玳燕， 孟薇， 张芸译</v>
      </c>
      <c r="E348" s="7" t="str">
        <f t="shared" si="124"/>
        <v>三联书店</v>
      </c>
      <c r="F348" s="7" t="str">
        <f t="shared" si="125"/>
        <v>K835.160.9/6</v>
      </c>
    </row>
    <row r="349" customHeight="1" spans="1:6">
      <c r="A349" s="6">
        <v>348</v>
      </c>
      <c r="B349" s="7" t="str">
        <f t="shared" si="121"/>
        <v>978-7-108-06967-2</v>
      </c>
      <c r="C349" s="7" t="str">
        <f t="shared" si="122"/>
        <v>毛奇家族：一部战争史：Biographie Einer Familie</v>
      </c>
      <c r="D349" s="7" t="str">
        <f t="shared" si="123"/>
        <v>(德) 奥拉夫·耶森著；察玳燕， 孟薇， 张芸译</v>
      </c>
      <c r="E349" s="7" t="str">
        <f t="shared" si="124"/>
        <v>三联书店</v>
      </c>
      <c r="F349" s="7" t="str">
        <f t="shared" si="125"/>
        <v>K835.160.9/6</v>
      </c>
    </row>
    <row r="350" customHeight="1" spans="1:6">
      <c r="A350" s="6">
        <v>349</v>
      </c>
      <c r="B350" s="7" t="str">
        <f>"978-7-5356-9483-6"</f>
        <v>978-7-5356-9483-6</v>
      </c>
      <c r="C350" s="7" t="str">
        <f>"这就是高迪"</f>
        <v>这就是高迪</v>
      </c>
      <c r="D350" s="7" t="str">
        <f>"(英) 莫莉·克莱普尔著；(英) 克里斯蒂娜·克里斯托福鲁插图Mollie Claypool；Christina Christoforou；北寺译"</f>
        <v>(英) 莫莉·克莱普尔著；(英) 克里斯蒂娜·克里斯托福鲁插图Mollie Claypool；Christina Christoforou；北寺译</v>
      </c>
      <c r="E350" s="7" t="str">
        <f>"湖南美术出版社"</f>
        <v>湖南美术出版社</v>
      </c>
      <c r="F350" s="7" t="str">
        <f>"K835.51/2"</f>
        <v>K835.51/2</v>
      </c>
    </row>
    <row r="351" customHeight="1" spans="1:6">
      <c r="A351" s="6">
        <v>350</v>
      </c>
      <c r="B351" s="7" t="str">
        <f>"978-7-5356-9483-6"</f>
        <v>978-7-5356-9483-6</v>
      </c>
      <c r="C351" s="7" t="str">
        <f>"这就是高迪"</f>
        <v>这就是高迪</v>
      </c>
      <c r="D351" s="7" t="str">
        <f>"(英) 莫莉·克莱普尔著；(英) 克里斯蒂娜·克里斯托福鲁插图Mollie Claypool；Christina Christoforou；北寺译"</f>
        <v>(英) 莫莉·克莱普尔著；(英) 克里斯蒂娜·克里斯托福鲁插图Mollie Claypool；Christina Christoforou；北寺译</v>
      </c>
      <c r="E351" s="7" t="str">
        <f>"湖南美术出版社"</f>
        <v>湖南美术出版社</v>
      </c>
      <c r="F351" s="7" t="str">
        <f>"K835.51/2"</f>
        <v>K835.51/2</v>
      </c>
    </row>
    <row r="352" customHeight="1" spans="1:6">
      <c r="A352" s="6">
        <v>351</v>
      </c>
      <c r="B352" s="7" t="str">
        <f t="shared" ref="B352:B354" si="126">"978-7-5439-8380-9"</f>
        <v>978-7-5439-8380-9</v>
      </c>
      <c r="C352" s="7" t="str">
        <f t="shared" ref="C352:C354" si="127">"达尔文：进化论之父：the father of evolution"</f>
        <v>达尔文：进化论之父：the father of evolution</v>
      </c>
      <c r="D352" s="7" t="str">
        <f t="shared" ref="D352:D354" si="128">"傅德岷主编"</f>
        <v>傅德岷主编</v>
      </c>
      <c r="E352" s="7" t="str">
        <f t="shared" ref="E352:E354" si="129">"上海科学技术文献出版社"</f>
        <v>上海科学技术文献出版社</v>
      </c>
      <c r="F352" s="7" t="str">
        <f t="shared" ref="F352:F354" si="130">"K835.616.15/6"</f>
        <v>K835.616.15/6</v>
      </c>
    </row>
    <row r="353" customHeight="1" spans="1:6">
      <c r="A353" s="6">
        <v>352</v>
      </c>
      <c r="B353" s="7" t="str">
        <f t="shared" si="126"/>
        <v>978-7-5439-8380-9</v>
      </c>
      <c r="C353" s="7" t="str">
        <f t="shared" si="127"/>
        <v>达尔文：进化论之父：the father of evolution</v>
      </c>
      <c r="D353" s="7" t="str">
        <f t="shared" si="128"/>
        <v>傅德岷主编</v>
      </c>
      <c r="E353" s="7" t="str">
        <f t="shared" si="129"/>
        <v>上海科学技术文献出版社</v>
      </c>
      <c r="F353" s="7" t="str">
        <f t="shared" si="130"/>
        <v>K835.616.15/6</v>
      </c>
    </row>
    <row r="354" customHeight="1" spans="1:6">
      <c r="A354" s="6">
        <v>353</v>
      </c>
      <c r="B354" s="7" t="str">
        <f t="shared" si="126"/>
        <v>978-7-5439-8380-9</v>
      </c>
      <c r="C354" s="7" t="str">
        <f t="shared" si="127"/>
        <v>达尔文：进化论之父：the father of evolution</v>
      </c>
      <c r="D354" s="7" t="str">
        <f t="shared" si="128"/>
        <v>傅德岷主编</v>
      </c>
      <c r="E354" s="7" t="str">
        <f t="shared" si="129"/>
        <v>上海科学技术文献出版社</v>
      </c>
      <c r="F354" s="7" t="str">
        <f t="shared" si="130"/>
        <v>K835.616.15/6</v>
      </c>
    </row>
    <row r="355" customHeight="1" spans="1:6">
      <c r="A355" s="6">
        <v>354</v>
      </c>
      <c r="B355" s="7" t="str">
        <f t="shared" ref="B355:B357" si="131">"978-7-108-06917-7"</f>
        <v>978-7-108-06917-7</v>
      </c>
      <c r="C355" s="7" t="str">
        <f t="shared" ref="C355:C357" si="132">"丘吉尔的原子弹：一部科学、战争与政治的秘史：a hidden history of science， war and politics"</f>
        <v>丘吉尔的原子弹：一部科学、战争与政治的秘史：a hidden history of science， war and politics</v>
      </c>
      <c r="D355" s="7" t="str">
        <f t="shared" ref="D355:D357" si="133">"(英) 格雷厄姆·法米罗著Graham Farmelo；刘晓译"</f>
        <v>(英) 格雷厄姆·法米罗著Graham Farmelo；刘晓译</v>
      </c>
      <c r="E355" s="7" t="str">
        <f t="shared" ref="E355:E357" si="134">"三联书店"</f>
        <v>三联书店</v>
      </c>
      <c r="F355" s="7" t="str">
        <f t="shared" ref="F355:F357" si="135">"K835.617=533/12"</f>
        <v>K835.617=533/12</v>
      </c>
    </row>
    <row r="356" customHeight="1" spans="1:6">
      <c r="A356" s="6">
        <v>355</v>
      </c>
      <c r="B356" s="7" t="str">
        <f t="shared" si="131"/>
        <v>978-7-108-06917-7</v>
      </c>
      <c r="C356" s="7" t="str">
        <f t="shared" si="132"/>
        <v>丘吉尔的原子弹：一部科学、战争与政治的秘史：a hidden history of science， war and politics</v>
      </c>
      <c r="D356" s="7" t="str">
        <f t="shared" si="133"/>
        <v>(英) 格雷厄姆·法米罗著Graham Farmelo；刘晓译</v>
      </c>
      <c r="E356" s="7" t="str">
        <f t="shared" si="134"/>
        <v>三联书店</v>
      </c>
      <c r="F356" s="7" t="str">
        <f t="shared" si="135"/>
        <v>K835.617=533/12</v>
      </c>
    </row>
    <row r="357" customHeight="1" spans="1:6">
      <c r="A357" s="6">
        <v>356</v>
      </c>
      <c r="B357" s="7" t="str">
        <f t="shared" si="131"/>
        <v>978-7-108-06917-7</v>
      </c>
      <c r="C357" s="7" t="str">
        <f t="shared" si="132"/>
        <v>丘吉尔的原子弹：一部科学、战争与政治的秘史：a hidden history of science， war and politics</v>
      </c>
      <c r="D357" s="7" t="str">
        <f t="shared" si="133"/>
        <v>(英) 格雷厄姆·法米罗著Graham Farmelo；刘晓译</v>
      </c>
      <c r="E357" s="7" t="str">
        <f t="shared" si="134"/>
        <v>三联书店</v>
      </c>
      <c r="F357" s="7" t="str">
        <f t="shared" si="135"/>
        <v>K835.617=533/12</v>
      </c>
    </row>
    <row r="358" customHeight="1" spans="1:6">
      <c r="A358" s="6">
        <v>357</v>
      </c>
      <c r="B358" s="7" t="str">
        <f t="shared" ref="B358:B360" si="136">"978-7-5217-3238-2"</f>
        <v>978-7-5217-3238-2</v>
      </c>
      <c r="C358" s="7" t="str">
        <f t="shared" ref="C358:C360" si="137">"贝佐斯传：Jeff Bezos and the invention of a global empire"</f>
        <v>贝佐斯传：Jeff Bezos and the invention of a global empire</v>
      </c>
      <c r="D358" s="7" t="str">
        <f t="shared" ref="D358:D360" si="138">"(美) 布拉德·斯通著Brad Stone；张琪译"</f>
        <v>(美) 布拉德·斯通著Brad Stone；张琪译</v>
      </c>
      <c r="E358" s="7" t="str">
        <f t="shared" ref="E358:E362" si="139">"中信出版集团股份有限公司"</f>
        <v>中信出版集团股份有限公司</v>
      </c>
      <c r="F358" s="7" t="str">
        <f t="shared" ref="F358:F360" si="140">"K837.125.38=6/29"</f>
        <v>K837.125.38=6/29</v>
      </c>
    </row>
    <row r="359" customHeight="1" spans="1:6">
      <c r="A359" s="6">
        <v>358</v>
      </c>
      <c r="B359" s="7" t="str">
        <f t="shared" si="136"/>
        <v>978-7-5217-3238-2</v>
      </c>
      <c r="C359" s="7" t="str">
        <f t="shared" si="137"/>
        <v>贝佐斯传：Jeff Bezos and the invention of a global empire</v>
      </c>
      <c r="D359" s="7" t="str">
        <f t="shared" si="138"/>
        <v>(美) 布拉德·斯通著Brad Stone；张琪译</v>
      </c>
      <c r="E359" s="7" t="str">
        <f t="shared" si="139"/>
        <v>中信出版集团股份有限公司</v>
      </c>
      <c r="F359" s="7" t="str">
        <f t="shared" si="140"/>
        <v>K837.125.38=6/29</v>
      </c>
    </row>
    <row r="360" customHeight="1" spans="1:6">
      <c r="A360" s="6">
        <v>359</v>
      </c>
      <c r="B360" s="7" t="str">
        <f t="shared" si="136"/>
        <v>978-7-5217-3238-2</v>
      </c>
      <c r="C360" s="7" t="str">
        <f t="shared" si="137"/>
        <v>贝佐斯传：Jeff Bezos and the invention of a global empire</v>
      </c>
      <c r="D360" s="7" t="str">
        <f t="shared" si="138"/>
        <v>(美) 布拉德·斯通著Brad Stone；张琪译</v>
      </c>
      <c r="E360" s="7" t="str">
        <f t="shared" si="139"/>
        <v>中信出版集团股份有限公司</v>
      </c>
      <c r="F360" s="7" t="str">
        <f t="shared" si="140"/>
        <v>K837.125.38=6/29</v>
      </c>
    </row>
    <row r="361" customHeight="1" spans="1:6">
      <c r="A361" s="6">
        <v>360</v>
      </c>
      <c r="B361" s="7" t="str">
        <f>"978-7-5217-2879-8"</f>
        <v>978-7-5217-2879-8</v>
      </c>
      <c r="C361" s="7" t="str">
        <f>"宇宙的孩子"</f>
        <v>宇宙的孩子</v>
      </c>
      <c r="D361" s="7" t="str">
        <f>"(美) 迈克尔·乔莱特著Mikel Jollett；苏伊瑶译"</f>
        <v>(美) 迈克尔·乔莱特著Mikel Jollett；苏伊瑶译</v>
      </c>
      <c r="E361" s="7" t="str">
        <f t="shared" si="139"/>
        <v>中信出版集团股份有限公司</v>
      </c>
      <c r="F361" s="7" t="str">
        <f>"K837.125.76/12"</f>
        <v>K837.125.76/12</v>
      </c>
    </row>
    <row r="362" customHeight="1" spans="1:6">
      <c r="A362" s="6">
        <v>361</v>
      </c>
      <c r="B362" s="7" t="str">
        <f>"978-7-5217-2879-8"</f>
        <v>978-7-5217-2879-8</v>
      </c>
      <c r="C362" s="7" t="str">
        <f>"宇宙的孩子"</f>
        <v>宇宙的孩子</v>
      </c>
      <c r="D362" s="7" t="str">
        <f>"(美) 迈克尔·乔莱特著Mikel Jollett；苏伊瑶译"</f>
        <v>(美) 迈克尔·乔莱特著Mikel Jollett；苏伊瑶译</v>
      </c>
      <c r="E362" s="7" t="str">
        <f t="shared" si="139"/>
        <v>中信出版集团股份有限公司</v>
      </c>
      <c r="F362" s="7" t="str">
        <f>"K837.125.76/12"</f>
        <v>K837.125.76/12</v>
      </c>
    </row>
    <row r="363" customHeight="1" spans="1:6">
      <c r="A363" s="6">
        <v>362</v>
      </c>
      <c r="B363" s="7" t="str">
        <f t="shared" ref="B363:B365" si="141">"978-7-5439-8383-0"</f>
        <v>978-7-5439-8383-0</v>
      </c>
      <c r="C363" s="7" t="str">
        <f t="shared" ref="C363:C365" si="142">"爱迪生：天才发明家：genius inventor"</f>
        <v>爱迪生：天才发明家：genius inventor</v>
      </c>
      <c r="D363" s="7" t="str">
        <f t="shared" ref="D363:D368" si="143">"傅德岷主编"</f>
        <v>傅德岷主编</v>
      </c>
      <c r="E363" s="7" t="str">
        <f t="shared" ref="E363:E368" si="144">"上海科学技术文献出版社"</f>
        <v>上海科学技术文献出版社</v>
      </c>
      <c r="F363" s="7" t="str">
        <f t="shared" ref="F363:F365" si="145">"K837.126.1/4"</f>
        <v>K837.126.1/4</v>
      </c>
    </row>
    <row r="364" customHeight="1" spans="1:6">
      <c r="A364" s="6">
        <v>363</v>
      </c>
      <c r="B364" s="7" t="str">
        <f t="shared" si="141"/>
        <v>978-7-5439-8383-0</v>
      </c>
      <c r="C364" s="7" t="str">
        <f t="shared" si="142"/>
        <v>爱迪生：天才发明家：genius inventor</v>
      </c>
      <c r="D364" s="7" t="str">
        <f t="shared" si="143"/>
        <v>傅德岷主编</v>
      </c>
      <c r="E364" s="7" t="str">
        <f t="shared" si="144"/>
        <v>上海科学技术文献出版社</v>
      </c>
      <c r="F364" s="7" t="str">
        <f t="shared" si="145"/>
        <v>K837.126.1/4</v>
      </c>
    </row>
    <row r="365" customHeight="1" spans="1:6">
      <c r="A365" s="6">
        <v>364</v>
      </c>
      <c r="B365" s="7" t="str">
        <f t="shared" si="141"/>
        <v>978-7-5439-8383-0</v>
      </c>
      <c r="C365" s="7" t="str">
        <f t="shared" si="142"/>
        <v>爱迪生：天才发明家：genius inventor</v>
      </c>
      <c r="D365" s="7" t="str">
        <f t="shared" si="143"/>
        <v>傅德岷主编</v>
      </c>
      <c r="E365" s="7" t="str">
        <f t="shared" si="144"/>
        <v>上海科学技术文献出版社</v>
      </c>
      <c r="F365" s="7" t="str">
        <f t="shared" si="145"/>
        <v>K837.126.1/4</v>
      </c>
    </row>
    <row r="366" customHeight="1" spans="1:6">
      <c r="A366" s="6">
        <v>365</v>
      </c>
      <c r="B366" s="7" t="str">
        <f t="shared" ref="B366:B368" si="146">"978-7-5439-8396-0"</f>
        <v>978-7-5439-8396-0</v>
      </c>
      <c r="C366" s="7" t="str">
        <f t="shared" ref="C366:C368" si="147">"爱因斯坦：时空信使：Einstein space time messenger"</f>
        <v>爱因斯坦：时空信使：Einstein space time messenger</v>
      </c>
      <c r="D366" s="7" t="str">
        <f t="shared" si="143"/>
        <v>傅德岷主编</v>
      </c>
      <c r="E366" s="7" t="str">
        <f t="shared" si="144"/>
        <v>上海科学技术文献出版社</v>
      </c>
      <c r="F366" s="7" t="str">
        <f t="shared" ref="F366:F368" si="148">"K837.126.11/21"</f>
        <v>K837.126.11/21</v>
      </c>
    </row>
    <row r="367" customHeight="1" spans="1:6">
      <c r="A367" s="6">
        <v>366</v>
      </c>
      <c r="B367" s="7" t="str">
        <f t="shared" si="146"/>
        <v>978-7-5439-8396-0</v>
      </c>
      <c r="C367" s="7" t="str">
        <f t="shared" si="147"/>
        <v>爱因斯坦：时空信使：Einstein space time messenger</v>
      </c>
      <c r="D367" s="7" t="str">
        <f t="shared" si="143"/>
        <v>傅德岷主编</v>
      </c>
      <c r="E367" s="7" t="str">
        <f t="shared" si="144"/>
        <v>上海科学技术文献出版社</v>
      </c>
      <c r="F367" s="7" t="str">
        <f t="shared" si="148"/>
        <v>K837.126.11/21</v>
      </c>
    </row>
    <row r="368" customHeight="1" spans="1:6">
      <c r="A368" s="6">
        <v>367</v>
      </c>
      <c r="B368" s="7" t="str">
        <f t="shared" si="146"/>
        <v>978-7-5439-8396-0</v>
      </c>
      <c r="C368" s="7" t="str">
        <f t="shared" si="147"/>
        <v>爱因斯坦：时空信使：Einstein space time messenger</v>
      </c>
      <c r="D368" s="7" t="str">
        <f t="shared" si="143"/>
        <v>傅德岷主编</v>
      </c>
      <c r="E368" s="7" t="str">
        <f t="shared" si="144"/>
        <v>上海科学技术文献出版社</v>
      </c>
      <c r="F368" s="7" t="str">
        <f t="shared" si="148"/>
        <v>K837.126.11/21</v>
      </c>
    </row>
    <row r="369" customHeight="1" spans="1:6">
      <c r="A369" s="6">
        <v>368</v>
      </c>
      <c r="B369" s="7" t="str">
        <f>"978-7-5139-3343-8"</f>
        <v>978-7-5139-3343-8</v>
      </c>
      <c r="C369" s="7" t="str">
        <f>"十件古物中的丝路文明史：material culture of the silk road"</f>
        <v>十件古物中的丝路文明史：material culture of the silk road</v>
      </c>
      <c r="D369" s="7" t="str">
        <f>"(英) 魏泓著Susan Whitfield；王东译"</f>
        <v>(英) 魏泓著Susan Whitfield；王东译</v>
      </c>
      <c r="E369" s="7" t="str">
        <f>"民主与建设出版社"</f>
        <v>民主与建设出版社</v>
      </c>
      <c r="F369" s="7" t="str">
        <f>"K86/37"</f>
        <v>K86/37</v>
      </c>
    </row>
    <row r="370" customHeight="1" spans="1:6">
      <c r="A370" s="6">
        <v>369</v>
      </c>
      <c r="B370" s="7" t="str">
        <f>"978-7-5139-3343-8"</f>
        <v>978-7-5139-3343-8</v>
      </c>
      <c r="C370" s="7" t="str">
        <f>"十件古物中的丝路文明史：material culture of the silk road"</f>
        <v>十件古物中的丝路文明史：material culture of the silk road</v>
      </c>
      <c r="D370" s="7" t="str">
        <f>"(英) 魏泓著Susan Whitfield；王东译"</f>
        <v>(英) 魏泓著Susan Whitfield；王东译</v>
      </c>
      <c r="E370" s="7" t="str">
        <f>"民主与建设出版社"</f>
        <v>民主与建设出版社</v>
      </c>
      <c r="F370" s="7" t="str">
        <f>"K86/37"</f>
        <v>K86/37</v>
      </c>
    </row>
    <row r="371" customHeight="1" spans="1:6">
      <c r="A371" s="6">
        <v>370</v>
      </c>
      <c r="B371" s="7" t="str">
        <f>"978-7-5596-5133-4"</f>
        <v>978-7-5596-5133-4</v>
      </c>
      <c r="C371" s="7" t="str">
        <f>"考古一百年：重现中国"</f>
        <v>考古一百年：重现中国</v>
      </c>
      <c r="D371" s="7" t="str">
        <f>"杨泓著"</f>
        <v>杨泓著</v>
      </c>
      <c r="E371" s="7" t="str">
        <f>"北京联合出版公司"</f>
        <v>北京联合出版公司</v>
      </c>
      <c r="F371" s="7" t="str">
        <f>"K87/87"</f>
        <v>K87/87</v>
      </c>
    </row>
    <row r="372" customHeight="1" spans="1:6">
      <c r="A372" s="6">
        <v>371</v>
      </c>
      <c r="B372" s="7" t="str">
        <f>"978-7-5596-5133-4"</f>
        <v>978-7-5596-5133-4</v>
      </c>
      <c r="C372" s="7" t="str">
        <f>"考古一百年：重现中国"</f>
        <v>考古一百年：重现中国</v>
      </c>
      <c r="D372" s="7" t="str">
        <f>"杨泓著"</f>
        <v>杨泓著</v>
      </c>
      <c r="E372" s="7" t="str">
        <f>"北京联合出版公司"</f>
        <v>北京联合出版公司</v>
      </c>
      <c r="F372" s="7" t="str">
        <f>"K87/87"</f>
        <v>K87/87</v>
      </c>
    </row>
    <row r="373" customHeight="1" spans="1:6">
      <c r="A373" s="6">
        <v>372</v>
      </c>
      <c r="B373" s="7" t="str">
        <f>"978-7-100-19551-5"</f>
        <v>978-7-100-19551-5</v>
      </c>
      <c r="C373" s="7" t="str">
        <f>"踏墟寻城"</f>
        <v>踏墟寻城</v>
      </c>
      <c r="D373" s="7" t="str">
        <f>"许宏著"</f>
        <v>许宏著</v>
      </c>
      <c r="E373" s="7" t="str">
        <f>"商务印书馆"</f>
        <v>商务印书馆</v>
      </c>
      <c r="F373" s="7" t="str">
        <f>"K870.4/56"</f>
        <v>K870.4/56</v>
      </c>
    </row>
    <row r="374" customHeight="1" spans="1:6">
      <c r="A374" s="6">
        <v>373</v>
      </c>
      <c r="B374" s="7" t="str">
        <f>"978-7-100-19551-5"</f>
        <v>978-7-100-19551-5</v>
      </c>
      <c r="C374" s="7" t="str">
        <f>"踏墟寻城"</f>
        <v>踏墟寻城</v>
      </c>
      <c r="D374" s="7" t="str">
        <f>"许宏著"</f>
        <v>许宏著</v>
      </c>
      <c r="E374" s="7" t="str">
        <f>"商务印书馆"</f>
        <v>商务印书馆</v>
      </c>
      <c r="F374" s="7" t="str">
        <f>"K870.4/56"</f>
        <v>K870.4/56</v>
      </c>
    </row>
    <row r="375" customHeight="1" spans="1:6">
      <c r="A375" s="6">
        <v>374</v>
      </c>
      <c r="B375" s="7" t="str">
        <f>"978-7-03-066587-4"</f>
        <v>978-7-03-066587-4</v>
      </c>
      <c r="C375" s="7" t="str">
        <f>"大漠朔风：魏坚北方考古文选．历史卷"</f>
        <v>大漠朔风：魏坚北方考古文选．历史卷</v>
      </c>
      <c r="D375" s="7" t="str">
        <f>"魏坚著"</f>
        <v>魏坚著</v>
      </c>
      <c r="E375" s="7" t="str">
        <f>"科学出版社"</f>
        <v>科学出版社</v>
      </c>
      <c r="F375" s="7" t="str">
        <f>"K870.4/57"</f>
        <v>K870.4/57</v>
      </c>
    </row>
    <row r="376" customHeight="1" spans="1:6">
      <c r="A376" s="6">
        <v>375</v>
      </c>
      <c r="B376" s="7" t="str">
        <f>"978-7-5207-1205-7"</f>
        <v>978-7-5207-1205-7</v>
      </c>
      <c r="C376" s="7" t="str">
        <f>"博物馆里的大唐之美"</f>
        <v>博物馆里的大唐之美</v>
      </c>
      <c r="D376" s="7" t="str">
        <f>"郑毅著"</f>
        <v>郑毅著</v>
      </c>
      <c r="E376" s="7" t="str">
        <f>"东方出版社"</f>
        <v>东方出版社</v>
      </c>
      <c r="F376" s="7" t="str">
        <f>"K871.4/2"</f>
        <v>K871.4/2</v>
      </c>
    </row>
    <row r="377" customHeight="1" spans="1:6">
      <c r="A377" s="6">
        <v>376</v>
      </c>
      <c r="B377" s="7" t="str">
        <f>"978-7-5207-1205-7"</f>
        <v>978-7-5207-1205-7</v>
      </c>
      <c r="C377" s="7" t="str">
        <f>"博物馆里的大唐之美"</f>
        <v>博物馆里的大唐之美</v>
      </c>
      <c r="D377" s="7" t="str">
        <f>"郑毅著"</f>
        <v>郑毅著</v>
      </c>
      <c r="E377" s="7" t="str">
        <f>"东方出版社"</f>
        <v>东方出版社</v>
      </c>
      <c r="F377" s="7" t="str">
        <f>"K871.4/2"</f>
        <v>K871.4/2</v>
      </c>
    </row>
    <row r="378" customHeight="1" spans="1:6">
      <c r="A378" s="6">
        <v>377</v>
      </c>
      <c r="B378" s="8" t="s">
        <v>12177</v>
      </c>
      <c r="C378" s="8" t="s">
        <v>12178</v>
      </c>
      <c r="D378" s="8" t="s">
        <v>12179</v>
      </c>
      <c r="E378" s="8" t="s">
        <v>189</v>
      </c>
      <c r="F378" s="8" t="s">
        <v>12180</v>
      </c>
    </row>
    <row r="379" customHeight="1" spans="1:6">
      <c r="A379" s="6">
        <v>378</v>
      </c>
      <c r="B379" s="8" t="s">
        <v>12177</v>
      </c>
      <c r="C379" s="8" t="s">
        <v>12178</v>
      </c>
      <c r="D379" s="8" t="s">
        <v>12179</v>
      </c>
      <c r="E379" s="8" t="s">
        <v>189</v>
      </c>
      <c r="F379" s="8" t="s">
        <v>12180</v>
      </c>
    </row>
    <row r="380" customHeight="1" spans="1:6">
      <c r="A380" s="6">
        <v>379</v>
      </c>
      <c r="B380" s="8" t="s">
        <v>12181</v>
      </c>
      <c r="C380" s="8" t="s">
        <v>12182</v>
      </c>
      <c r="D380" s="8" t="s">
        <v>12183</v>
      </c>
      <c r="E380" s="8" t="s">
        <v>370</v>
      </c>
      <c r="F380" s="8" t="s">
        <v>12184</v>
      </c>
    </row>
    <row r="381" customHeight="1" spans="1:6">
      <c r="A381" s="6">
        <v>380</v>
      </c>
      <c r="B381" s="8" t="s">
        <v>12181</v>
      </c>
      <c r="C381" s="8" t="s">
        <v>12182</v>
      </c>
      <c r="D381" s="8" t="s">
        <v>12183</v>
      </c>
      <c r="E381" s="8" t="s">
        <v>370</v>
      </c>
      <c r="F381" s="8" t="s">
        <v>12184</v>
      </c>
    </row>
    <row r="382" customHeight="1" spans="1:6">
      <c r="A382" s="6">
        <v>381</v>
      </c>
      <c r="B382" s="8" t="s">
        <v>12185</v>
      </c>
      <c r="C382" s="8" t="s">
        <v>12186</v>
      </c>
      <c r="D382" s="8" t="s">
        <v>12187</v>
      </c>
      <c r="E382" s="8" t="s">
        <v>12063</v>
      </c>
      <c r="F382" s="8" t="s">
        <v>12188</v>
      </c>
    </row>
    <row r="383" customHeight="1" spans="1:6">
      <c r="A383" s="6">
        <v>382</v>
      </c>
      <c r="B383" s="8" t="s">
        <v>12185</v>
      </c>
      <c r="C383" s="8" t="s">
        <v>12186</v>
      </c>
      <c r="D383" s="8" t="s">
        <v>12187</v>
      </c>
      <c r="E383" s="8" t="s">
        <v>12063</v>
      </c>
      <c r="F383" s="8" t="s">
        <v>12188</v>
      </c>
    </row>
    <row r="384" customHeight="1" spans="1:6">
      <c r="A384" s="6">
        <v>383</v>
      </c>
      <c r="B384" s="8" t="s">
        <v>12189</v>
      </c>
      <c r="C384" s="8" t="s">
        <v>12190</v>
      </c>
      <c r="D384" s="8" t="s">
        <v>12191</v>
      </c>
      <c r="E384" s="8" t="s">
        <v>261</v>
      </c>
      <c r="F384" s="8" t="s">
        <v>12192</v>
      </c>
    </row>
    <row r="385" customHeight="1" spans="1:6">
      <c r="A385" s="6">
        <v>384</v>
      </c>
      <c r="B385" s="8" t="s">
        <v>12189</v>
      </c>
      <c r="C385" s="8" t="s">
        <v>12190</v>
      </c>
      <c r="D385" s="8" t="s">
        <v>12191</v>
      </c>
      <c r="E385" s="8" t="s">
        <v>261</v>
      </c>
      <c r="F385" s="8" t="s">
        <v>12192</v>
      </c>
    </row>
    <row r="386" customHeight="1" spans="1:6">
      <c r="A386" s="6">
        <v>385</v>
      </c>
      <c r="B386" s="8" t="s">
        <v>12189</v>
      </c>
      <c r="C386" s="8" t="s">
        <v>12190</v>
      </c>
      <c r="D386" s="8" t="s">
        <v>12191</v>
      </c>
      <c r="E386" s="8" t="s">
        <v>261</v>
      </c>
      <c r="F386" s="8" t="s">
        <v>12192</v>
      </c>
    </row>
    <row r="387" customHeight="1" spans="1:6">
      <c r="A387" s="6">
        <v>386</v>
      </c>
      <c r="B387" s="8" t="s">
        <v>12193</v>
      </c>
      <c r="C387" s="8" t="s">
        <v>12194</v>
      </c>
      <c r="D387" s="8" t="s">
        <v>12195</v>
      </c>
      <c r="E387" s="8" t="s">
        <v>189</v>
      </c>
      <c r="F387" s="8" t="s">
        <v>12196</v>
      </c>
    </row>
    <row r="388" customHeight="1" spans="1:6">
      <c r="A388" s="6">
        <v>387</v>
      </c>
      <c r="B388" s="8" t="s">
        <v>12193</v>
      </c>
      <c r="C388" s="8" t="s">
        <v>12194</v>
      </c>
      <c r="D388" s="8" t="s">
        <v>12195</v>
      </c>
      <c r="E388" s="8" t="s">
        <v>189</v>
      </c>
      <c r="F388" s="8" t="s">
        <v>12196</v>
      </c>
    </row>
    <row r="389" customHeight="1" spans="1:6">
      <c r="A389" s="6">
        <v>388</v>
      </c>
      <c r="B389" s="7" t="str">
        <f>"978-7-208-16622-6"</f>
        <v>978-7-208-16622-6</v>
      </c>
      <c r="C389" s="7" t="str">
        <f>"南北朝墓誌集成．上"</f>
        <v>南北朝墓誌集成．上</v>
      </c>
      <c r="D389" s="7" t="str">
        <f>"王連龍編譔"</f>
        <v>王連龍編譔</v>
      </c>
      <c r="E389" s="7" t="str">
        <f>"上海人民出版社"</f>
        <v>上海人民出版社</v>
      </c>
      <c r="F389" s="7" t="str">
        <f>"K877.45/2/1"</f>
        <v>K877.45/2/1</v>
      </c>
    </row>
    <row r="390" customHeight="1" spans="1:6">
      <c r="A390" s="6">
        <v>389</v>
      </c>
      <c r="B390" s="7" t="str">
        <f>"978-7-208-16622-6"</f>
        <v>978-7-208-16622-6</v>
      </c>
      <c r="C390" s="7" t="str">
        <f>"南北朝墓誌集成．下"</f>
        <v>南北朝墓誌集成．下</v>
      </c>
      <c r="D390" s="7" t="str">
        <f>"王連龍編譔"</f>
        <v>王連龍編譔</v>
      </c>
      <c r="E390" s="7" t="str">
        <f>"上海人民出版社"</f>
        <v>上海人民出版社</v>
      </c>
      <c r="F390" s="7" t="str">
        <f>"K877.45/2/2"</f>
        <v>K877.45/2/2</v>
      </c>
    </row>
    <row r="391" customHeight="1" spans="1:6">
      <c r="A391" s="6">
        <v>390</v>
      </c>
      <c r="B391" s="7" t="str">
        <f>"978-7-303-26687-6"</f>
        <v>978-7-303-26687-6</v>
      </c>
      <c r="C391" s="7" t="str">
        <f>"新出简帛的学术探索"</f>
        <v>新出简帛的学术探索</v>
      </c>
      <c r="D391" s="7" t="str">
        <f>"李锐著"</f>
        <v>李锐著</v>
      </c>
      <c r="E391" s="7" t="str">
        <f>"北京师范大学出版社"</f>
        <v>北京师范大学出版社</v>
      </c>
      <c r="F391" s="7" t="str">
        <f>"K877.54/20=2D"</f>
        <v>K877.54/20=2D</v>
      </c>
    </row>
    <row r="392" customHeight="1" spans="1:6">
      <c r="A392" s="6">
        <v>391</v>
      </c>
      <c r="B392" s="7" t="str">
        <f>"978-7-303-26687-6"</f>
        <v>978-7-303-26687-6</v>
      </c>
      <c r="C392" s="7" t="str">
        <f>"新出简帛的学术探索"</f>
        <v>新出简帛的学术探索</v>
      </c>
      <c r="D392" s="7" t="str">
        <f>"李锐著"</f>
        <v>李锐著</v>
      </c>
      <c r="E392" s="7" t="str">
        <f>"北京师范大学出版社"</f>
        <v>北京师范大学出版社</v>
      </c>
      <c r="F392" s="7" t="str">
        <f>"K877.54/20=2D"</f>
        <v>K877.54/20=2D</v>
      </c>
    </row>
    <row r="393" customHeight="1" spans="1:6">
      <c r="A393" s="6">
        <v>392</v>
      </c>
      <c r="B393" s="7" t="str">
        <f>"978-7-5732-0021-1"</f>
        <v>978-7-5732-0021-1</v>
      </c>
      <c r="C393" s="7" t="str">
        <f>"清华简与文武周公史事研究"</f>
        <v>清华简与文武周公史事研究</v>
      </c>
      <c r="D393" s="7" t="str">
        <f>"吕庙军著"</f>
        <v>吕庙军著</v>
      </c>
      <c r="E393" s="7" t="str">
        <f>"上海古籍出版社"</f>
        <v>上海古籍出版社</v>
      </c>
      <c r="F393" s="7" t="str">
        <f>"K877.54/35"</f>
        <v>K877.54/35</v>
      </c>
    </row>
    <row r="394" customHeight="1" spans="1:6">
      <c r="A394" s="6">
        <v>393</v>
      </c>
      <c r="B394" s="7" t="str">
        <f>"978-7-5732-0021-1"</f>
        <v>978-7-5732-0021-1</v>
      </c>
      <c r="C394" s="7" t="str">
        <f>"清华简与文武周公史事研究"</f>
        <v>清华简与文武周公史事研究</v>
      </c>
      <c r="D394" s="7" t="str">
        <f>"吕庙军著"</f>
        <v>吕庙军著</v>
      </c>
      <c r="E394" s="7" t="str">
        <f>"上海古籍出版社"</f>
        <v>上海古籍出版社</v>
      </c>
      <c r="F394" s="7" t="str">
        <f>"K877.54/35"</f>
        <v>K877.54/35</v>
      </c>
    </row>
    <row r="395" customHeight="1" spans="1:6">
      <c r="A395" s="6">
        <v>394</v>
      </c>
      <c r="B395" s="7" t="str">
        <f>"978-7-5711-1036-9"</f>
        <v>978-7-5711-1036-9</v>
      </c>
      <c r="C395" s="7" t="str">
        <f>"祭祀与疆域：中国上古空间考古六题"</f>
        <v>祭祀与疆域：中国上古空间考古六题</v>
      </c>
      <c r="D395" s="7" t="str">
        <f>"王鲁民， 范沛沛著"</f>
        <v>王鲁民， 范沛沛著</v>
      </c>
      <c r="E395" s="7" t="str">
        <f>"大象出版社"</f>
        <v>大象出版社</v>
      </c>
      <c r="F395" s="7" t="str">
        <f>"K878.04/28"</f>
        <v>K878.04/28</v>
      </c>
    </row>
    <row r="396" customHeight="1" spans="1:6">
      <c r="A396" s="6">
        <v>395</v>
      </c>
      <c r="B396" s="7" t="str">
        <f>"978-7-5711-1036-9"</f>
        <v>978-7-5711-1036-9</v>
      </c>
      <c r="C396" s="7" t="str">
        <f>"祭祀与疆域：中国上古空间考古六题"</f>
        <v>祭祀与疆域：中国上古空间考古六题</v>
      </c>
      <c r="D396" s="7" t="str">
        <f>"王鲁民， 范沛沛著"</f>
        <v>王鲁民， 范沛沛著</v>
      </c>
      <c r="E396" s="7" t="str">
        <f>"大象出版社"</f>
        <v>大象出版社</v>
      </c>
      <c r="F396" s="7" t="str">
        <f>"K878.04/28"</f>
        <v>K878.04/28</v>
      </c>
    </row>
    <row r="397" customHeight="1" spans="1:6">
      <c r="A397" s="6">
        <v>396</v>
      </c>
      <c r="B397" s="7" t="str">
        <f t="shared" ref="B397:B399" si="149">"978-7-5598-0727-4"</f>
        <v>978-7-5598-0727-4</v>
      </c>
      <c r="C397" s="7" t="str">
        <f t="shared" ref="C397:C399" si="150">"重返楼兰"</f>
        <v>重返楼兰</v>
      </c>
      <c r="D397" s="7" t="str">
        <f t="shared" ref="D397:D399" si="151">"(英) 奥雷尔·斯坦因著Aurel Stein；艾力江， 秦立彦译"</f>
        <v>(英) 奥雷尔·斯坦因著Aurel Stein；艾力江， 秦立彦译</v>
      </c>
      <c r="E397" s="7" t="str">
        <f t="shared" ref="E397:E414" si="152">"广西师范大学出版社"</f>
        <v>广西师范大学出版社</v>
      </c>
      <c r="F397" s="7" t="str">
        <f t="shared" ref="F397:F399" si="153">"K878.04/29"</f>
        <v>K878.04/29</v>
      </c>
    </row>
    <row r="398" customHeight="1" spans="1:6">
      <c r="A398" s="6">
        <v>397</v>
      </c>
      <c r="B398" s="7" t="str">
        <f t="shared" si="149"/>
        <v>978-7-5598-0727-4</v>
      </c>
      <c r="C398" s="7" t="str">
        <f t="shared" si="150"/>
        <v>重返楼兰</v>
      </c>
      <c r="D398" s="7" t="str">
        <f t="shared" si="151"/>
        <v>(英) 奥雷尔·斯坦因著Aurel Stein；艾力江， 秦立彦译</v>
      </c>
      <c r="E398" s="7" t="str">
        <f t="shared" si="152"/>
        <v>广西师范大学出版社</v>
      </c>
      <c r="F398" s="7" t="str">
        <f t="shared" si="153"/>
        <v>K878.04/29</v>
      </c>
    </row>
    <row r="399" customHeight="1" spans="1:6">
      <c r="A399" s="6">
        <v>398</v>
      </c>
      <c r="B399" s="7" t="str">
        <f t="shared" si="149"/>
        <v>978-7-5598-0727-4</v>
      </c>
      <c r="C399" s="7" t="str">
        <f t="shared" si="150"/>
        <v>重返楼兰</v>
      </c>
      <c r="D399" s="7" t="str">
        <f t="shared" si="151"/>
        <v>(英) 奥雷尔·斯坦因著Aurel Stein；艾力江， 秦立彦译</v>
      </c>
      <c r="E399" s="7" t="str">
        <f t="shared" si="152"/>
        <v>广西师范大学出版社</v>
      </c>
      <c r="F399" s="7" t="str">
        <f t="shared" si="153"/>
        <v>K878.04/29</v>
      </c>
    </row>
    <row r="400" customHeight="1" spans="1:6">
      <c r="A400" s="6">
        <v>399</v>
      </c>
      <c r="B400" s="7" t="str">
        <f t="shared" ref="B400:B402" si="154">"978-7-5495-2882-0"</f>
        <v>978-7-5495-2882-0</v>
      </c>
      <c r="C400" s="7" t="str">
        <f t="shared" ref="C400:C402" si="155">"再探喀什噶尔与和田古遗址"</f>
        <v>再探喀什噶尔与和田古遗址</v>
      </c>
      <c r="D400" s="7" t="str">
        <f t="shared" ref="D400:D402" si="156">"(英) 奥雷尔·斯坦因著Aurel Stein；龚国强译"</f>
        <v>(英) 奥雷尔·斯坦因著Aurel Stein；龚国强译</v>
      </c>
      <c r="E400" s="7" t="str">
        <f t="shared" si="152"/>
        <v>广西师范大学出版社</v>
      </c>
      <c r="F400" s="7" t="str">
        <f t="shared" ref="F400:F402" si="157">"K878.04/30"</f>
        <v>K878.04/30</v>
      </c>
    </row>
    <row r="401" customHeight="1" spans="1:6">
      <c r="A401" s="6">
        <v>400</v>
      </c>
      <c r="B401" s="7" t="str">
        <f t="shared" si="154"/>
        <v>978-7-5495-2882-0</v>
      </c>
      <c r="C401" s="7" t="str">
        <f t="shared" si="155"/>
        <v>再探喀什噶尔与和田古遗址</v>
      </c>
      <c r="D401" s="7" t="str">
        <f t="shared" si="156"/>
        <v>(英) 奥雷尔·斯坦因著Aurel Stein；龚国强译</v>
      </c>
      <c r="E401" s="7" t="str">
        <f t="shared" si="152"/>
        <v>广西师范大学出版社</v>
      </c>
      <c r="F401" s="7" t="str">
        <f t="shared" si="157"/>
        <v>K878.04/30</v>
      </c>
    </row>
    <row r="402" customHeight="1" spans="1:6">
      <c r="A402" s="6">
        <v>401</v>
      </c>
      <c r="B402" s="7" t="str">
        <f t="shared" si="154"/>
        <v>978-7-5495-2882-0</v>
      </c>
      <c r="C402" s="7" t="str">
        <f t="shared" si="155"/>
        <v>再探喀什噶尔与和田古遗址</v>
      </c>
      <c r="D402" s="7" t="str">
        <f t="shared" si="156"/>
        <v>(英) 奥雷尔·斯坦因著Aurel Stein；龚国强译</v>
      </c>
      <c r="E402" s="7" t="str">
        <f t="shared" si="152"/>
        <v>广西师范大学出版社</v>
      </c>
      <c r="F402" s="7" t="str">
        <f t="shared" si="157"/>
        <v>K878.04/30</v>
      </c>
    </row>
    <row r="403" customHeight="1" spans="1:6">
      <c r="A403" s="6">
        <v>402</v>
      </c>
      <c r="B403" s="7" t="str">
        <f t="shared" ref="B403:B405" si="158">"978-7-5495-3161-5"</f>
        <v>978-7-5495-3161-5</v>
      </c>
      <c r="C403" s="7" t="str">
        <f t="shared" ref="C403:C405" si="159">"踏勘河西走廊古遗址"</f>
        <v>踏勘河西走廊古遗址</v>
      </c>
      <c r="D403" s="7" t="str">
        <f t="shared" ref="D403:D414" si="160">"(英) 奥雷尔·斯坦因著Aurel Stein；巫新华， 秦立彦译"</f>
        <v>(英) 奥雷尔·斯坦因著Aurel Stein；巫新华， 秦立彦译</v>
      </c>
      <c r="E403" s="7" t="str">
        <f t="shared" si="152"/>
        <v>广西师范大学出版社</v>
      </c>
      <c r="F403" s="7" t="str">
        <f t="shared" ref="F403:F405" si="161">"K878.04/31"</f>
        <v>K878.04/31</v>
      </c>
    </row>
    <row r="404" customHeight="1" spans="1:6">
      <c r="A404" s="6">
        <v>403</v>
      </c>
      <c r="B404" s="7" t="str">
        <f t="shared" si="158"/>
        <v>978-7-5495-3161-5</v>
      </c>
      <c r="C404" s="7" t="str">
        <f t="shared" si="159"/>
        <v>踏勘河西走廊古遗址</v>
      </c>
      <c r="D404" s="7" t="str">
        <f t="shared" si="160"/>
        <v>(英) 奥雷尔·斯坦因著Aurel Stein；巫新华， 秦立彦译</v>
      </c>
      <c r="E404" s="7" t="str">
        <f t="shared" si="152"/>
        <v>广西师范大学出版社</v>
      </c>
      <c r="F404" s="7" t="str">
        <f t="shared" si="161"/>
        <v>K878.04/31</v>
      </c>
    </row>
    <row r="405" customHeight="1" spans="1:6">
      <c r="A405" s="6">
        <v>404</v>
      </c>
      <c r="B405" s="7" t="str">
        <f t="shared" si="158"/>
        <v>978-7-5495-3161-5</v>
      </c>
      <c r="C405" s="7" t="str">
        <f t="shared" si="159"/>
        <v>踏勘河西走廊古遗址</v>
      </c>
      <c r="D405" s="7" t="str">
        <f t="shared" si="160"/>
        <v>(英) 奥雷尔·斯坦因著Aurel Stein；巫新华， 秦立彦译</v>
      </c>
      <c r="E405" s="7" t="str">
        <f t="shared" si="152"/>
        <v>广西师范大学出版社</v>
      </c>
      <c r="F405" s="7" t="str">
        <f t="shared" si="161"/>
        <v>K878.04/31</v>
      </c>
    </row>
    <row r="406" customHeight="1" spans="1:6">
      <c r="A406" s="6">
        <v>405</v>
      </c>
      <c r="B406" s="7" t="str">
        <f t="shared" ref="B406:B408" si="162">"978-7-5495-5879-7"</f>
        <v>978-7-5495-5879-7</v>
      </c>
      <c r="C406" s="7" t="str">
        <f t="shared" ref="C406:C408" si="163">"塔里木古遗址与古道"</f>
        <v>塔里木古遗址与古道</v>
      </c>
      <c r="D406" s="7" t="str">
        <f t="shared" si="160"/>
        <v>(英) 奥雷尔·斯坦因著Aurel Stein；巫新华， 秦立彦译</v>
      </c>
      <c r="E406" s="7" t="str">
        <f t="shared" si="152"/>
        <v>广西师范大学出版社</v>
      </c>
      <c r="F406" s="7" t="str">
        <f t="shared" ref="F406:F408" si="164">"K878.04/32"</f>
        <v>K878.04/32</v>
      </c>
    </row>
    <row r="407" customHeight="1" spans="1:6">
      <c r="A407" s="6">
        <v>406</v>
      </c>
      <c r="B407" s="7" t="str">
        <f t="shared" si="162"/>
        <v>978-7-5495-5879-7</v>
      </c>
      <c r="C407" s="7" t="str">
        <f t="shared" si="163"/>
        <v>塔里木古遗址与古道</v>
      </c>
      <c r="D407" s="7" t="str">
        <f t="shared" si="160"/>
        <v>(英) 奥雷尔·斯坦因著Aurel Stein；巫新华， 秦立彦译</v>
      </c>
      <c r="E407" s="7" t="str">
        <f t="shared" si="152"/>
        <v>广西师范大学出版社</v>
      </c>
      <c r="F407" s="7" t="str">
        <f t="shared" si="164"/>
        <v>K878.04/32</v>
      </c>
    </row>
    <row r="408" customHeight="1" spans="1:6">
      <c r="A408" s="6">
        <v>407</v>
      </c>
      <c r="B408" s="7" t="str">
        <f t="shared" si="162"/>
        <v>978-7-5495-5879-7</v>
      </c>
      <c r="C408" s="7" t="str">
        <f t="shared" si="163"/>
        <v>塔里木古遗址与古道</v>
      </c>
      <c r="D408" s="7" t="str">
        <f t="shared" si="160"/>
        <v>(英) 奥雷尔·斯坦因著Aurel Stein；巫新华， 秦立彦译</v>
      </c>
      <c r="E408" s="7" t="str">
        <f t="shared" si="152"/>
        <v>广西师范大学出版社</v>
      </c>
      <c r="F408" s="7" t="str">
        <f t="shared" si="164"/>
        <v>K878.04/32</v>
      </c>
    </row>
    <row r="409" customHeight="1" spans="1:6">
      <c r="A409" s="6">
        <v>408</v>
      </c>
      <c r="B409" s="7" t="str">
        <f t="shared" ref="B409:B411" si="165">"978-7-5495-3712-9"</f>
        <v>978-7-5495-3712-9</v>
      </c>
      <c r="C409" s="7" t="str">
        <f t="shared" ref="C409:C411" si="166">"中亚古道与古遗址"</f>
        <v>中亚古道与古遗址</v>
      </c>
      <c r="D409" s="7" t="str">
        <f t="shared" si="160"/>
        <v>(英) 奥雷尔·斯坦因著Aurel Stein；巫新华， 秦立彦译</v>
      </c>
      <c r="E409" s="7" t="str">
        <f t="shared" si="152"/>
        <v>广西师范大学出版社</v>
      </c>
      <c r="F409" s="7" t="str">
        <f t="shared" ref="F409:F411" si="167">"K878.04/33"</f>
        <v>K878.04/33</v>
      </c>
    </row>
    <row r="410" customHeight="1" spans="1:6">
      <c r="A410" s="6">
        <v>409</v>
      </c>
      <c r="B410" s="7" t="str">
        <f t="shared" si="165"/>
        <v>978-7-5495-3712-9</v>
      </c>
      <c r="C410" s="7" t="str">
        <f t="shared" si="166"/>
        <v>中亚古道与古遗址</v>
      </c>
      <c r="D410" s="7" t="str">
        <f t="shared" si="160"/>
        <v>(英) 奥雷尔·斯坦因著Aurel Stein；巫新华， 秦立彦译</v>
      </c>
      <c r="E410" s="7" t="str">
        <f t="shared" si="152"/>
        <v>广西师范大学出版社</v>
      </c>
      <c r="F410" s="7" t="str">
        <f t="shared" si="167"/>
        <v>K878.04/33</v>
      </c>
    </row>
    <row r="411" customHeight="1" spans="1:6">
      <c r="A411" s="6">
        <v>410</v>
      </c>
      <c r="B411" s="7" t="str">
        <f t="shared" si="165"/>
        <v>978-7-5495-3712-9</v>
      </c>
      <c r="C411" s="7" t="str">
        <f t="shared" si="166"/>
        <v>中亚古道与古遗址</v>
      </c>
      <c r="D411" s="7" t="str">
        <f t="shared" si="160"/>
        <v>(英) 奥雷尔·斯坦因著Aurel Stein；巫新华， 秦立彦译</v>
      </c>
      <c r="E411" s="7" t="str">
        <f t="shared" si="152"/>
        <v>广西师范大学出版社</v>
      </c>
      <c r="F411" s="7" t="str">
        <f t="shared" si="167"/>
        <v>K878.04/33</v>
      </c>
    </row>
    <row r="412" customHeight="1" spans="1:6">
      <c r="A412" s="6">
        <v>411</v>
      </c>
      <c r="B412" s="7" t="str">
        <f t="shared" ref="B412:B414" si="168">"978-7-5495-7947-1"</f>
        <v>978-7-5495-7947-1</v>
      </c>
      <c r="C412" s="7" t="str">
        <f t="shared" ref="C412:C414" si="169">"寻访天山古遗址"</f>
        <v>寻访天山古遗址</v>
      </c>
      <c r="D412" s="7" t="str">
        <f t="shared" si="160"/>
        <v>(英) 奥雷尔·斯坦因著Aurel Stein；巫新华， 秦立彦译</v>
      </c>
      <c r="E412" s="7" t="str">
        <f t="shared" si="152"/>
        <v>广西师范大学出版社</v>
      </c>
      <c r="F412" s="7" t="str">
        <f t="shared" ref="F412:F414" si="170">"K878.04/34"</f>
        <v>K878.04/34</v>
      </c>
    </row>
    <row r="413" customHeight="1" spans="1:6">
      <c r="A413" s="6">
        <v>412</v>
      </c>
      <c r="B413" s="7" t="str">
        <f t="shared" si="168"/>
        <v>978-7-5495-7947-1</v>
      </c>
      <c r="C413" s="7" t="str">
        <f t="shared" si="169"/>
        <v>寻访天山古遗址</v>
      </c>
      <c r="D413" s="7" t="str">
        <f t="shared" si="160"/>
        <v>(英) 奥雷尔·斯坦因著Aurel Stein；巫新华， 秦立彦译</v>
      </c>
      <c r="E413" s="7" t="str">
        <f t="shared" si="152"/>
        <v>广西师范大学出版社</v>
      </c>
      <c r="F413" s="7" t="str">
        <f t="shared" si="170"/>
        <v>K878.04/34</v>
      </c>
    </row>
    <row r="414" customHeight="1" spans="1:6">
      <c r="A414" s="6">
        <v>413</v>
      </c>
      <c r="B414" s="7" t="str">
        <f t="shared" si="168"/>
        <v>978-7-5495-7947-1</v>
      </c>
      <c r="C414" s="7" t="str">
        <f t="shared" si="169"/>
        <v>寻访天山古遗址</v>
      </c>
      <c r="D414" s="7" t="str">
        <f t="shared" si="160"/>
        <v>(英) 奥雷尔·斯坦因著Aurel Stein；巫新华， 秦立彦译</v>
      </c>
      <c r="E414" s="7" t="str">
        <f t="shared" si="152"/>
        <v>广西师范大学出版社</v>
      </c>
      <c r="F414" s="7" t="str">
        <f t="shared" si="170"/>
        <v>K878.04/34</v>
      </c>
    </row>
    <row r="415" customHeight="1" spans="1:6">
      <c r="A415" s="6">
        <v>414</v>
      </c>
      <c r="B415" s="7" t="str">
        <f>"978-7-5217-2117-1"</f>
        <v>978-7-5217-2117-1</v>
      </c>
      <c r="C415" s="7" t="str">
        <f>"考古有意思：秦始皇的兵与城"</f>
        <v>考古有意思：秦始皇的兵与城</v>
      </c>
      <c r="D415" s="7" t="str">
        <f>"许卫红著"</f>
        <v>许卫红著</v>
      </c>
      <c r="E415" s="7" t="str">
        <f>"中信出版集团股份有限公司"</f>
        <v>中信出版集团股份有限公司</v>
      </c>
      <c r="F415" s="7" t="str">
        <f>"K878/31"</f>
        <v>K878/31</v>
      </c>
    </row>
    <row r="416" customHeight="1" spans="1:6">
      <c r="A416" s="6">
        <v>415</v>
      </c>
      <c r="B416" s="7" t="str">
        <f>"978-7-5217-2117-1"</f>
        <v>978-7-5217-2117-1</v>
      </c>
      <c r="C416" s="7" t="str">
        <f>"考古有意思：秦始皇的兵与城"</f>
        <v>考古有意思：秦始皇的兵与城</v>
      </c>
      <c r="D416" s="7" t="str">
        <f>"许卫红著"</f>
        <v>许卫红著</v>
      </c>
      <c r="E416" s="7" t="str">
        <f>"中信出版集团股份有限公司"</f>
        <v>中信出版集团股份有限公司</v>
      </c>
      <c r="F416" s="7" t="str">
        <f>"K878/31"</f>
        <v>K878/31</v>
      </c>
    </row>
    <row r="417" customHeight="1" spans="1:6">
      <c r="A417" s="6">
        <v>416</v>
      </c>
      <c r="B417" s="7" t="str">
        <f>"978-7-5325-9515-0"</f>
        <v>978-7-5325-9515-0</v>
      </c>
      <c r="C417" s="7" t="str">
        <f>"百兽率舞：商周时期中国北方动物纹装饰综合研究"</f>
        <v>百兽率舞：商周时期中国北方动物纹装饰综合研究</v>
      </c>
      <c r="D417" s="7" t="str">
        <f>"邵会秋， 侯知军著"</f>
        <v>邵会秋， 侯知军著</v>
      </c>
      <c r="E417" s="7" t="str">
        <f>"上海古籍出版社"</f>
        <v>上海古籍出版社</v>
      </c>
      <c r="F417" s="7" t="str">
        <f>"K879.04/8"</f>
        <v>K879.04/8</v>
      </c>
    </row>
    <row r="418" customHeight="1" spans="1:6">
      <c r="A418" s="6">
        <v>417</v>
      </c>
      <c r="B418" s="7" t="str">
        <f>"978-7-5325-9515-0"</f>
        <v>978-7-5325-9515-0</v>
      </c>
      <c r="C418" s="7" t="str">
        <f>"百兽率舞：商周时期中国北方动物纹装饰综合研究"</f>
        <v>百兽率舞：商周时期中国北方动物纹装饰综合研究</v>
      </c>
      <c r="D418" s="7" t="str">
        <f>"邵会秋， 侯知军著"</f>
        <v>邵会秋， 侯知军著</v>
      </c>
      <c r="E418" s="7" t="str">
        <f>"上海古籍出版社"</f>
        <v>上海古籍出版社</v>
      </c>
      <c r="F418" s="7" t="str">
        <f>"K879.04/8"</f>
        <v>K879.04/8</v>
      </c>
    </row>
    <row r="419" customHeight="1" spans="1:6">
      <c r="A419" s="6">
        <v>418</v>
      </c>
      <c r="B419" s="7" t="str">
        <f>"978-7-101-14226-6"</f>
        <v>978-7-101-14226-6</v>
      </c>
      <c r="C419" s="7" t="str">
        <f>"汉画故事：刻在石头上的记忆"</f>
        <v>汉画故事：刻在石头上的记忆</v>
      </c>
      <c r="D419" s="7" t="str">
        <f>"张道一著"</f>
        <v>张道一著</v>
      </c>
      <c r="E419" s="7" t="str">
        <f>"中华书局"</f>
        <v>中华书局</v>
      </c>
      <c r="F419" s="7" t="str">
        <f>"K879.42/5"</f>
        <v>K879.42/5</v>
      </c>
    </row>
    <row r="420" customHeight="1" spans="1:6">
      <c r="A420" s="6">
        <v>419</v>
      </c>
      <c r="B420" s="7" t="str">
        <f>"978-7-101-14226-6"</f>
        <v>978-7-101-14226-6</v>
      </c>
      <c r="C420" s="7" t="str">
        <f>"汉画故事：刻在石头上的记忆"</f>
        <v>汉画故事：刻在石头上的记忆</v>
      </c>
      <c r="D420" s="7" t="str">
        <f>"张道一著"</f>
        <v>张道一著</v>
      </c>
      <c r="E420" s="7" t="str">
        <f>"中华书局"</f>
        <v>中华书局</v>
      </c>
      <c r="F420" s="7" t="str">
        <f>"K879.42/5"</f>
        <v>K879.42/5</v>
      </c>
    </row>
    <row r="421" customHeight="1" spans="1:6">
      <c r="A421" s="6">
        <v>420</v>
      </c>
      <c r="B421" s="8" t="s">
        <v>12197</v>
      </c>
      <c r="C421" s="8" t="s">
        <v>12198</v>
      </c>
      <c r="D421" s="8" t="s">
        <v>12199</v>
      </c>
      <c r="E421" s="8" t="s">
        <v>189</v>
      </c>
      <c r="F421" s="8" t="s">
        <v>12200</v>
      </c>
    </row>
    <row r="422" customHeight="1" spans="1:6">
      <c r="A422" s="6">
        <v>421</v>
      </c>
      <c r="B422" s="8" t="s">
        <v>12197</v>
      </c>
      <c r="C422" s="8" t="s">
        <v>12198</v>
      </c>
      <c r="D422" s="8" t="s">
        <v>12199</v>
      </c>
      <c r="E422" s="8" t="s">
        <v>189</v>
      </c>
      <c r="F422" s="8" t="s">
        <v>12200</v>
      </c>
    </row>
    <row r="423" customHeight="1" spans="1:6">
      <c r="A423" s="6">
        <v>422</v>
      </c>
      <c r="B423" s="7" t="str">
        <f>"978-7-313-25173-2"</f>
        <v>978-7-313-25173-2</v>
      </c>
      <c r="C423" s="7" t="str">
        <f>"慎终追远：汉魏晋南北朝墓葬观念研究"</f>
        <v>慎终追远：汉魏晋南北朝墓葬观念研究</v>
      </c>
      <c r="D423" s="7" t="str">
        <f>"许飞著"</f>
        <v>许飞著</v>
      </c>
      <c r="E423" s="7" t="str">
        <f>"上海交通大学出版社"</f>
        <v>上海交通大学出版社</v>
      </c>
      <c r="F423" s="7" t="str">
        <f>"K892.22/62"</f>
        <v>K892.22/62</v>
      </c>
    </row>
    <row r="424" customHeight="1" spans="1:6">
      <c r="A424" s="6">
        <v>423</v>
      </c>
      <c r="B424" s="7" t="str">
        <f>"978-7-313-25173-2"</f>
        <v>978-7-313-25173-2</v>
      </c>
      <c r="C424" s="7" t="str">
        <f>"慎终追远：汉魏晋南北朝墓葬观念研究"</f>
        <v>慎终追远：汉魏晋南北朝墓葬观念研究</v>
      </c>
      <c r="D424" s="7" t="str">
        <f>"许飞著"</f>
        <v>许飞著</v>
      </c>
      <c r="E424" s="7" t="str">
        <f>"上海交通大学出版社"</f>
        <v>上海交通大学出版社</v>
      </c>
      <c r="F424" s="7" t="str">
        <f>"K892.22/62"</f>
        <v>K892.22/62</v>
      </c>
    </row>
    <row r="425" customHeight="1" spans="1:6">
      <c r="A425" s="6">
        <v>424</v>
      </c>
      <c r="B425" s="7" t="str">
        <f>"978-7-100-19164-7"</f>
        <v>978-7-100-19164-7</v>
      </c>
      <c r="C425" s="7" t="str">
        <f>"中国婚礼通志．华中卷"</f>
        <v>中国婚礼通志．华中卷</v>
      </c>
      <c r="D425" s="7" t="str">
        <f>"瞿明安主编瞿天凤编著"</f>
        <v>瞿明安主编瞿天凤编著</v>
      </c>
      <c r="E425" s="7" t="str">
        <f>"商务印书馆"</f>
        <v>商务印书馆</v>
      </c>
      <c r="F425" s="7" t="str">
        <f>"K892.22/63/3"</f>
        <v>K892.22/63/3</v>
      </c>
    </row>
    <row r="426" customHeight="1" spans="1:6">
      <c r="A426" s="6">
        <v>425</v>
      </c>
      <c r="B426" s="7" t="str">
        <f>"978-7-100-19164-7"</f>
        <v>978-7-100-19164-7</v>
      </c>
      <c r="C426" s="7" t="str">
        <f>"中国婚礼通志．华中卷"</f>
        <v>中国婚礼通志．华中卷</v>
      </c>
      <c r="D426" s="7" t="str">
        <f>"瞿明安主编瞿天凤编著"</f>
        <v>瞿明安主编瞿天凤编著</v>
      </c>
      <c r="E426" s="7" t="str">
        <f>"商务印书馆"</f>
        <v>商务印书馆</v>
      </c>
      <c r="F426" s="7" t="str">
        <f>"K892.22/63/3"</f>
        <v>K892.22/63/3</v>
      </c>
    </row>
    <row r="427" customHeight="1" spans="1:6">
      <c r="A427" s="6">
        <v>426</v>
      </c>
      <c r="B427" s="7" t="str">
        <f>"978-7-308-18519-6"</f>
        <v>978-7-308-18519-6</v>
      </c>
      <c r="C427" s="7" t="str">
        <f>"儀禮要義．上册"</f>
        <v>儀禮要義．上册</v>
      </c>
      <c r="D427" s="7" t="str">
        <f>"(宋) 魏了翁撰；王紅娟點校"</f>
        <v>(宋) 魏了翁撰；王紅娟點校</v>
      </c>
      <c r="E427" s="7" t="str">
        <f>"浙江大學出版社"</f>
        <v>浙江大學出版社</v>
      </c>
      <c r="F427" s="7" t="str">
        <f>"K892.26/53/1"</f>
        <v>K892.26/53/1</v>
      </c>
    </row>
    <row r="428" customHeight="1" spans="1:6">
      <c r="A428" s="6">
        <v>427</v>
      </c>
      <c r="B428" s="7" t="str">
        <f>"978-7-308-18519-6"</f>
        <v>978-7-308-18519-6</v>
      </c>
      <c r="C428" s="7" t="str">
        <f>"儀禮要義．下册"</f>
        <v>儀禮要義．下册</v>
      </c>
      <c r="D428" s="7" t="str">
        <f>"(宋) 魏了翁撰；王紅娟點校"</f>
        <v>(宋) 魏了翁撰；王紅娟點校</v>
      </c>
      <c r="E428" s="7" t="str">
        <f>"浙江大學出版社"</f>
        <v>浙江大學出版社</v>
      </c>
      <c r="F428" s="7" t="str">
        <f>"K892.26/53/2"</f>
        <v>K892.26/53/2</v>
      </c>
    </row>
    <row r="429" customHeight="1" spans="1:6">
      <c r="A429" s="6">
        <v>428</v>
      </c>
      <c r="B429" s="7" t="str">
        <f>"978-7-5203-6756-1"</f>
        <v>978-7-5203-6756-1</v>
      </c>
      <c r="C429" s="7" t="str">
        <f>"德性、政治与礼乐教化：《礼记》礼乐释义研究"</f>
        <v>德性、政治与礼乐教化：《礼记》礼乐释义研究</v>
      </c>
      <c r="D429" s="7" t="str">
        <f>"张树业著"</f>
        <v>张树业著</v>
      </c>
      <c r="E429" s="7" t="str">
        <f>"中国社会科学出版社"</f>
        <v>中国社会科学出版社</v>
      </c>
      <c r="F429" s="7" t="str">
        <f>"K892.9/90"</f>
        <v>K892.9/90</v>
      </c>
    </row>
    <row r="430" customHeight="1" spans="1:6">
      <c r="A430" s="6">
        <v>429</v>
      </c>
      <c r="B430" s="7" t="str">
        <f t="shared" ref="B430:B432" si="171">"978-7-214-22420-0"</f>
        <v>978-7-214-22420-0</v>
      </c>
      <c r="C430" s="7" t="str">
        <f t="shared" ref="C430:C432" si="172">"烧钱：中国人生活世界中的物质精神：the material spirit of the Chinese lifeworld"</f>
        <v>烧钱：中国人生活世界中的物质精神：the material spirit of the Chinese lifeworld</v>
      </c>
      <c r="D430" s="7" t="str">
        <f t="shared" ref="D430:D432" si="173">"(美) 柏桦著；袁剑， 刘玺鸿译"</f>
        <v>(美) 柏桦著；袁剑， 刘玺鸿译</v>
      </c>
      <c r="E430" s="7" t="str">
        <f t="shared" ref="E430:E432" si="174">"江苏人民出版社"</f>
        <v>江苏人民出版社</v>
      </c>
      <c r="F430" s="7" t="str">
        <f t="shared" ref="F430:F432" si="175">"K892/144"</f>
        <v>K892/144</v>
      </c>
    </row>
    <row r="431" customHeight="1" spans="1:6">
      <c r="A431" s="6">
        <v>430</v>
      </c>
      <c r="B431" s="7" t="str">
        <f t="shared" si="171"/>
        <v>978-7-214-22420-0</v>
      </c>
      <c r="C431" s="7" t="str">
        <f t="shared" si="172"/>
        <v>烧钱：中国人生活世界中的物质精神：the material spirit of the Chinese lifeworld</v>
      </c>
      <c r="D431" s="7" t="str">
        <f t="shared" si="173"/>
        <v>(美) 柏桦著；袁剑， 刘玺鸿译</v>
      </c>
      <c r="E431" s="7" t="str">
        <f t="shared" si="174"/>
        <v>江苏人民出版社</v>
      </c>
      <c r="F431" s="7" t="str">
        <f t="shared" si="175"/>
        <v>K892/144</v>
      </c>
    </row>
    <row r="432" customHeight="1" spans="1:6">
      <c r="A432" s="6">
        <v>431</v>
      </c>
      <c r="B432" s="7" t="str">
        <f t="shared" si="171"/>
        <v>978-7-214-22420-0</v>
      </c>
      <c r="C432" s="7" t="str">
        <f t="shared" si="172"/>
        <v>烧钱：中国人生活世界中的物质精神：the material spirit of the Chinese lifeworld</v>
      </c>
      <c r="D432" s="7" t="str">
        <f t="shared" si="173"/>
        <v>(美) 柏桦著；袁剑， 刘玺鸿译</v>
      </c>
      <c r="E432" s="7" t="str">
        <f t="shared" si="174"/>
        <v>江苏人民出版社</v>
      </c>
      <c r="F432" s="7" t="str">
        <f t="shared" si="175"/>
        <v>K892/144</v>
      </c>
    </row>
    <row r="433" customHeight="1" spans="1:6">
      <c r="A433" s="6">
        <v>432</v>
      </c>
      <c r="B433" s="7" t="str">
        <f>"978-7-5476-1746-5"</f>
        <v>978-7-5476-1746-5</v>
      </c>
      <c r="C433" s="7" t="str">
        <f>"城市民俗：时空转向与文化记忆"</f>
        <v>城市民俗：时空转向与文化记忆</v>
      </c>
      <c r="D433" s="7" t="str">
        <f>"上海社会科学院文学研究所民俗非遗研究室编"</f>
        <v>上海社会科学院文学研究所民俗非遗研究室编</v>
      </c>
      <c r="E433" s="7" t="str">
        <f>"上海人民出版社"</f>
        <v>上海人民出版社</v>
      </c>
      <c r="F433" s="7" t="str">
        <f>"K892/145"</f>
        <v>K892/145</v>
      </c>
    </row>
    <row r="434" customHeight="1" spans="1:6">
      <c r="A434" s="6">
        <v>433</v>
      </c>
      <c r="B434" s="7" t="str">
        <f>"978-7-5476-1746-5"</f>
        <v>978-7-5476-1746-5</v>
      </c>
      <c r="C434" s="7" t="str">
        <f>"城市民俗：时空转向与文化记忆"</f>
        <v>城市民俗：时空转向与文化记忆</v>
      </c>
      <c r="D434" s="7" t="str">
        <f>"上海社会科学院文学研究所民俗非遗研究室编"</f>
        <v>上海社会科学院文学研究所民俗非遗研究室编</v>
      </c>
      <c r="E434" s="7" t="str">
        <f>"上海人民出版社"</f>
        <v>上海人民出版社</v>
      </c>
      <c r="F434" s="7" t="str">
        <f>"K892/145"</f>
        <v>K892/145</v>
      </c>
    </row>
    <row r="435" customHeight="1" spans="1:6">
      <c r="A435" s="6">
        <v>434</v>
      </c>
      <c r="B435" s="8" t="s">
        <v>12201</v>
      </c>
      <c r="C435" s="8" t="s">
        <v>12202</v>
      </c>
      <c r="D435" s="8" t="s">
        <v>12203</v>
      </c>
      <c r="E435" s="8" t="s">
        <v>261</v>
      </c>
      <c r="F435" s="8" t="s">
        <v>12204</v>
      </c>
    </row>
    <row r="436" customHeight="1" spans="1:6">
      <c r="A436" s="6">
        <v>435</v>
      </c>
      <c r="B436" s="8" t="s">
        <v>12201</v>
      </c>
      <c r="C436" s="8" t="s">
        <v>12202</v>
      </c>
      <c r="D436" s="8" t="s">
        <v>12203</v>
      </c>
      <c r="E436" s="8" t="s">
        <v>261</v>
      </c>
      <c r="F436" s="8" t="s">
        <v>12204</v>
      </c>
    </row>
    <row r="437" customHeight="1" spans="1:6">
      <c r="A437" s="6">
        <v>436</v>
      </c>
      <c r="B437" s="8" t="s">
        <v>12201</v>
      </c>
      <c r="C437" s="8" t="s">
        <v>12202</v>
      </c>
      <c r="D437" s="8" t="s">
        <v>12203</v>
      </c>
      <c r="E437" s="8" t="s">
        <v>261</v>
      </c>
      <c r="F437" s="8" t="s">
        <v>12204</v>
      </c>
    </row>
    <row r="438" customHeight="1" spans="1:6">
      <c r="A438" s="6">
        <v>437</v>
      </c>
      <c r="B438" s="7" t="str">
        <f t="shared" ref="B438:B440" si="176">"978-7-5608-9887-2"</f>
        <v>978-7-5608-9887-2</v>
      </c>
      <c r="C438" s="7" t="str">
        <f t="shared" ref="C438:C440" si="177">"“一带一路”法语国家概况"</f>
        <v>“一带一路”法语国家概况</v>
      </c>
      <c r="D438" s="7" t="str">
        <f t="shared" ref="D438:D440" si="178">"曲辰主编"</f>
        <v>曲辰主编</v>
      </c>
      <c r="E438" s="7" t="str">
        <f t="shared" ref="E438:E440" si="179">"同济大学出版社"</f>
        <v>同济大学出版社</v>
      </c>
      <c r="F438" s="7" t="str">
        <f t="shared" ref="F438:F440" si="180">"K91/64"</f>
        <v>K91/64</v>
      </c>
    </row>
    <row r="439" customHeight="1" spans="1:6">
      <c r="A439" s="6">
        <v>438</v>
      </c>
      <c r="B439" s="7" t="str">
        <f t="shared" si="176"/>
        <v>978-7-5608-9887-2</v>
      </c>
      <c r="C439" s="7" t="str">
        <f t="shared" si="177"/>
        <v>“一带一路”法语国家概况</v>
      </c>
      <c r="D439" s="7" t="str">
        <f t="shared" si="178"/>
        <v>曲辰主编</v>
      </c>
      <c r="E439" s="7" t="str">
        <f t="shared" si="179"/>
        <v>同济大学出版社</v>
      </c>
      <c r="F439" s="7" t="str">
        <f t="shared" si="180"/>
        <v>K91/64</v>
      </c>
    </row>
    <row r="440" customHeight="1" spans="1:6">
      <c r="A440" s="6">
        <v>439</v>
      </c>
      <c r="B440" s="7" t="str">
        <f t="shared" si="176"/>
        <v>978-7-5608-9887-2</v>
      </c>
      <c r="C440" s="7" t="str">
        <f t="shared" si="177"/>
        <v>“一带一路”法语国家概况</v>
      </c>
      <c r="D440" s="7" t="str">
        <f t="shared" si="178"/>
        <v>曲辰主编</v>
      </c>
      <c r="E440" s="7" t="str">
        <f t="shared" si="179"/>
        <v>同济大学出版社</v>
      </c>
      <c r="F440" s="7" t="str">
        <f t="shared" si="180"/>
        <v>K91/64</v>
      </c>
    </row>
    <row r="441" customHeight="1" spans="1:6">
      <c r="A441" s="6">
        <v>440</v>
      </c>
      <c r="B441" s="7" t="str">
        <f>"978-7-5217-3122-4"</f>
        <v>978-7-5217-3122-4</v>
      </c>
      <c r="C441" s="7" t="str">
        <f>"这里是中国．2．2：百年重塑山河"</f>
        <v>这里是中国．2．2：百年重塑山河</v>
      </c>
      <c r="D441" s="7" t="str">
        <f>"星球研究所著"</f>
        <v>星球研究所著</v>
      </c>
      <c r="E441" s="7" t="str">
        <f>"中信出版集团股份有限公司"</f>
        <v>中信出版集团股份有限公司</v>
      </c>
      <c r="F441" s="7" t="str">
        <f>"K92/122/2"</f>
        <v>K92/122/2</v>
      </c>
    </row>
    <row r="442" customHeight="1" spans="1:6">
      <c r="A442" s="6">
        <v>441</v>
      </c>
      <c r="B442" s="7" t="str">
        <f>"978-7-100-19654-3"</f>
        <v>978-7-100-19654-3</v>
      </c>
      <c r="C442" s="7" t="str">
        <f>"香港故事：五十个独特视角讲述“百变”香港"</f>
        <v>香港故事：五十个独特视角讲述“百变”香港</v>
      </c>
      <c r="D442" s="7" t="str">
        <f>"闵捷主编"</f>
        <v>闵捷主编</v>
      </c>
      <c r="E442" s="7" t="str">
        <f>"商务印书馆"</f>
        <v>商务印书馆</v>
      </c>
      <c r="F442" s="7" t="str">
        <f>"K926.58/9"</f>
        <v>K926.58/9</v>
      </c>
    </row>
    <row r="443" customHeight="1" spans="1:6">
      <c r="A443" s="6">
        <v>442</v>
      </c>
      <c r="B443" s="7" t="str">
        <f>"978-7-100-19654-3"</f>
        <v>978-7-100-19654-3</v>
      </c>
      <c r="C443" s="7" t="str">
        <f>"香港故事：五十个独特视角讲述“百变”香港"</f>
        <v>香港故事：五十个独特视角讲述“百变”香港</v>
      </c>
      <c r="D443" s="7" t="str">
        <f>"闵捷主编"</f>
        <v>闵捷主编</v>
      </c>
      <c r="E443" s="7" t="str">
        <f>"商务印书馆"</f>
        <v>商务印书馆</v>
      </c>
      <c r="F443" s="7" t="str">
        <f>"K926.58/9"</f>
        <v>K926.58/9</v>
      </c>
    </row>
    <row r="444" customHeight="1" spans="1:6">
      <c r="A444" s="6">
        <v>443</v>
      </c>
      <c r="B444" s="7" t="str">
        <f>"978-7-5204-2230-7"</f>
        <v>978-7-5204-2230-7</v>
      </c>
      <c r="C444" s="7" t="str">
        <f>"走近地球之巅"</f>
        <v>走近地球之巅</v>
      </c>
      <c r="D444" s="7" t="str">
        <f>"《走近地球之巅》编委会编著"</f>
        <v>《走近地球之巅》编委会编著</v>
      </c>
      <c r="E444" s="7" t="str">
        <f>"中国地图出版社"</f>
        <v>中国地图出版社</v>
      </c>
      <c r="F444" s="7" t="str">
        <f>"K928.3/87"</f>
        <v>K928.3/87</v>
      </c>
    </row>
    <row r="445" customHeight="1" spans="1:6">
      <c r="A445" s="6">
        <v>444</v>
      </c>
      <c r="B445" s="7" t="str">
        <f>"978-7-5204-2230-7"</f>
        <v>978-7-5204-2230-7</v>
      </c>
      <c r="C445" s="7" t="str">
        <f>"走近地球之巅"</f>
        <v>走近地球之巅</v>
      </c>
      <c r="D445" s="7" t="str">
        <f>"《走近地球之巅》编委会编著"</f>
        <v>《走近地球之巅》编委会编著</v>
      </c>
      <c r="E445" s="7" t="str">
        <f>"中国地图出版社"</f>
        <v>中国地图出版社</v>
      </c>
      <c r="F445" s="7" t="str">
        <f>"K928.3/87"</f>
        <v>K928.3/87</v>
      </c>
    </row>
    <row r="446" customHeight="1" spans="1:6">
      <c r="A446" s="6">
        <v>445</v>
      </c>
      <c r="B446" s="7" t="str">
        <f>"978-7-309-12405-7"</f>
        <v>978-7-309-12405-7</v>
      </c>
      <c r="C446" s="7" t="str">
        <f>"水經註校箋圖釋．渭水流域諸篇．上"</f>
        <v>水經註校箋圖釋．渭水流域諸篇．上</v>
      </c>
      <c r="D446" s="7" t="str">
        <f>"李曉傑主編"</f>
        <v>李曉傑主編</v>
      </c>
      <c r="E446" s="7" t="str">
        <f>"復旦大學出版社"</f>
        <v>復旦大學出版社</v>
      </c>
      <c r="F446" s="7" t="str">
        <f>"K928.4/31/2.1"</f>
        <v>K928.4/31/2.1</v>
      </c>
    </row>
    <row r="447" customHeight="1" spans="1:6">
      <c r="A447" s="6">
        <v>446</v>
      </c>
      <c r="B447" s="7" t="str">
        <f>"978-7-309-12405-7"</f>
        <v>978-7-309-12405-7</v>
      </c>
      <c r="C447" s="7" t="str">
        <f>"水經註校箋圖釋．渭水流域諸篇．下"</f>
        <v>水經註校箋圖釋．渭水流域諸篇．下</v>
      </c>
      <c r="D447" s="7" t="str">
        <f>"李曉傑主編"</f>
        <v>李曉傑主編</v>
      </c>
      <c r="E447" s="7" t="str">
        <f>"復旦大學出版社"</f>
        <v>復旦大學出版社</v>
      </c>
      <c r="F447" s="7" t="str">
        <f>"K928.4/31/2.2"</f>
        <v>K928.4/31/2.2</v>
      </c>
    </row>
    <row r="448" customHeight="1" spans="1:6">
      <c r="A448" s="6">
        <v>447</v>
      </c>
      <c r="B448" s="7" t="str">
        <f>"978-7-101-14702-5"</f>
        <v>978-7-101-14702-5</v>
      </c>
      <c r="C448" s="7" t="str">
        <f>"黄河与中华文明"</f>
        <v>黄河与中华文明</v>
      </c>
      <c r="D448" s="7" t="str">
        <f>"葛剑雄著"</f>
        <v>葛剑雄著</v>
      </c>
      <c r="E448" s="7" t="str">
        <f>"中华书局"</f>
        <v>中华书局</v>
      </c>
      <c r="F448" s="7" t="str">
        <f>"K928.42/51"</f>
        <v>K928.42/51</v>
      </c>
    </row>
    <row r="449" customHeight="1" spans="1:6">
      <c r="A449" s="6">
        <v>448</v>
      </c>
      <c r="B449" s="7" t="str">
        <f>"978-7-101-14702-5"</f>
        <v>978-7-101-14702-5</v>
      </c>
      <c r="C449" s="7" t="str">
        <f>"黄河与中华文明"</f>
        <v>黄河与中华文明</v>
      </c>
      <c r="D449" s="7" t="str">
        <f>"葛剑雄著"</f>
        <v>葛剑雄著</v>
      </c>
      <c r="E449" s="7" t="str">
        <f>"中华书局"</f>
        <v>中华书局</v>
      </c>
      <c r="F449" s="7" t="str">
        <f>"K928.42/51"</f>
        <v>K928.42/51</v>
      </c>
    </row>
    <row r="450" customHeight="1" spans="1:6">
      <c r="A450" s="6">
        <v>449</v>
      </c>
      <c r="B450" s="7" t="str">
        <f>"978-7-5008-7527-7"</f>
        <v>978-7-5008-7527-7</v>
      </c>
      <c r="C450" s="7" t="str">
        <f>"放眼永定河"</f>
        <v>放眼永定河</v>
      </c>
      <c r="D450" s="7" t="str">
        <f>"朱祖希著"</f>
        <v>朱祖希著</v>
      </c>
      <c r="E450" s="7" t="str">
        <f t="shared" ref="E450:E453" si="181">"中国工人出版社"</f>
        <v>中国工人出版社</v>
      </c>
      <c r="F450" s="7" t="str">
        <f>"K928.42/52"</f>
        <v>K928.42/52</v>
      </c>
    </row>
    <row r="451" customHeight="1" spans="1:6">
      <c r="A451" s="6">
        <v>450</v>
      </c>
      <c r="B451" s="7" t="str">
        <f>"978-7-5008-7527-7"</f>
        <v>978-7-5008-7527-7</v>
      </c>
      <c r="C451" s="7" t="str">
        <f>"放眼永定河"</f>
        <v>放眼永定河</v>
      </c>
      <c r="D451" s="7" t="str">
        <f>"朱祖希著"</f>
        <v>朱祖希著</v>
      </c>
      <c r="E451" s="7" t="str">
        <f t="shared" si="181"/>
        <v>中国工人出版社</v>
      </c>
      <c r="F451" s="7" t="str">
        <f>"K928.42/52"</f>
        <v>K928.42/52</v>
      </c>
    </row>
    <row r="452" customHeight="1" spans="1:6">
      <c r="A452" s="6">
        <v>451</v>
      </c>
      <c r="B452" s="7" t="str">
        <f>"978-7-5008-7526-0"</f>
        <v>978-7-5008-7526-0</v>
      </c>
      <c r="C452" s="7" t="str">
        <f>"走读大运河"</f>
        <v>走读大运河</v>
      </c>
      <c r="D452" s="7" t="str">
        <f>"王越著"</f>
        <v>王越著</v>
      </c>
      <c r="E452" s="7" t="str">
        <f t="shared" si="181"/>
        <v>中国工人出版社</v>
      </c>
      <c r="F452" s="7" t="str">
        <f>"K928.42/53"</f>
        <v>K928.42/53</v>
      </c>
    </row>
    <row r="453" customHeight="1" spans="1:6">
      <c r="A453" s="6">
        <v>452</v>
      </c>
      <c r="B453" s="7" t="str">
        <f>"978-7-5008-7526-0"</f>
        <v>978-7-5008-7526-0</v>
      </c>
      <c r="C453" s="7" t="str">
        <f>"走读大运河"</f>
        <v>走读大运河</v>
      </c>
      <c r="D453" s="7" t="str">
        <f>"王越著"</f>
        <v>王越著</v>
      </c>
      <c r="E453" s="7" t="str">
        <f t="shared" si="181"/>
        <v>中国工人出版社</v>
      </c>
      <c r="F453" s="7" t="str">
        <f>"K928.42/53"</f>
        <v>K928.42/53</v>
      </c>
    </row>
    <row r="454" customHeight="1" spans="1:6">
      <c r="A454" s="6">
        <v>453</v>
      </c>
      <c r="B454" s="8" t="s">
        <v>12205</v>
      </c>
      <c r="C454" s="8" t="s">
        <v>12206</v>
      </c>
      <c r="D454" s="8" t="s">
        <v>12207</v>
      </c>
      <c r="E454" s="8" t="s">
        <v>5127</v>
      </c>
      <c r="F454" s="8" t="s">
        <v>12208</v>
      </c>
    </row>
    <row r="455" customHeight="1" spans="1:6">
      <c r="A455" s="6">
        <v>454</v>
      </c>
      <c r="B455" s="8" t="s">
        <v>12205</v>
      </c>
      <c r="C455" s="8" t="s">
        <v>12206</v>
      </c>
      <c r="D455" s="8" t="s">
        <v>12207</v>
      </c>
      <c r="E455" s="8" t="s">
        <v>5127</v>
      </c>
      <c r="F455" s="8" t="s">
        <v>12208</v>
      </c>
    </row>
    <row r="456" customHeight="1" spans="1:6">
      <c r="A456" s="6">
        <v>455</v>
      </c>
      <c r="B456" s="7" t="str">
        <f>"978-7-229-15859-0"</f>
        <v>978-7-229-15859-0</v>
      </c>
      <c r="C456" s="7" t="str">
        <f>"中国古都和文化"</f>
        <v>中国古都和文化</v>
      </c>
      <c r="D456" s="7" t="str">
        <f>"史念海著"</f>
        <v>史念海著</v>
      </c>
      <c r="E456" s="7" t="str">
        <f>"重庆出版社"</f>
        <v>重庆出版社</v>
      </c>
      <c r="F456" s="7" t="str">
        <f>"K928.5/87"</f>
        <v>K928.5/87</v>
      </c>
    </row>
    <row r="457" customHeight="1" spans="1:6">
      <c r="A457" s="6">
        <v>456</v>
      </c>
      <c r="B457" s="7" t="str">
        <f>"978-7-229-15859-0"</f>
        <v>978-7-229-15859-0</v>
      </c>
      <c r="C457" s="7" t="str">
        <f>"中国古都和文化"</f>
        <v>中国古都和文化</v>
      </c>
      <c r="D457" s="7" t="str">
        <f>"史念海著"</f>
        <v>史念海著</v>
      </c>
      <c r="E457" s="7" t="str">
        <f>"重庆出版社"</f>
        <v>重庆出版社</v>
      </c>
      <c r="F457" s="7" t="str">
        <f>"K928.5/87"</f>
        <v>K928.5/87</v>
      </c>
    </row>
    <row r="458" customHeight="1" spans="1:6">
      <c r="A458" s="6">
        <v>457</v>
      </c>
      <c r="B458" s="7" t="str">
        <f>"978-7-5455-6468-6"</f>
        <v>978-7-5455-6468-6</v>
      </c>
      <c r="C458" s="7" t="str">
        <f>"丝绸之路大历史：当古代中国遭遇世界：a history on how China meeting the world"</f>
        <v>丝绸之路大历史：当古代中国遭遇世界：a history on how China meeting the world</v>
      </c>
      <c r="D458" s="7" t="str">
        <f>"郭建龙著"</f>
        <v>郭建龙著</v>
      </c>
      <c r="E458" s="7" t="str">
        <f>"天地出版社"</f>
        <v>天地出版社</v>
      </c>
      <c r="F458" s="7" t="str">
        <f>"K928.6/63"</f>
        <v>K928.6/63</v>
      </c>
    </row>
    <row r="459" customHeight="1" spans="1:6">
      <c r="A459" s="6">
        <v>458</v>
      </c>
      <c r="B459" s="7" t="str">
        <f>"978-7-5455-6468-6"</f>
        <v>978-7-5455-6468-6</v>
      </c>
      <c r="C459" s="7" t="str">
        <f>"丝绸之路大历史：当古代中国遭遇世界：a history on how China meeting the world"</f>
        <v>丝绸之路大历史：当古代中国遭遇世界：a history on how China meeting the world</v>
      </c>
      <c r="D459" s="7" t="str">
        <f>"郭建龙著"</f>
        <v>郭建龙著</v>
      </c>
      <c r="E459" s="7" t="str">
        <f>"天地出版社"</f>
        <v>天地出版社</v>
      </c>
      <c r="F459" s="7" t="str">
        <f>"K928.6/63"</f>
        <v>K928.6/63</v>
      </c>
    </row>
    <row r="460" customHeight="1" spans="1:6">
      <c r="A460" s="6">
        <v>459</v>
      </c>
      <c r="B460" s="7" t="str">
        <f>"978-7-5604-4760-5"</f>
        <v>978-7-5604-4760-5</v>
      </c>
      <c r="C460" s="7" t="str">
        <f>"丝绸之路千问千答"</f>
        <v>丝绸之路千问千答</v>
      </c>
      <c r="D460" s="7" t="str">
        <f>"高建群著"</f>
        <v>高建群著</v>
      </c>
      <c r="E460" s="7" t="str">
        <f>"西北大学出版社"</f>
        <v>西北大学出版社</v>
      </c>
      <c r="F460" s="7" t="str">
        <f>"K928.6/64"</f>
        <v>K928.6/64</v>
      </c>
    </row>
    <row r="461" customHeight="1" spans="1:6">
      <c r="A461" s="6">
        <v>460</v>
      </c>
      <c r="B461" s="7" t="str">
        <f>"978-7-5604-4760-5"</f>
        <v>978-7-5604-4760-5</v>
      </c>
      <c r="C461" s="7" t="str">
        <f>"丝绸之路千问千答"</f>
        <v>丝绸之路千问千答</v>
      </c>
      <c r="D461" s="7" t="str">
        <f>"高建群著"</f>
        <v>高建群著</v>
      </c>
      <c r="E461" s="7" t="str">
        <f>"西北大学出版社"</f>
        <v>西北大学出版社</v>
      </c>
      <c r="F461" s="7" t="str">
        <f>"K928.6/64"</f>
        <v>K928.6/64</v>
      </c>
    </row>
    <row r="462" customHeight="1" spans="1:6">
      <c r="A462" s="6">
        <v>461</v>
      </c>
      <c r="B462" s="7" t="str">
        <f>"978-7-101-14783-4"</f>
        <v>978-7-101-14783-4</v>
      </c>
      <c r="C462" s="7" t="str">
        <f>"山海经"</f>
        <v>山海经</v>
      </c>
      <c r="D462" s="7" t="str">
        <f>"佚名"</f>
        <v>佚名</v>
      </c>
      <c r="E462" s="7" t="str">
        <f>"中华书局"</f>
        <v>中华书局</v>
      </c>
      <c r="F462" s="7" t="str">
        <f>"K928.626/35"</f>
        <v>K928.626/35</v>
      </c>
    </row>
    <row r="463" customHeight="1" spans="1:6">
      <c r="A463" s="6">
        <v>462</v>
      </c>
      <c r="B463" s="7" t="str">
        <f>"978-7-101-14783-4"</f>
        <v>978-7-101-14783-4</v>
      </c>
      <c r="C463" s="7" t="str">
        <f>"山海经"</f>
        <v>山海经</v>
      </c>
      <c r="D463" s="7" t="str">
        <f>"佚名"</f>
        <v>佚名</v>
      </c>
      <c r="E463" s="7" t="str">
        <f>"中华书局"</f>
        <v>中华书局</v>
      </c>
      <c r="F463" s="7" t="str">
        <f>"K928.626/35"</f>
        <v>K928.626/35</v>
      </c>
    </row>
    <row r="464" customHeight="1" spans="1:6">
      <c r="A464" s="6">
        <v>463</v>
      </c>
      <c r="B464" s="7" t="str">
        <f>"978-7-5473-1839-3"</f>
        <v>978-7-5473-1839-3</v>
      </c>
      <c r="C464" s="7" t="str">
        <f>"世界遗产在中国．历史城市．Historical city"</f>
        <v>世界遗产在中国．历史城市．Historical city</v>
      </c>
      <c r="D464" s="7" t="str">
        <f>"丛书主编杜晓帆；邵甬， 周俭编著"</f>
        <v>丛书主编杜晓帆；邵甬， 周俭编著</v>
      </c>
      <c r="E464" s="7" t="str">
        <f>"东方出版中心"</f>
        <v>东方出版中心</v>
      </c>
      <c r="F464" s="7" t="str">
        <f>"K928.7/74"</f>
        <v>K928.7/74</v>
      </c>
    </row>
    <row r="465" customHeight="1" spans="1:6">
      <c r="A465" s="6">
        <v>464</v>
      </c>
      <c r="B465" s="7" t="str">
        <f>"978-7-5473-1839-3"</f>
        <v>978-7-5473-1839-3</v>
      </c>
      <c r="C465" s="7" t="str">
        <f>"世界遗产在中国．历史城市．Historical city"</f>
        <v>世界遗产在中国．历史城市．Historical city</v>
      </c>
      <c r="D465" s="7" t="str">
        <f>"丛书主编杜晓帆；邵甬， 周俭编著"</f>
        <v>丛书主编杜晓帆；邵甬， 周俭编著</v>
      </c>
      <c r="E465" s="7" t="str">
        <f>"东方出版中心"</f>
        <v>东方出版中心</v>
      </c>
      <c r="F465" s="7" t="str">
        <f>"K928.7/74"</f>
        <v>K928.7/74</v>
      </c>
    </row>
    <row r="466" customHeight="1" spans="1:6">
      <c r="A466" s="6">
        <v>465</v>
      </c>
      <c r="B466" s="8" t="s">
        <v>12209</v>
      </c>
      <c r="C466" s="8" t="s">
        <v>12210</v>
      </c>
      <c r="D466" s="8" t="s">
        <v>12211</v>
      </c>
      <c r="E466" s="8" t="s">
        <v>370</v>
      </c>
      <c r="F466" s="8" t="s">
        <v>12212</v>
      </c>
    </row>
    <row r="467" customHeight="1" spans="1:6">
      <c r="A467" s="6">
        <v>466</v>
      </c>
      <c r="B467" s="8" t="s">
        <v>12209</v>
      </c>
      <c r="C467" s="8" t="s">
        <v>12210</v>
      </c>
      <c r="D467" s="8" t="s">
        <v>12211</v>
      </c>
      <c r="E467" s="8" t="s">
        <v>370</v>
      </c>
      <c r="F467" s="8" t="s">
        <v>12212</v>
      </c>
    </row>
    <row r="468" customHeight="1" spans="1:6">
      <c r="A468" s="6">
        <v>467</v>
      </c>
      <c r="B468" s="7" t="str">
        <f>"978-7-5008-7545-1"</f>
        <v>978-7-5008-7545-1</v>
      </c>
      <c r="C468" s="7" t="str">
        <f>"话说长城"</f>
        <v>话说长城</v>
      </c>
      <c r="D468" s="7" t="str">
        <f>"孙冬虎著"</f>
        <v>孙冬虎著</v>
      </c>
      <c r="E468" s="7" t="str">
        <f>"中国工人出版社"</f>
        <v>中国工人出版社</v>
      </c>
      <c r="F468" s="7" t="str">
        <f>"K928.77/53"</f>
        <v>K928.77/53</v>
      </c>
    </row>
    <row r="469" customHeight="1" spans="1:6">
      <c r="A469" s="6">
        <v>468</v>
      </c>
      <c r="B469" s="7" t="str">
        <f>"978-7-5008-7545-1"</f>
        <v>978-7-5008-7545-1</v>
      </c>
      <c r="C469" s="7" t="str">
        <f>"话说长城"</f>
        <v>话说长城</v>
      </c>
      <c r="D469" s="7" t="str">
        <f>"孙冬虎著"</f>
        <v>孙冬虎著</v>
      </c>
      <c r="E469" s="7" t="str">
        <f>"中国工人出版社"</f>
        <v>中国工人出版社</v>
      </c>
      <c r="F469" s="7" t="str">
        <f>"K928.77/53"</f>
        <v>K928.77/53</v>
      </c>
    </row>
    <row r="470" customHeight="1" spans="1:6">
      <c r="A470" s="6">
        <v>469</v>
      </c>
      <c r="B470" s="7" t="str">
        <f>"978-7-100-18775-6"</f>
        <v>978-7-100-18775-6</v>
      </c>
      <c r="C470" s="7" t="str">
        <f>"陇关道"</f>
        <v>陇关道</v>
      </c>
      <c r="D470" s="7" t="str">
        <f>"胡成著"</f>
        <v>胡成著</v>
      </c>
      <c r="E470" s="7" t="str">
        <f>"商务印书馆"</f>
        <v>商务印书馆</v>
      </c>
      <c r="F470" s="7" t="str">
        <f>"K928.78/21"</f>
        <v>K928.78/21</v>
      </c>
    </row>
    <row r="471" customHeight="1" spans="1:6">
      <c r="A471" s="6">
        <v>470</v>
      </c>
      <c r="B471" s="7" t="str">
        <f>"978-7-100-18775-6"</f>
        <v>978-7-100-18775-6</v>
      </c>
      <c r="C471" s="7" t="str">
        <f>"陇关道"</f>
        <v>陇关道</v>
      </c>
      <c r="D471" s="7" t="str">
        <f>"胡成著"</f>
        <v>胡成著</v>
      </c>
      <c r="E471" s="7" t="str">
        <f>"商务印书馆"</f>
        <v>商务印书馆</v>
      </c>
      <c r="F471" s="7" t="str">
        <f>"K928.78/21"</f>
        <v>K928.78/21</v>
      </c>
    </row>
    <row r="472" customHeight="1" spans="1:6">
      <c r="A472" s="6">
        <v>471</v>
      </c>
      <c r="B472" s="7" t="str">
        <f>"978-7-5680-7124-6"</f>
        <v>978-7-5680-7124-6</v>
      </c>
      <c r="C472" s="7" t="str">
        <f>"日式生活之美"</f>
        <v>日式生活之美</v>
      </c>
      <c r="D472" s="7" t="str">
        <f>"(英) DK出版社编著；丁妍妍译"</f>
        <v>(英) DK出版社编著；丁妍妍译</v>
      </c>
      <c r="E472" s="7" t="str">
        <f>"华中科技大学出版社"</f>
        <v>华中科技大学出版社</v>
      </c>
      <c r="F472" s="7" t="str">
        <f>"K931.39/83"</f>
        <v>K931.39/83</v>
      </c>
    </row>
    <row r="473" customHeight="1" spans="1:6">
      <c r="A473" s="6">
        <v>472</v>
      </c>
      <c r="B473" s="7" t="str">
        <f>"978-7-5680-7124-6"</f>
        <v>978-7-5680-7124-6</v>
      </c>
      <c r="C473" s="7" t="str">
        <f>"日式生活之美"</f>
        <v>日式生活之美</v>
      </c>
      <c r="D473" s="7" t="str">
        <f>"(英) DK出版社编著；丁妍妍译"</f>
        <v>(英) DK出版社编著；丁妍妍译</v>
      </c>
      <c r="E473" s="7" t="str">
        <f>"华中科技大学出版社"</f>
        <v>华中科技大学出版社</v>
      </c>
      <c r="F473" s="7" t="str">
        <f>"K931.39/83"</f>
        <v>K931.39/83</v>
      </c>
    </row>
    <row r="474" customHeight="1" spans="1:6">
      <c r="A474" s="6">
        <v>473</v>
      </c>
      <c r="B474" s="7" t="str">
        <f t="shared" ref="B474:B476" si="182">"978-7-108-06278-9"</f>
        <v>978-7-108-06278-9</v>
      </c>
      <c r="C474" s="7" t="str">
        <f t="shared" ref="C474:C476" si="183">"伦敦的崛起：五个人重塑一座城"</f>
        <v>伦敦的崛起：五个人重塑一座城</v>
      </c>
      <c r="D474" s="7" t="str">
        <f t="shared" ref="D474:D476" si="184">"(英) 利奥·霍利斯著；宋美莹译"</f>
        <v>(英) 利奥·霍利斯著；宋美莹译</v>
      </c>
      <c r="E474" s="7" t="str">
        <f t="shared" ref="E474:E476" si="185">"三联书店"</f>
        <v>三联书店</v>
      </c>
      <c r="F474" s="7" t="str">
        <f t="shared" ref="F474:F476" si="186">"K956.15/2"</f>
        <v>K956.15/2</v>
      </c>
    </row>
    <row r="475" customHeight="1" spans="1:6">
      <c r="A475" s="6">
        <v>474</v>
      </c>
      <c r="B475" s="7" t="str">
        <f t="shared" si="182"/>
        <v>978-7-108-06278-9</v>
      </c>
      <c r="C475" s="7" t="str">
        <f t="shared" si="183"/>
        <v>伦敦的崛起：五个人重塑一座城</v>
      </c>
      <c r="D475" s="7" t="str">
        <f t="shared" si="184"/>
        <v>(英) 利奥·霍利斯著；宋美莹译</v>
      </c>
      <c r="E475" s="7" t="str">
        <f t="shared" si="185"/>
        <v>三联书店</v>
      </c>
      <c r="F475" s="7" t="str">
        <f t="shared" si="186"/>
        <v>K956.15/2</v>
      </c>
    </row>
    <row r="476" customHeight="1" spans="1:6">
      <c r="A476" s="6">
        <v>475</v>
      </c>
      <c r="B476" s="7" t="str">
        <f t="shared" si="182"/>
        <v>978-7-108-06278-9</v>
      </c>
      <c r="C476" s="7" t="str">
        <f t="shared" si="183"/>
        <v>伦敦的崛起：五个人重塑一座城</v>
      </c>
      <c r="D476" s="7" t="str">
        <f t="shared" si="184"/>
        <v>(英) 利奥·霍利斯著；宋美莹译</v>
      </c>
      <c r="E476" s="7" t="str">
        <f t="shared" si="185"/>
        <v>三联书店</v>
      </c>
      <c r="F476" s="7" t="str">
        <f t="shared" si="186"/>
        <v>K956.15/2</v>
      </c>
    </row>
  </sheetData>
  <pageMargins left="0.75" right="0.75" top="1" bottom="1" header="0.5" footer="0.5"/>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7030A0"/>
  </sheetPr>
  <dimension ref="A1:F1420"/>
  <sheetViews>
    <sheetView tabSelected="1" workbookViewId="0">
      <selection activeCell="E25" sqref="E25"/>
    </sheetView>
  </sheetViews>
  <sheetFormatPr defaultColWidth="9" defaultRowHeight="18" customHeight="1" outlineLevelCol="5"/>
  <cols>
    <col min="1" max="1" width="5.375" style="12" customWidth="1"/>
    <col min="2" max="2" width="19.375" customWidth="1"/>
    <col min="3" max="3" width="45.625" customWidth="1"/>
    <col min="4" max="4" width="35.625" customWidth="1"/>
    <col min="5" max="5" width="31.5" customWidth="1"/>
    <col min="6" max="6" width="19.375" customWidth="1"/>
  </cols>
  <sheetData>
    <row r="1" s="1" customFormat="1" customHeight="1" spans="1:6">
      <c r="A1" s="5" t="s">
        <v>8186</v>
      </c>
      <c r="B1" s="5" t="s">
        <v>8187</v>
      </c>
      <c r="C1" s="5" t="s">
        <v>8188</v>
      </c>
      <c r="D1" s="5" t="s">
        <v>8189</v>
      </c>
      <c r="E1" s="5" t="s">
        <v>8190</v>
      </c>
      <c r="F1" s="5" t="s">
        <v>8191</v>
      </c>
    </row>
    <row r="2" customHeight="1" spans="1:6">
      <c r="A2" s="6">
        <v>1</v>
      </c>
      <c r="B2" s="7" t="str">
        <f>"978-7-111-63551-2"</f>
        <v>978-7-111-63551-2</v>
      </c>
      <c r="C2" s="7" t="str">
        <f>"设计师的系统思维"</f>
        <v>设计师的系统思维</v>
      </c>
      <c r="D2" s="7" t="str">
        <f>"梁颖 ... [等] 著"</f>
        <v>梁颖 ... [等] 著</v>
      </c>
      <c r="E2" s="7" t="str">
        <f>"机械工业出版社"</f>
        <v>机械工业出版社</v>
      </c>
      <c r="F2" s="7" t="str">
        <f>"TB21/50"</f>
        <v>TB21/50</v>
      </c>
    </row>
    <row r="3" customHeight="1" spans="1:6">
      <c r="A3" s="6">
        <v>2</v>
      </c>
      <c r="B3" s="7" t="str">
        <f>"978-7-111-63551-2"</f>
        <v>978-7-111-63551-2</v>
      </c>
      <c r="C3" s="7" t="str">
        <f>"设计师的系统思维"</f>
        <v>设计师的系统思维</v>
      </c>
      <c r="D3" s="7" t="str">
        <f>"梁颖 ... [等] 著"</f>
        <v>梁颖 ... [等] 著</v>
      </c>
      <c r="E3" s="7" t="str">
        <f>"机械工业出版社"</f>
        <v>机械工业出版社</v>
      </c>
      <c r="F3" s="7" t="str">
        <f>"TB21/50"</f>
        <v>TB21/50</v>
      </c>
    </row>
    <row r="4" customHeight="1" spans="1:6">
      <c r="A4" s="6">
        <v>3</v>
      </c>
      <c r="B4" s="8" t="s">
        <v>12213</v>
      </c>
      <c r="C4" s="8" t="s">
        <v>12214</v>
      </c>
      <c r="D4" s="8" t="s">
        <v>12215</v>
      </c>
      <c r="E4" s="8" t="s">
        <v>189</v>
      </c>
      <c r="F4" s="8" t="s">
        <v>12216</v>
      </c>
    </row>
    <row r="5" customHeight="1" spans="1:6">
      <c r="A5" s="6">
        <v>4</v>
      </c>
      <c r="B5" s="8" t="s">
        <v>12213</v>
      </c>
      <c r="C5" s="8" t="s">
        <v>12214</v>
      </c>
      <c r="D5" s="8" t="s">
        <v>12215</v>
      </c>
      <c r="E5" s="8" t="s">
        <v>189</v>
      </c>
      <c r="F5" s="8" t="s">
        <v>12216</v>
      </c>
    </row>
    <row r="6" customHeight="1" spans="1:6">
      <c r="A6" s="6">
        <v>5</v>
      </c>
      <c r="B6" s="7" t="str">
        <f>"978-7-5217-2746-3"</f>
        <v>978-7-5217-2746-3</v>
      </c>
      <c r="C6" s="7" t="str">
        <f>"神奇的材料"</f>
        <v>神奇的材料</v>
      </c>
      <c r="D6" s="7" t="str">
        <f>"(美) 艾妮莎·拉米雷斯著Ainissa Ramirez；任烨译"</f>
        <v>(美) 艾妮莎·拉米雷斯著Ainissa Ramirez；任烨译</v>
      </c>
      <c r="E6" s="7" t="str">
        <f>"中信出版集团股份有限公司"</f>
        <v>中信出版集团股份有限公司</v>
      </c>
      <c r="F6" s="7" t="str">
        <f>"TB3-49/2"</f>
        <v>TB3-49/2</v>
      </c>
    </row>
    <row r="7" customHeight="1" spans="1:6">
      <c r="A7" s="6">
        <v>6</v>
      </c>
      <c r="B7" s="7" t="str">
        <f>"978-7-5217-2746-3"</f>
        <v>978-7-5217-2746-3</v>
      </c>
      <c r="C7" s="7" t="str">
        <f>"神奇的材料"</f>
        <v>神奇的材料</v>
      </c>
      <c r="D7" s="7" t="str">
        <f>"(美) 艾妮莎·拉米雷斯著Ainissa Ramirez；任烨译"</f>
        <v>(美) 艾妮莎·拉米雷斯著Ainissa Ramirez；任烨译</v>
      </c>
      <c r="E7" s="7" t="str">
        <f>"中信出版集团股份有限公司"</f>
        <v>中信出版集团股份有限公司</v>
      </c>
      <c r="F7" s="7" t="str">
        <f>"TB3-49/2"</f>
        <v>TB3-49/2</v>
      </c>
    </row>
    <row r="8" customHeight="1" spans="1:6">
      <c r="A8" s="6">
        <v>7</v>
      </c>
      <c r="B8" s="7" t="str">
        <f>"978-7-5146-2011-5"</f>
        <v>978-7-5146-2011-5</v>
      </c>
      <c r="C8" s="7" t="str">
        <f>"设计十诫：迪特·拉姆斯：Dieter Rams"</f>
        <v>设计十诫：迪特·拉姆斯：Dieter Rams</v>
      </c>
      <c r="D8" s="7" t="str">
        <f>"(荷兰) 塞斯·W. 德容编；李婉莹译"</f>
        <v>(荷兰) 塞斯·W. 德容编；李婉莹译</v>
      </c>
      <c r="E8" s="7" t="str">
        <f>"中国画报出版社"</f>
        <v>中国画报出版社</v>
      </c>
      <c r="F8" s="7" t="str">
        <f>"TB47/51"</f>
        <v>TB47/51</v>
      </c>
    </row>
    <row r="9" customHeight="1" spans="1:6">
      <c r="A9" s="6">
        <v>8</v>
      </c>
      <c r="B9" s="7" t="str">
        <f>"978-7-5146-2011-5"</f>
        <v>978-7-5146-2011-5</v>
      </c>
      <c r="C9" s="7" t="str">
        <f>"设计十诫：迪特·拉姆斯：Dieter Rams"</f>
        <v>设计十诫：迪特·拉姆斯：Dieter Rams</v>
      </c>
      <c r="D9" s="7" t="str">
        <f>"(荷兰) 塞斯·W. 德容编；李婉莹译"</f>
        <v>(荷兰) 塞斯·W. 德容编；李婉莹译</v>
      </c>
      <c r="E9" s="7" t="str">
        <f>"中国画报出版社"</f>
        <v>中国画报出版社</v>
      </c>
      <c r="F9" s="7" t="str">
        <f>"TB47/51"</f>
        <v>TB47/51</v>
      </c>
    </row>
    <row r="10" customHeight="1" spans="1:6">
      <c r="A10" s="6">
        <v>9</v>
      </c>
      <c r="B10" s="8" t="s">
        <v>12217</v>
      </c>
      <c r="C10" s="8" t="s">
        <v>12218</v>
      </c>
      <c r="D10" s="8" t="s">
        <v>12219</v>
      </c>
      <c r="E10" s="8" t="s">
        <v>5127</v>
      </c>
      <c r="F10" s="8" t="s">
        <v>12220</v>
      </c>
    </row>
    <row r="11" customHeight="1" spans="1:6">
      <c r="A11" s="6">
        <v>10</v>
      </c>
      <c r="B11" s="8" t="s">
        <v>12217</v>
      </c>
      <c r="C11" s="8" t="s">
        <v>12218</v>
      </c>
      <c r="D11" s="8" t="s">
        <v>12219</v>
      </c>
      <c r="E11" s="8" t="s">
        <v>5127</v>
      </c>
      <c r="F11" s="8" t="s">
        <v>12220</v>
      </c>
    </row>
    <row r="12" customHeight="1" spans="1:6">
      <c r="A12" s="6">
        <v>11</v>
      </c>
      <c r="B12" s="7" t="str">
        <f>"978-7-5608-9860-5"</f>
        <v>978-7-5608-9860-5</v>
      </c>
      <c r="C12" s="7" t="str">
        <f>"奢侈品设计之灵：当代时尚与首饰：a perspective from contemporary fashion and jewellery"</f>
        <v>奢侈品设计之灵：当代时尚与首饰：a perspective from contemporary fashion and jewellery</v>
      </c>
      <c r="D12" s="7" t="str">
        <f>"(荷兰) 孙捷， (瑞士) 伊丽莎白·菲舍尔主编Elizabeth Fischer"</f>
        <v>(荷兰) 孙捷， (瑞士) 伊丽莎白·菲舍尔主编Elizabeth Fischer</v>
      </c>
      <c r="E12" s="7" t="str">
        <f>"同济大学出版社"</f>
        <v>同济大学出版社</v>
      </c>
      <c r="F12" s="7" t="str">
        <f>"TB472/245"</f>
        <v>TB472/245</v>
      </c>
    </row>
    <row r="13" customHeight="1" spans="1:6">
      <c r="A13" s="6">
        <v>12</v>
      </c>
      <c r="B13" s="7" t="str">
        <f>"978-7-5608-9860-5"</f>
        <v>978-7-5608-9860-5</v>
      </c>
      <c r="C13" s="7" t="str">
        <f>"奢侈品设计之灵：当代时尚与首饰：a perspective from contemporary fashion and jewellery"</f>
        <v>奢侈品设计之灵：当代时尚与首饰：a perspective from contemporary fashion and jewellery</v>
      </c>
      <c r="D13" s="7" t="str">
        <f>"(荷兰) 孙捷， (瑞士) 伊丽莎白·菲舍尔主编Elizabeth Fischer"</f>
        <v>(荷兰) 孙捷， (瑞士) 伊丽莎白·菲舍尔主编Elizabeth Fischer</v>
      </c>
      <c r="E13" s="7" t="str">
        <f>"同济大学出版社"</f>
        <v>同济大学出版社</v>
      </c>
      <c r="F13" s="7" t="str">
        <f>"TB472/245"</f>
        <v>TB472/245</v>
      </c>
    </row>
    <row r="14" customHeight="1" spans="1:6">
      <c r="A14" s="6">
        <v>13</v>
      </c>
      <c r="B14" s="8" t="s">
        <v>12221</v>
      </c>
      <c r="C14" s="8" t="s">
        <v>12222</v>
      </c>
      <c r="D14" s="8" t="s">
        <v>12223</v>
      </c>
      <c r="E14" s="8" t="s">
        <v>3180</v>
      </c>
      <c r="F14" s="8" t="s">
        <v>12224</v>
      </c>
    </row>
    <row r="15" customHeight="1" spans="1:6">
      <c r="A15" s="6">
        <v>14</v>
      </c>
      <c r="B15" s="8" t="s">
        <v>12221</v>
      </c>
      <c r="C15" s="8" t="s">
        <v>12222</v>
      </c>
      <c r="D15" s="8" t="s">
        <v>12223</v>
      </c>
      <c r="E15" s="8" t="s">
        <v>3180</v>
      </c>
      <c r="F15" s="8" t="s">
        <v>12224</v>
      </c>
    </row>
    <row r="16" customHeight="1" spans="1:6">
      <c r="A16" s="6">
        <v>15</v>
      </c>
      <c r="B16" s="8" t="s">
        <v>12225</v>
      </c>
      <c r="C16" s="8" t="s">
        <v>12226</v>
      </c>
      <c r="D16" s="8" t="s">
        <v>12227</v>
      </c>
      <c r="E16" s="8" t="s">
        <v>3180</v>
      </c>
      <c r="F16" s="8" t="s">
        <v>12228</v>
      </c>
    </row>
    <row r="17" customHeight="1" spans="1:6">
      <c r="A17" s="6">
        <v>16</v>
      </c>
      <c r="B17" s="8" t="s">
        <v>12225</v>
      </c>
      <c r="C17" s="8" t="s">
        <v>12226</v>
      </c>
      <c r="D17" s="8" t="s">
        <v>12227</v>
      </c>
      <c r="E17" s="8" t="s">
        <v>3180</v>
      </c>
      <c r="F17" s="8" t="s">
        <v>12228</v>
      </c>
    </row>
    <row r="18" customHeight="1" spans="1:6">
      <c r="A18" s="6">
        <v>17</v>
      </c>
      <c r="B18" s="7" t="str">
        <f>"978-7-111-67564-8"</f>
        <v>978-7-111-67564-8</v>
      </c>
      <c r="C18" s="7" t="str">
        <f>"数字创意大师：Alias二维与三维概念设计工作流浅析"</f>
        <v>数字创意大师：Alias二维与三维概念设计工作流浅析</v>
      </c>
      <c r="D18" s="7" t="str">
        <f>"丁宁， 王锴编著"</f>
        <v>丁宁， 王锴编著</v>
      </c>
      <c r="E18" s="7" t="str">
        <f>"机械工业出版社"</f>
        <v>机械工业出版社</v>
      </c>
      <c r="F18" s="7" t="str">
        <f>"TB472-39/93"</f>
        <v>TB472-39/93</v>
      </c>
    </row>
    <row r="19" customHeight="1" spans="1:6">
      <c r="A19" s="6">
        <v>18</v>
      </c>
      <c r="B19" s="7" t="str">
        <f>"978-7-111-67564-8"</f>
        <v>978-7-111-67564-8</v>
      </c>
      <c r="C19" s="7" t="str">
        <f>"数字创意大师：Alias二维与三维概念设计工作流浅析"</f>
        <v>数字创意大师：Alias二维与三维概念设计工作流浅析</v>
      </c>
      <c r="D19" s="7" t="str">
        <f>"丁宁， 王锴编著"</f>
        <v>丁宁， 王锴编著</v>
      </c>
      <c r="E19" s="7" t="str">
        <f>"机械工业出版社"</f>
        <v>机械工业出版社</v>
      </c>
      <c r="F19" s="7" t="str">
        <f>"TB472-39/93"</f>
        <v>TB472-39/93</v>
      </c>
    </row>
    <row r="20" customHeight="1" spans="1:6">
      <c r="A20" s="6">
        <v>19</v>
      </c>
      <c r="B20" s="7" t="str">
        <f>"978-7-5650-2763-5"</f>
        <v>978-7-5650-2763-5</v>
      </c>
      <c r="C20" s="7" t="str">
        <f>"交互设计"</f>
        <v>交互设计</v>
      </c>
      <c r="D20" s="7" t="str">
        <f>"宫晓东， 边鹏， 魏文静编著"</f>
        <v>宫晓东， 边鹏， 魏文静编著</v>
      </c>
      <c r="E20" s="7" t="str">
        <f>"合肥工业大学出版社"</f>
        <v>合肥工业大学出版社</v>
      </c>
      <c r="F20" s="7" t="str">
        <f>"TB47-39/4"</f>
        <v>TB47-39/4</v>
      </c>
    </row>
    <row r="21" customHeight="1" spans="1:6">
      <c r="A21" s="6">
        <v>20</v>
      </c>
      <c r="B21" s="7" t="str">
        <f>"978-7-5650-2763-5"</f>
        <v>978-7-5650-2763-5</v>
      </c>
      <c r="C21" s="7" t="str">
        <f>"交互设计"</f>
        <v>交互设计</v>
      </c>
      <c r="D21" s="7" t="str">
        <f>"宫晓东， 边鹏， 魏文静编著"</f>
        <v>宫晓东， 边鹏， 魏文静编著</v>
      </c>
      <c r="E21" s="7" t="str">
        <f>"合肥工业大学出版社"</f>
        <v>合肥工业大学出版社</v>
      </c>
      <c r="F21" s="7" t="str">
        <f>"TB47-39/4"</f>
        <v>TB47-39/4</v>
      </c>
    </row>
    <row r="22" customHeight="1" spans="1:6">
      <c r="A22" s="6">
        <v>21</v>
      </c>
      <c r="B22" s="8" t="s">
        <v>12229</v>
      </c>
      <c r="C22" s="8" t="s">
        <v>12230</v>
      </c>
      <c r="D22" s="8" t="s">
        <v>12231</v>
      </c>
      <c r="E22" s="8" t="s">
        <v>3180</v>
      </c>
      <c r="F22" s="8" t="s">
        <v>12232</v>
      </c>
    </row>
    <row r="23" customHeight="1" spans="1:6">
      <c r="A23" s="6">
        <v>22</v>
      </c>
      <c r="B23" s="8" t="s">
        <v>12229</v>
      </c>
      <c r="C23" s="8" t="s">
        <v>12230</v>
      </c>
      <c r="D23" s="8" t="s">
        <v>12231</v>
      </c>
      <c r="E23" s="8" t="s">
        <v>3180</v>
      </c>
      <c r="F23" s="8" t="s">
        <v>12232</v>
      </c>
    </row>
    <row r="24" customHeight="1" spans="1:6">
      <c r="A24" s="6">
        <v>23</v>
      </c>
      <c r="B24" s="7" t="str">
        <f>"978-7-5592-0325-0"</f>
        <v>978-7-5592-0325-0</v>
      </c>
      <c r="C24" s="7" t="str">
        <f>"世界古董相机大全"</f>
        <v>世界古董相机大全</v>
      </c>
      <c r="D24" s="7" t="str">
        <f>"(日) 根本泰人， 日本季刊《analog》著；林瞾译"</f>
        <v>(日) 根本泰人， 日本季刊《analog》著；林瞾译</v>
      </c>
      <c r="E24" s="7" t="str">
        <f>"北京美术摄影出版社"</f>
        <v>北京美术摄影出版社</v>
      </c>
      <c r="F24" s="7" t="str">
        <f>"TB852.1/92"</f>
        <v>TB852.1/92</v>
      </c>
    </row>
    <row r="25" customHeight="1" spans="1:6">
      <c r="A25" s="6">
        <v>24</v>
      </c>
      <c r="B25" s="7" t="str">
        <f>"978-7-121-20859-1"</f>
        <v>978-7-121-20859-1</v>
      </c>
      <c r="C25" s="7" t="str">
        <f>"医用仪器软件设计：基于Qt (Windows版)"</f>
        <v>医用仪器软件设计：基于Qt (Windows版)</v>
      </c>
      <c r="D25" s="7" t="str">
        <f>"江少锋， 钟世达主编"</f>
        <v>江少锋， 钟世达主编</v>
      </c>
      <c r="E25" s="7" t="str">
        <f>"电子工业出版社"</f>
        <v>电子工业出版社</v>
      </c>
      <c r="F25" s="7" t="str">
        <f>"TH7/19"</f>
        <v>TH7/19</v>
      </c>
    </row>
    <row r="26" customHeight="1" spans="1:6">
      <c r="A26" s="6">
        <v>25</v>
      </c>
      <c r="B26" s="7" t="str">
        <f>"978-7-121-20859-1"</f>
        <v>978-7-121-20859-1</v>
      </c>
      <c r="C26" s="7" t="str">
        <f>"医用仪器软件设计：基于Qt (Windows版)"</f>
        <v>医用仪器软件设计：基于Qt (Windows版)</v>
      </c>
      <c r="D26" s="7" t="str">
        <f>"江少锋， 钟世达主编"</f>
        <v>江少锋， 钟世达主编</v>
      </c>
      <c r="E26" s="7" t="str">
        <f>"电子工业出版社"</f>
        <v>电子工业出版社</v>
      </c>
      <c r="F26" s="7" t="str">
        <f>"TH7/19"</f>
        <v>TH7/19</v>
      </c>
    </row>
    <row r="27" customHeight="1" spans="1:6">
      <c r="A27" s="6">
        <v>26</v>
      </c>
      <c r="B27" s="7" t="str">
        <f>"978-7-5722-2102-6"</f>
        <v>978-7-5722-2102-6</v>
      </c>
      <c r="C27" s="7" t="str">
        <f>"人人都该懂的能源新趋势"</f>
        <v>人人都该懂的能源新趋势</v>
      </c>
      <c r="D27" s="7" t="str">
        <f>"(加) 瓦茨拉夫·斯米尔著Vaclav Smil；吴攀译"</f>
        <v>(加) 瓦茨拉夫·斯米尔著Vaclav Smil；吴攀译</v>
      </c>
      <c r="E27" s="7" t="str">
        <f>"浙江教育出版社"</f>
        <v>浙江教育出版社</v>
      </c>
      <c r="F27" s="7" t="str">
        <f>"TK01-49/14"</f>
        <v>TK01-49/14</v>
      </c>
    </row>
    <row r="28" customHeight="1" spans="1:6">
      <c r="A28" s="6">
        <v>27</v>
      </c>
      <c r="B28" s="7" t="str">
        <f>"978-7-5722-2102-6"</f>
        <v>978-7-5722-2102-6</v>
      </c>
      <c r="C28" s="7" t="str">
        <f>"人人都该懂的能源新趋势"</f>
        <v>人人都该懂的能源新趋势</v>
      </c>
      <c r="D28" s="7" t="str">
        <f>"(加) 瓦茨拉夫·斯米尔著Vaclav Smil；吴攀译"</f>
        <v>(加) 瓦茨拉夫·斯米尔著Vaclav Smil；吴攀译</v>
      </c>
      <c r="E28" s="7" t="str">
        <f>"浙江教育出版社"</f>
        <v>浙江教育出版社</v>
      </c>
      <c r="F28" s="7" t="str">
        <f>"TK01-49/14"</f>
        <v>TK01-49/14</v>
      </c>
    </row>
    <row r="29" customHeight="1" spans="1:6">
      <c r="A29" s="6">
        <v>28</v>
      </c>
      <c r="B29" s="8" t="s">
        <v>12233</v>
      </c>
      <c r="C29" s="8" t="s">
        <v>12234</v>
      </c>
      <c r="D29" s="8" t="s">
        <v>12235</v>
      </c>
      <c r="E29" s="8" t="s">
        <v>3146</v>
      </c>
      <c r="F29" s="8" t="s">
        <v>12236</v>
      </c>
    </row>
    <row r="30" customHeight="1" spans="1:6">
      <c r="A30" s="6">
        <v>29</v>
      </c>
      <c r="B30" s="8" t="s">
        <v>12233</v>
      </c>
      <c r="C30" s="8" t="s">
        <v>12234</v>
      </c>
      <c r="D30" s="8" t="s">
        <v>12235</v>
      </c>
      <c r="E30" s="8" t="s">
        <v>3146</v>
      </c>
      <c r="F30" s="8" t="s">
        <v>12236</v>
      </c>
    </row>
    <row r="31" customHeight="1" spans="1:6">
      <c r="A31" s="6">
        <v>30</v>
      </c>
      <c r="B31" s="8" t="s">
        <v>12237</v>
      </c>
      <c r="C31" s="8" t="s">
        <v>12238</v>
      </c>
      <c r="D31" s="8" t="s">
        <v>12239</v>
      </c>
      <c r="E31" s="8" t="s">
        <v>3146</v>
      </c>
      <c r="F31" s="8" t="s">
        <v>12240</v>
      </c>
    </row>
    <row r="32" customHeight="1" spans="1:6">
      <c r="A32" s="6">
        <v>31</v>
      </c>
      <c r="B32" s="8" t="s">
        <v>12237</v>
      </c>
      <c r="C32" s="8" t="s">
        <v>12238</v>
      </c>
      <c r="D32" s="8" t="s">
        <v>12239</v>
      </c>
      <c r="E32" s="8" t="s">
        <v>3146</v>
      </c>
      <c r="F32" s="8" t="s">
        <v>12240</v>
      </c>
    </row>
    <row r="33" customHeight="1" spans="1:6">
      <c r="A33" s="6">
        <v>32</v>
      </c>
      <c r="B33" s="7" t="str">
        <f>"978-7-111-67607-2"</f>
        <v>978-7-111-67607-2</v>
      </c>
      <c r="C33" s="7" t="str">
        <f>"电机学"</f>
        <v>电机学</v>
      </c>
      <c r="D33" s="7" t="str">
        <f>"主编刘慧娟"</f>
        <v>主编刘慧娟</v>
      </c>
      <c r="E33" s="7" t="str">
        <f>"机械工业出版社"</f>
        <v>机械工业出版社</v>
      </c>
      <c r="F33" s="7" t="str">
        <f>"TM3/31"</f>
        <v>TM3/31</v>
      </c>
    </row>
    <row r="34" customHeight="1" spans="1:6">
      <c r="A34" s="6">
        <v>33</v>
      </c>
      <c r="B34" s="7" t="str">
        <f>"978-7-111-67607-2"</f>
        <v>978-7-111-67607-2</v>
      </c>
      <c r="C34" s="7" t="str">
        <f>"电机学"</f>
        <v>电机学</v>
      </c>
      <c r="D34" s="7" t="str">
        <f>"主编刘慧娟"</f>
        <v>主编刘慧娟</v>
      </c>
      <c r="E34" s="7" t="str">
        <f>"机械工业出版社"</f>
        <v>机械工业出版社</v>
      </c>
      <c r="F34" s="7" t="str">
        <f>"TM3/31"</f>
        <v>TM3/31</v>
      </c>
    </row>
    <row r="35" customHeight="1" spans="1:6">
      <c r="A35" s="6">
        <v>34</v>
      </c>
      <c r="B35" s="8" t="s">
        <v>12241</v>
      </c>
      <c r="C35" s="8" t="s">
        <v>12242</v>
      </c>
      <c r="D35" s="8" t="s">
        <v>12243</v>
      </c>
      <c r="E35" s="8" t="s">
        <v>256</v>
      </c>
      <c r="F35" s="8" t="s">
        <v>12244</v>
      </c>
    </row>
    <row r="36" customHeight="1" spans="1:6">
      <c r="A36" s="6">
        <v>35</v>
      </c>
      <c r="B36" s="8" t="s">
        <v>12241</v>
      </c>
      <c r="C36" s="8" t="s">
        <v>12242</v>
      </c>
      <c r="D36" s="8" t="s">
        <v>12243</v>
      </c>
      <c r="E36" s="8" t="s">
        <v>256</v>
      </c>
      <c r="F36" s="8" t="s">
        <v>12244</v>
      </c>
    </row>
    <row r="37" customHeight="1" spans="1:6">
      <c r="A37" s="6">
        <v>36</v>
      </c>
      <c r="B37" s="8" t="s">
        <v>12245</v>
      </c>
      <c r="C37" s="8" t="s">
        <v>12246</v>
      </c>
      <c r="D37" s="8" t="s">
        <v>12247</v>
      </c>
      <c r="E37" s="8" t="s">
        <v>3146</v>
      </c>
      <c r="F37" s="8" t="s">
        <v>12248</v>
      </c>
    </row>
    <row r="38" customHeight="1" spans="1:6">
      <c r="A38" s="6">
        <v>37</v>
      </c>
      <c r="B38" s="8" t="s">
        <v>12245</v>
      </c>
      <c r="C38" s="8" t="s">
        <v>12246</v>
      </c>
      <c r="D38" s="8" t="s">
        <v>12247</v>
      </c>
      <c r="E38" s="8" t="s">
        <v>3146</v>
      </c>
      <c r="F38" s="8" t="s">
        <v>12248</v>
      </c>
    </row>
    <row r="39" customHeight="1" spans="1:6">
      <c r="A39" s="6">
        <v>38</v>
      </c>
      <c r="B39" s="8" t="s">
        <v>12249</v>
      </c>
      <c r="C39" s="8" t="s">
        <v>12250</v>
      </c>
      <c r="D39" s="8" t="s">
        <v>12251</v>
      </c>
      <c r="E39" s="8" t="s">
        <v>3146</v>
      </c>
      <c r="F39" s="8" t="s">
        <v>12252</v>
      </c>
    </row>
    <row r="40" customHeight="1" spans="1:6">
      <c r="A40" s="6">
        <v>39</v>
      </c>
      <c r="B40" s="8" t="s">
        <v>12249</v>
      </c>
      <c r="C40" s="8" t="s">
        <v>12250</v>
      </c>
      <c r="D40" s="8" t="s">
        <v>12251</v>
      </c>
      <c r="E40" s="8" t="s">
        <v>3146</v>
      </c>
      <c r="F40" s="8" t="s">
        <v>12252</v>
      </c>
    </row>
    <row r="41" customHeight="1" spans="1:6">
      <c r="A41" s="6">
        <v>40</v>
      </c>
      <c r="B41" s="8" t="s">
        <v>12253</v>
      </c>
      <c r="C41" s="8" t="s">
        <v>12254</v>
      </c>
      <c r="D41" s="8" t="s">
        <v>12255</v>
      </c>
      <c r="E41" s="8" t="s">
        <v>3146</v>
      </c>
      <c r="F41" s="8" t="s">
        <v>12256</v>
      </c>
    </row>
    <row r="42" customHeight="1" spans="1:6">
      <c r="A42" s="6">
        <v>41</v>
      </c>
      <c r="B42" s="8" t="s">
        <v>12253</v>
      </c>
      <c r="C42" s="8" t="s">
        <v>12254</v>
      </c>
      <c r="D42" s="8" t="s">
        <v>12255</v>
      </c>
      <c r="E42" s="8" t="s">
        <v>3146</v>
      </c>
      <c r="F42" s="8" t="s">
        <v>12256</v>
      </c>
    </row>
    <row r="43" customHeight="1" spans="1:6">
      <c r="A43" s="6">
        <v>42</v>
      </c>
      <c r="B43" s="8" t="s">
        <v>12257</v>
      </c>
      <c r="C43" s="8" t="s">
        <v>12258</v>
      </c>
      <c r="D43" s="8" t="s">
        <v>12259</v>
      </c>
      <c r="E43" s="8" t="s">
        <v>4855</v>
      </c>
      <c r="F43" s="8" t="s">
        <v>12260</v>
      </c>
    </row>
    <row r="44" customHeight="1" spans="1:6">
      <c r="A44" s="6">
        <v>43</v>
      </c>
      <c r="B44" s="8" t="s">
        <v>12257</v>
      </c>
      <c r="C44" s="8" t="s">
        <v>12258</v>
      </c>
      <c r="D44" s="8" t="s">
        <v>12259</v>
      </c>
      <c r="E44" s="8" t="s">
        <v>4855</v>
      </c>
      <c r="F44" s="8" t="s">
        <v>12260</v>
      </c>
    </row>
    <row r="45" customHeight="1" spans="1:6">
      <c r="A45" s="6">
        <v>44</v>
      </c>
      <c r="B45" s="8" t="s">
        <v>12261</v>
      </c>
      <c r="C45" s="8" t="s">
        <v>12262</v>
      </c>
      <c r="D45" s="8" t="s">
        <v>12263</v>
      </c>
      <c r="E45" s="8" t="s">
        <v>4855</v>
      </c>
      <c r="F45" s="8" t="s">
        <v>12264</v>
      </c>
    </row>
    <row r="46" customHeight="1" spans="1:6">
      <c r="A46" s="6">
        <v>45</v>
      </c>
      <c r="B46" s="8" t="s">
        <v>12261</v>
      </c>
      <c r="C46" s="8" t="s">
        <v>12262</v>
      </c>
      <c r="D46" s="8" t="s">
        <v>12263</v>
      </c>
      <c r="E46" s="8" t="s">
        <v>4855</v>
      </c>
      <c r="F46" s="8" t="s">
        <v>12264</v>
      </c>
    </row>
    <row r="47" customHeight="1" spans="1:6">
      <c r="A47" s="6">
        <v>46</v>
      </c>
      <c r="B47" s="8" t="s">
        <v>12265</v>
      </c>
      <c r="C47" s="8" t="s">
        <v>12266</v>
      </c>
      <c r="D47" s="8" t="s">
        <v>12267</v>
      </c>
      <c r="E47" s="8" t="s">
        <v>256</v>
      </c>
      <c r="F47" s="8" t="s">
        <v>12268</v>
      </c>
    </row>
    <row r="48" customHeight="1" spans="1:6">
      <c r="A48" s="6">
        <v>47</v>
      </c>
      <c r="B48" s="8" t="s">
        <v>12265</v>
      </c>
      <c r="C48" s="8" t="s">
        <v>12266</v>
      </c>
      <c r="D48" s="8" t="s">
        <v>12267</v>
      </c>
      <c r="E48" s="8" t="s">
        <v>256</v>
      </c>
      <c r="F48" s="8" t="s">
        <v>12268</v>
      </c>
    </row>
    <row r="49" customHeight="1" spans="1:6">
      <c r="A49" s="6">
        <v>48</v>
      </c>
      <c r="B49" s="8" t="s">
        <v>12269</v>
      </c>
      <c r="C49" s="8" t="s">
        <v>12270</v>
      </c>
      <c r="D49" s="8" t="s">
        <v>12271</v>
      </c>
      <c r="E49" s="8" t="s">
        <v>197</v>
      </c>
      <c r="F49" s="8" t="s">
        <v>12272</v>
      </c>
    </row>
    <row r="50" customHeight="1" spans="1:6">
      <c r="A50" s="6">
        <v>49</v>
      </c>
      <c r="B50" s="8" t="s">
        <v>12269</v>
      </c>
      <c r="C50" s="8" t="s">
        <v>12270</v>
      </c>
      <c r="D50" s="8" t="s">
        <v>12271</v>
      </c>
      <c r="E50" s="8" t="s">
        <v>197</v>
      </c>
      <c r="F50" s="8" t="s">
        <v>12272</v>
      </c>
    </row>
    <row r="51" customHeight="1" spans="1:6">
      <c r="A51" s="6">
        <v>50</v>
      </c>
      <c r="B51" s="8" t="s">
        <v>12273</v>
      </c>
      <c r="C51" s="8" t="s">
        <v>12274</v>
      </c>
      <c r="D51" s="8" t="s">
        <v>12275</v>
      </c>
      <c r="E51" s="8" t="s">
        <v>8825</v>
      </c>
      <c r="F51" s="8" t="s">
        <v>12276</v>
      </c>
    </row>
    <row r="52" customHeight="1" spans="1:6">
      <c r="A52" s="6">
        <v>51</v>
      </c>
      <c r="B52" s="8" t="s">
        <v>12273</v>
      </c>
      <c r="C52" s="8" t="s">
        <v>12274</v>
      </c>
      <c r="D52" s="8" t="s">
        <v>12275</v>
      </c>
      <c r="E52" s="8" t="s">
        <v>8825</v>
      </c>
      <c r="F52" s="8" t="s">
        <v>12276</v>
      </c>
    </row>
    <row r="53" customHeight="1" spans="1:6">
      <c r="A53" s="6">
        <v>52</v>
      </c>
      <c r="B53" s="8" t="s">
        <v>12277</v>
      </c>
      <c r="C53" s="8" t="s">
        <v>12278</v>
      </c>
      <c r="D53" s="8" t="s">
        <v>12235</v>
      </c>
      <c r="E53" s="8" t="s">
        <v>256</v>
      </c>
      <c r="F53" s="8" t="s">
        <v>12279</v>
      </c>
    </row>
    <row r="54" customHeight="1" spans="1:6">
      <c r="A54" s="6">
        <v>53</v>
      </c>
      <c r="B54" s="8" t="s">
        <v>12277</v>
      </c>
      <c r="C54" s="8" t="s">
        <v>12278</v>
      </c>
      <c r="D54" s="8" t="s">
        <v>12235</v>
      </c>
      <c r="E54" s="8" t="s">
        <v>256</v>
      </c>
      <c r="F54" s="8" t="s">
        <v>12279</v>
      </c>
    </row>
    <row r="55" customHeight="1" spans="1:6">
      <c r="A55" s="6">
        <v>54</v>
      </c>
      <c r="B55" s="8" t="s">
        <v>12280</v>
      </c>
      <c r="C55" s="8" t="s">
        <v>12281</v>
      </c>
      <c r="D55" s="8" t="s">
        <v>12282</v>
      </c>
      <c r="E55" s="8" t="s">
        <v>8825</v>
      </c>
      <c r="F55" s="8" t="s">
        <v>12283</v>
      </c>
    </row>
    <row r="56" customHeight="1" spans="1:6">
      <c r="A56" s="6">
        <v>55</v>
      </c>
      <c r="B56" s="8" t="s">
        <v>12280</v>
      </c>
      <c r="C56" s="8" t="s">
        <v>12281</v>
      </c>
      <c r="D56" s="8" t="s">
        <v>12282</v>
      </c>
      <c r="E56" s="8" t="s">
        <v>8825</v>
      </c>
      <c r="F56" s="8" t="s">
        <v>12283</v>
      </c>
    </row>
    <row r="57" customHeight="1" spans="1:6">
      <c r="A57" s="6">
        <v>56</v>
      </c>
      <c r="B57" s="8" t="s">
        <v>12284</v>
      </c>
      <c r="C57" s="8" t="s">
        <v>12285</v>
      </c>
      <c r="D57" s="8" t="s">
        <v>12286</v>
      </c>
      <c r="E57" s="8" t="s">
        <v>3146</v>
      </c>
      <c r="F57" s="8" t="s">
        <v>12287</v>
      </c>
    </row>
    <row r="58" customHeight="1" spans="1:6">
      <c r="A58" s="6">
        <v>57</v>
      </c>
      <c r="B58" s="8" t="s">
        <v>12284</v>
      </c>
      <c r="C58" s="8" t="s">
        <v>12285</v>
      </c>
      <c r="D58" s="8" t="s">
        <v>12286</v>
      </c>
      <c r="E58" s="8" t="s">
        <v>3146</v>
      </c>
      <c r="F58" s="8" t="s">
        <v>12287</v>
      </c>
    </row>
    <row r="59" customHeight="1" spans="1:6">
      <c r="A59" s="6">
        <v>58</v>
      </c>
      <c r="B59" s="8" t="s">
        <v>12288</v>
      </c>
      <c r="C59" s="8" t="s">
        <v>12289</v>
      </c>
      <c r="D59" s="8" t="s">
        <v>12290</v>
      </c>
      <c r="E59" s="8" t="s">
        <v>4855</v>
      </c>
      <c r="F59" s="8" t="s">
        <v>12291</v>
      </c>
    </row>
    <row r="60" customHeight="1" spans="1:6">
      <c r="A60" s="6">
        <v>59</v>
      </c>
      <c r="B60" s="8" t="s">
        <v>12288</v>
      </c>
      <c r="C60" s="8" t="s">
        <v>12289</v>
      </c>
      <c r="D60" s="8" t="s">
        <v>12290</v>
      </c>
      <c r="E60" s="8" t="s">
        <v>4855</v>
      </c>
      <c r="F60" s="8" t="s">
        <v>12291</v>
      </c>
    </row>
    <row r="61" customHeight="1" spans="1:6">
      <c r="A61" s="6">
        <v>60</v>
      </c>
      <c r="B61" s="8" t="s">
        <v>12292</v>
      </c>
      <c r="C61" s="8" t="s">
        <v>12293</v>
      </c>
      <c r="D61" s="8" t="s">
        <v>12294</v>
      </c>
      <c r="E61" s="8" t="s">
        <v>8825</v>
      </c>
      <c r="F61" s="8" t="s">
        <v>12295</v>
      </c>
    </row>
    <row r="62" customHeight="1" spans="1:6">
      <c r="A62" s="6">
        <v>61</v>
      </c>
      <c r="B62" s="8" t="s">
        <v>12292</v>
      </c>
      <c r="C62" s="8" t="s">
        <v>12293</v>
      </c>
      <c r="D62" s="8" t="s">
        <v>12294</v>
      </c>
      <c r="E62" s="8" t="s">
        <v>8825</v>
      </c>
      <c r="F62" s="8" t="s">
        <v>12295</v>
      </c>
    </row>
    <row r="63" customHeight="1" spans="1:6">
      <c r="A63" s="6">
        <v>62</v>
      </c>
      <c r="B63" s="8" t="s">
        <v>12296</v>
      </c>
      <c r="C63" s="8" t="s">
        <v>12297</v>
      </c>
      <c r="D63" s="8" t="s">
        <v>12267</v>
      </c>
      <c r="E63" s="8" t="s">
        <v>256</v>
      </c>
      <c r="F63" s="8" t="s">
        <v>12298</v>
      </c>
    </row>
    <row r="64" customHeight="1" spans="1:6">
      <c r="A64" s="6">
        <v>63</v>
      </c>
      <c r="B64" s="8" t="s">
        <v>12296</v>
      </c>
      <c r="C64" s="8" t="s">
        <v>12297</v>
      </c>
      <c r="D64" s="8" t="s">
        <v>12267</v>
      </c>
      <c r="E64" s="8" t="s">
        <v>256</v>
      </c>
      <c r="F64" s="8" t="s">
        <v>12298</v>
      </c>
    </row>
    <row r="65" customHeight="1" spans="1:6">
      <c r="A65" s="6">
        <v>64</v>
      </c>
      <c r="B65" s="8" t="s">
        <v>12299</v>
      </c>
      <c r="C65" s="8" t="s">
        <v>12300</v>
      </c>
      <c r="D65" s="8" t="s">
        <v>12301</v>
      </c>
      <c r="E65" s="8" t="s">
        <v>256</v>
      </c>
      <c r="F65" s="8" t="s">
        <v>12302</v>
      </c>
    </row>
    <row r="66" customHeight="1" spans="1:6">
      <c r="A66" s="6">
        <v>65</v>
      </c>
      <c r="B66" s="8" t="s">
        <v>12299</v>
      </c>
      <c r="C66" s="8" t="s">
        <v>12300</v>
      </c>
      <c r="D66" s="8" t="s">
        <v>12301</v>
      </c>
      <c r="E66" s="8" t="s">
        <v>256</v>
      </c>
      <c r="F66" s="8" t="s">
        <v>12302</v>
      </c>
    </row>
    <row r="67" customHeight="1" spans="1:6">
      <c r="A67" s="6">
        <v>66</v>
      </c>
      <c r="B67" s="8" t="s">
        <v>12303</v>
      </c>
      <c r="C67" s="8" t="s">
        <v>12304</v>
      </c>
      <c r="D67" s="13"/>
      <c r="E67" s="8" t="s">
        <v>4855</v>
      </c>
      <c r="F67" s="8" t="s">
        <v>12305</v>
      </c>
    </row>
    <row r="68" customHeight="1" spans="1:6">
      <c r="A68" s="6">
        <v>67</v>
      </c>
      <c r="B68" s="8" t="s">
        <v>12303</v>
      </c>
      <c r="C68" s="8" t="s">
        <v>12304</v>
      </c>
      <c r="D68" s="13"/>
      <c r="E68" s="8" t="s">
        <v>4855</v>
      </c>
      <c r="F68" s="8" t="s">
        <v>12305</v>
      </c>
    </row>
    <row r="69" customHeight="1" spans="1:6">
      <c r="A69" s="6">
        <v>68</v>
      </c>
      <c r="B69" s="8" t="s">
        <v>12306</v>
      </c>
      <c r="C69" s="8" t="s">
        <v>12307</v>
      </c>
      <c r="D69" s="8" t="s">
        <v>12308</v>
      </c>
      <c r="E69" s="8" t="s">
        <v>4855</v>
      </c>
      <c r="F69" s="8" t="s">
        <v>12309</v>
      </c>
    </row>
    <row r="70" customHeight="1" spans="1:6">
      <c r="A70" s="6">
        <v>69</v>
      </c>
      <c r="B70" s="8" t="s">
        <v>12306</v>
      </c>
      <c r="C70" s="8" t="s">
        <v>12307</v>
      </c>
      <c r="D70" s="8" t="s">
        <v>12308</v>
      </c>
      <c r="E70" s="8" t="s">
        <v>4855</v>
      </c>
      <c r="F70" s="8" t="s">
        <v>12309</v>
      </c>
    </row>
    <row r="71" customHeight="1" spans="1:6">
      <c r="A71" s="6">
        <v>70</v>
      </c>
      <c r="B71" s="8" t="s">
        <v>12310</v>
      </c>
      <c r="C71" s="8" t="s">
        <v>12311</v>
      </c>
      <c r="D71" s="8" t="s">
        <v>12312</v>
      </c>
      <c r="E71" s="8" t="s">
        <v>12313</v>
      </c>
      <c r="F71" s="8" t="s">
        <v>12314</v>
      </c>
    </row>
    <row r="72" customHeight="1" spans="1:6">
      <c r="A72" s="6">
        <v>71</v>
      </c>
      <c r="B72" s="8" t="s">
        <v>12310</v>
      </c>
      <c r="C72" s="8" t="s">
        <v>12311</v>
      </c>
      <c r="D72" s="8" t="s">
        <v>12312</v>
      </c>
      <c r="E72" s="8" t="s">
        <v>12313</v>
      </c>
      <c r="F72" s="8" t="s">
        <v>12314</v>
      </c>
    </row>
    <row r="73" customHeight="1" spans="1:6">
      <c r="A73" s="6">
        <v>72</v>
      </c>
      <c r="B73" s="8" t="s">
        <v>12315</v>
      </c>
      <c r="C73" s="8" t="s">
        <v>12316</v>
      </c>
      <c r="D73" s="8" t="s">
        <v>12317</v>
      </c>
      <c r="E73" s="8" t="s">
        <v>288</v>
      </c>
      <c r="F73" s="8" t="s">
        <v>12318</v>
      </c>
    </row>
    <row r="74" customHeight="1" spans="1:6">
      <c r="A74" s="6">
        <v>73</v>
      </c>
      <c r="B74" s="8" t="s">
        <v>12315</v>
      </c>
      <c r="C74" s="8" t="s">
        <v>12316</v>
      </c>
      <c r="D74" s="8" t="s">
        <v>12317</v>
      </c>
      <c r="E74" s="8" t="s">
        <v>288</v>
      </c>
      <c r="F74" s="8" t="s">
        <v>12318</v>
      </c>
    </row>
    <row r="75" customHeight="1" spans="1:6">
      <c r="A75" s="6">
        <v>74</v>
      </c>
      <c r="B75" s="8" t="s">
        <v>12319</v>
      </c>
      <c r="C75" s="8" t="s">
        <v>12316</v>
      </c>
      <c r="D75" s="8" t="s">
        <v>12320</v>
      </c>
      <c r="E75" s="8" t="s">
        <v>4855</v>
      </c>
      <c r="F75" s="8" t="s">
        <v>12321</v>
      </c>
    </row>
    <row r="76" customHeight="1" spans="1:6">
      <c r="A76" s="6">
        <v>75</v>
      </c>
      <c r="B76" s="8" t="s">
        <v>12319</v>
      </c>
      <c r="C76" s="8" t="s">
        <v>12316</v>
      </c>
      <c r="D76" s="8" t="s">
        <v>12320</v>
      </c>
      <c r="E76" s="8" t="s">
        <v>4855</v>
      </c>
      <c r="F76" s="8" t="s">
        <v>12321</v>
      </c>
    </row>
    <row r="77" customHeight="1" spans="1:6">
      <c r="A77" s="6">
        <v>76</v>
      </c>
      <c r="B77" s="8" t="s">
        <v>12322</v>
      </c>
      <c r="C77" s="8" t="s">
        <v>12323</v>
      </c>
      <c r="D77" s="8" t="s">
        <v>12324</v>
      </c>
      <c r="E77" s="8" t="s">
        <v>288</v>
      </c>
      <c r="F77" s="8" t="s">
        <v>12325</v>
      </c>
    </row>
    <row r="78" customHeight="1" spans="1:6">
      <c r="A78" s="6">
        <v>77</v>
      </c>
      <c r="B78" s="8" t="s">
        <v>12322</v>
      </c>
      <c r="C78" s="8" t="s">
        <v>12323</v>
      </c>
      <c r="D78" s="8" t="s">
        <v>12324</v>
      </c>
      <c r="E78" s="8" t="s">
        <v>288</v>
      </c>
      <c r="F78" s="8" t="s">
        <v>12325</v>
      </c>
    </row>
    <row r="79" customHeight="1" spans="1:6">
      <c r="A79" s="6">
        <v>78</v>
      </c>
      <c r="B79" s="8" t="s">
        <v>12326</v>
      </c>
      <c r="C79" s="8" t="s">
        <v>12327</v>
      </c>
      <c r="D79" s="8" t="s">
        <v>12328</v>
      </c>
      <c r="E79" s="8" t="s">
        <v>3146</v>
      </c>
      <c r="F79" s="8" t="s">
        <v>12329</v>
      </c>
    </row>
    <row r="80" customHeight="1" spans="1:6">
      <c r="A80" s="6">
        <v>79</v>
      </c>
      <c r="B80" s="8" t="s">
        <v>12326</v>
      </c>
      <c r="C80" s="8" t="s">
        <v>12327</v>
      </c>
      <c r="D80" s="8" t="s">
        <v>12328</v>
      </c>
      <c r="E80" s="8" t="s">
        <v>3146</v>
      </c>
      <c r="F80" s="8" t="s">
        <v>12329</v>
      </c>
    </row>
    <row r="81" customHeight="1" spans="1:6">
      <c r="A81" s="6">
        <v>80</v>
      </c>
      <c r="B81" s="8" t="s">
        <v>12330</v>
      </c>
      <c r="C81" s="8" t="s">
        <v>12331</v>
      </c>
      <c r="D81" s="8" t="s">
        <v>12332</v>
      </c>
      <c r="E81" s="8" t="s">
        <v>4855</v>
      </c>
      <c r="F81" s="8" t="s">
        <v>12333</v>
      </c>
    </row>
    <row r="82" customHeight="1" spans="1:6">
      <c r="A82" s="6">
        <v>81</v>
      </c>
      <c r="B82" s="8" t="s">
        <v>12330</v>
      </c>
      <c r="C82" s="8" t="s">
        <v>12331</v>
      </c>
      <c r="D82" s="8" t="s">
        <v>12332</v>
      </c>
      <c r="E82" s="8" t="s">
        <v>4855</v>
      </c>
      <c r="F82" s="8" t="s">
        <v>12333</v>
      </c>
    </row>
    <row r="83" customHeight="1" spans="1:6">
      <c r="A83" s="6">
        <v>82</v>
      </c>
      <c r="B83" s="8" t="s">
        <v>12334</v>
      </c>
      <c r="C83" s="8" t="s">
        <v>12335</v>
      </c>
      <c r="D83" s="13"/>
      <c r="E83" s="8" t="s">
        <v>4855</v>
      </c>
      <c r="F83" s="8" t="s">
        <v>12336</v>
      </c>
    </row>
    <row r="84" customHeight="1" spans="1:6">
      <c r="A84" s="6">
        <v>83</v>
      </c>
      <c r="B84" s="8" t="s">
        <v>12334</v>
      </c>
      <c r="C84" s="8" t="s">
        <v>12335</v>
      </c>
      <c r="D84" s="13"/>
      <c r="E84" s="8" t="s">
        <v>4855</v>
      </c>
      <c r="F84" s="8" t="s">
        <v>12336</v>
      </c>
    </row>
    <row r="85" customHeight="1" spans="1:6">
      <c r="A85" s="6">
        <v>84</v>
      </c>
      <c r="B85" s="8" t="s">
        <v>12337</v>
      </c>
      <c r="C85" s="8" t="s">
        <v>12338</v>
      </c>
      <c r="D85" s="8" t="s">
        <v>12339</v>
      </c>
      <c r="E85" s="8" t="s">
        <v>4855</v>
      </c>
      <c r="F85" s="8" t="s">
        <v>12340</v>
      </c>
    </row>
    <row r="86" customHeight="1" spans="1:6">
      <c r="A86" s="6">
        <v>85</v>
      </c>
      <c r="B86" s="8" t="s">
        <v>12337</v>
      </c>
      <c r="C86" s="8" t="s">
        <v>12338</v>
      </c>
      <c r="D86" s="8" t="s">
        <v>12339</v>
      </c>
      <c r="E86" s="8" t="s">
        <v>4855</v>
      </c>
      <c r="F86" s="8" t="s">
        <v>12340</v>
      </c>
    </row>
    <row r="87" customHeight="1" spans="1:6">
      <c r="A87" s="6">
        <v>86</v>
      </c>
      <c r="B87" s="8" t="s">
        <v>12341</v>
      </c>
      <c r="C87" s="8" t="s">
        <v>12342</v>
      </c>
      <c r="D87" s="8" t="s">
        <v>12343</v>
      </c>
      <c r="E87" s="8" t="s">
        <v>4855</v>
      </c>
      <c r="F87" s="8" t="s">
        <v>12344</v>
      </c>
    </row>
    <row r="88" customHeight="1" spans="1:6">
      <c r="A88" s="6">
        <v>87</v>
      </c>
      <c r="B88" s="8" t="s">
        <v>12341</v>
      </c>
      <c r="C88" s="8" t="s">
        <v>12342</v>
      </c>
      <c r="D88" s="8" t="s">
        <v>12343</v>
      </c>
      <c r="E88" s="8" t="s">
        <v>4855</v>
      </c>
      <c r="F88" s="8" t="s">
        <v>12344</v>
      </c>
    </row>
    <row r="89" customHeight="1" spans="1:6">
      <c r="A89" s="6">
        <v>88</v>
      </c>
      <c r="B89" s="8" t="s">
        <v>12345</v>
      </c>
      <c r="C89" s="8" t="s">
        <v>12346</v>
      </c>
      <c r="D89" s="8" t="s">
        <v>12347</v>
      </c>
      <c r="E89" s="8" t="s">
        <v>8825</v>
      </c>
      <c r="F89" s="8" t="s">
        <v>12348</v>
      </c>
    </row>
    <row r="90" customHeight="1" spans="1:6">
      <c r="A90" s="6">
        <v>89</v>
      </c>
      <c r="B90" s="8" t="s">
        <v>12345</v>
      </c>
      <c r="C90" s="8" t="s">
        <v>12346</v>
      </c>
      <c r="D90" s="8" t="s">
        <v>12347</v>
      </c>
      <c r="E90" s="8" t="s">
        <v>8825</v>
      </c>
      <c r="F90" s="8" t="s">
        <v>12348</v>
      </c>
    </row>
    <row r="91" customHeight="1" spans="1:6">
      <c r="A91" s="6">
        <v>90</v>
      </c>
      <c r="B91" s="8" t="s">
        <v>12349</v>
      </c>
      <c r="C91" s="8" t="s">
        <v>12350</v>
      </c>
      <c r="D91" s="8" t="s">
        <v>12351</v>
      </c>
      <c r="E91" s="8" t="s">
        <v>4855</v>
      </c>
      <c r="F91" s="8" t="s">
        <v>12352</v>
      </c>
    </row>
    <row r="92" customHeight="1" spans="1:6">
      <c r="A92" s="6">
        <v>91</v>
      </c>
      <c r="B92" s="8" t="s">
        <v>12349</v>
      </c>
      <c r="C92" s="8" t="s">
        <v>12350</v>
      </c>
      <c r="D92" s="8" t="s">
        <v>12351</v>
      </c>
      <c r="E92" s="8" t="s">
        <v>4855</v>
      </c>
      <c r="F92" s="8" t="s">
        <v>12352</v>
      </c>
    </row>
    <row r="93" customHeight="1" spans="1:6">
      <c r="A93" s="6">
        <v>92</v>
      </c>
      <c r="B93" s="7" t="str">
        <f>"978-7-121-36577-5"</f>
        <v>978-7-121-36577-5</v>
      </c>
      <c r="C93" s="7" t="str">
        <f>"思科网络实验室路由、交换实验指南"</f>
        <v>思科网络实验室路由、交换实验指南</v>
      </c>
      <c r="D93" s="7" t="str">
        <f>"梁广民， 王隆杰， 徐磊编著"</f>
        <v>梁广民， 王隆杰， 徐磊编著</v>
      </c>
      <c r="E93" s="7" t="str">
        <f t="shared" ref="E93:E96" si="0">"电子工业出版社"</f>
        <v>电子工业出版社</v>
      </c>
      <c r="F93" s="7" t="str">
        <f>"TN393-33/1=3D"</f>
        <v>TN393-33/1=3D</v>
      </c>
    </row>
    <row r="94" customHeight="1" spans="1:6">
      <c r="A94" s="6">
        <v>93</v>
      </c>
      <c r="B94" s="7" t="str">
        <f>"978-7-121-36577-5"</f>
        <v>978-7-121-36577-5</v>
      </c>
      <c r="C94" s="7" t="str">
        <f>"思科网络实验室路由、交换实验指南"</f>
        <v>思科网络实验室路由、交换实验指南</v>
      </c>
      <c r="D94" s="7" t="str">
        <f>"梁广民， 王隆杰， 徐磊编著"</f>
        <v>梁广民， 王隆杰， 徐磊编著</v>
      </c>
      <c r="E94" s="7" t="str">
        <f t="shared" si="0"/>
        <v>电子工业出版社</v>
      </c>
      <c r="F94" s="7" t="str">
        <f>"TN393-33/1=3D"</f>
        <v>TN393-33/1=3D</v>
      </c>
    </row>
    <row r="95" customHeight="1" spans="1:6">
      <c r="A95" s="6">
        <v>94</v>
      </c>
      <c r="B95" s="7" t="str">
        <f>"978-7-121-41789-4"</f>
        <v>978-7-121-41789-4</v>
      </c>
      <c r="C95" s="7" t="str">
        <f>"射频电路设计：理论与应用：theory and applications"</f>
        <v>射频电路设计：理论与应用：theory and applications</v>
      </c>
      <c r="D95" s="7" t="str">
        <f>"(美) Reinhold Ludwig， Gene Bogdanov著；王子宇， 王心悦等译"</f>
        <v>(美) Reinhold Ludwig， Gene Bogdanov著；王子宇， 王心悦等译</v>
      </c>
      <c r="E95" s="7" t="str">
        <f t="shared" si="0"/>
        <v>电子工业出版社</v>
      </c>
      <c r="F95" s="7" t="str">
        <f>"TN710.02/22=2D"</f>
        <v>TN710.02/22=2D</v>
      </c>
    </row>
    <row r="96" customHeight="1" spans="1:6">
      <c r="A96" s="6">
        <v>95</v>
      </c>
      <c r="B96" s="7" t="str">
        <f>"978-7-121-41789-4"</f>
        <v>978-7-121-41789-4</v>
      </c>
      <c r="C96" s="7" t="str">
        <f>"射频电路设计：理论与应用：theory and applications"</f>
        <v>射频电路设计：理论与应用：theory and applications</v>
      </c>
      <c r="D96" s="7" t="str">
        <f>"(美) Reinhold Ludwig， Gene Bogdanov著；王子宇， 王心悦等译"</f>
        <v>(美) Reinhold Ludwig， Gene Bogdanov著；王子宇， 王心悦等译</v>
      </c>
      <c r="E96" s="7" t="str">
        <f t="shared" si="0"/>
        <v>电子工业出版社</v>
      </c>
      <c r="F96" s="7" t="str">
        <f>"TN710.02/22=2D"</f>
        <v>TN710.02/22=2D</v>
      </c>
    </row>
    <row r="97" customHeight="1" spans="1:6">
      <c r="A97" s="6">
        <v>96</v>
      </c>
      <c r="B97" s="8" t="s">
        <v>12353</v>
      </c>
      <c r="C97" s="8" t="s">
        <v>12354</v>
      </c>
      <c r="D97" s="8" t="s">
        <v>12355</v>
      </c>
      <c r="E97" s="8" t="s">
        <v>288</v>
      </c>
      <c r="F97" s="8" t="s">
        <v>12356</v>
      </c>
    </row>
    <row r="98" customHeight="1" spans="1:6">
      <c r="A98" s="6">
        <v>97</v>
      </c>
      <c r="B98" s="8" t="s">
        <v>12353</v>
      </c>
      <c r="C98" s="8" t="s">
        <v>12354</v>
      </c>
      <c r="D98" s="8" t="s">
        <v>12355</v>
      </c>
      <c r="E98" s="8" t="s">
        <v>288</v>
      </c>
      <c r="F98" s="8" t="s">
        <v>12356</v>
      </c>
    </row>
    <row r="99" customHeight="1" spans="1:6">
      <c r="A99" s="6">
        <v>98</v>
      </c>
      <c r="B99" s="8" t="s">
        <v>12357</v>
      </c>
      <c r="C99" s="8" t="s">
        <v>12358</v>
      </c>
      <c r="D99" s="8" t="s">
        <v>12359</v>
      </c>
      <c r="E99" s="8" t="s">
        <v>3180</v>
      </c>
      <c r="F99" s="8" t="s">
        <v>12360</v>
      </c>
    </row>
    <row r="100" customHeight="1" spans="1:6">
      <c r="A100" s="6">
        <v>99</v>
      </c>
      <c r="B100" s="8" t="s">
        <v>12357</v>
      </c>
      <c r="C100" s="8" t="s">
        <v>12358</v>
      </c>
      <c r="D100" s="8" t="s">
        <v>12359</v>
      </c>
      <c r="E100" s="8" t="s">
        <v>3180</v>
      </c>
      <c r="F100" s="8" t="s">
        <v>12360</v>
      </c>
    </row>
    <row r="101" customHeight="1" spans="1:6">
      <c r="A101" s="6">
        <v>100</v>
      </c>
      <c r="B101" s="8" t="s">
        <v>12357</v>
      </c>
      <c r="C101" s="8" t="s">
        <v>12358</v>
      </c>
      <c r="D101" s="8" t="s">
        <v>12359</v>
      </c>
      <c r="E101" s="8" t="s">
        <v>3180</v>
      </c>
      <c r="F101" s="8" t="s">
        <v>12360</v>
      </c>
    </row>
    <row r="102" customHeight="1" spans="1:6">
      <c r="A102" s="6">
        <v>101</v>
      </c>
      <c r="B102" s="8" t="s">
        <v>12361</v>
      </c>
      <c r="C102" s="8" t="s">
        <v>12362</v>
      </c>
      <c r="D102" s="8" t="s">
        <v>12363</v>
      </c>
      <c r="E102" s="8" t="s">
        <v>375</v>
      </c>
      <c r="F102" s="8" t="s">
        <v>12364</v>
      </c>
    </row>
    <row r="103" customHeight="1" spans="1:6">
      <c r="A103" s="6">
        <v>102</v>
      </c>
      <c r="B103" s="8" t="s">
        <v>12361</v>
      </c>
      <c r="C103" s="8" t="s">
        <v>12362</v>
      </c>
      <c r="D103" s="8" t="s">
        <v>12363</v>
      </c>
      <c r="E103" s="8" t="s">
        <v>375</v>
      </c>
      <c r="F103" s="8" t="s">
        <v>12364</v>
      </c>
    </row>
    <row r="104" customHeight="1" spans="1:6">
      <c r="A104" s="6">
        <v>103</v>
      </c>
      <c r="B104" s="8" t="s">
        <v>12365</v>
      </c>
      <c r="C104" s="8" t="s">
        <v>12366</v>
      </c>
      <c r="D104" s="8" t="s">
        <v>12367</v>
      </c>
      <c r="E104" s="8" t="s">
        <v>1734</v>
      </c>
      <c r="F104" s="8" t="s">
        <v>12368</v>
      </c>
    </row>
    <row r="105" customHeight="1" spans="1:6">
      <c r="A105" s="6">
        <v>104</v>
      </c>
      <c r="B105" s="8" t="s">
        <v>12365</v>
      </c>
      <c r="C105" s="8" t="s">
        <v>12366</v>
      </c>
      <c r="D105" s="8" t="s">
        <v>12367</v>
      </c>
      <c r="E105" s="8" t="s">
        <v>1734</v>
      </c>
      <c r="F105" s="8" t="s">
        <v>12368</v>
      </c>
    </row>
    <row r="106" customHeight="1" spans="1:6">
      <c r="A106" s="6">
        <v>105</v>
      </c>
      <c r="B106" s="8" t="s">
        <v>12369</v>
      </c>
      <c r="C106" s="8" t="s">
        <v>12370</v>
      </c>
      <c r="D106" s="8" t="s">
        <v>12371</v>
      </c>
      <c r="E106" s="8" t="s">
        <v>1189</v>
      </c>
      <c r="F106" s="8" t="s">
        <v>12372</v>
      </c>
    </row>
    <row r="107" customHeight="1" spans="1:6">
      <c r="A107" s="6">
        <v>106</v>
      </c>
      <c r="B107" s="8" t="s">
        <v>12369</v>
      </c>
      <c r="C107" s="8" t="s">
        <v>12370</v>
      </c>
      <c r="D107" s="8" t="s">
        <v>12371</v>
      </c>
      <c r="E107" s="8" t="s">
        <v>1189</v>
      </c>
      <c r="F107" s="8" t="s">
        <v>12372</v>
      </c>
    </row>
    <row r="108" customHeight="1" spans="1:6">
      <c r="A108" s="6">
        <v>107</v>
      </c>
      <c r="B108" s="8" t="s">
        <v>12373</v>
      </c>
      <c r="C108" s="8" t="s">
        <v>12374</v>
      </c>
      <c r="D108" s="8" t="s">
        <v>12375</v>
      </c>
      <c r="E108" s="8" t="s">
        <v>288</v>
      </c>
      <c r="F108" s="8" t="s">
        <v>12376</v>
      </c>
    </row>
    <row r="109" customHeight="1" spans="1:6">
      <c r="A109" s="6">
        <v>108</v>
      </c>
      <c r="B109" s="8" t="s">
        <v>12373</v>
      </c>
      <c r="C109" s="8" t="s">
        <v>12374</v>
      </c>
      <c r="D109" s="8" t="s">
        <v>12375</v>
      </c>
      <c r="E109" s="8" t="s">
        <v>288</v>
      </c>
      <c r="F109" s="8" t="s">
        <v>12376</v>
      </c>
    </row>
    <row r="110" customHeight="1" spans="1:6">
      <c r="A110" s="6">
        <v>109</v>
      </c>
      <c r="B110" s="8" t="s">
        <v>12377</v>
      </c>
      <c r="C110" s="8" t="s">
        <v>12378</v>
      </c>
      <c r="D110" s="8" t="s">
        <v>12379</v>
      </c>
      <c r="E110" s="8" t="s">
        <v>3146</v>
      </c>
      <c r="F110" s="8" t="s">
        <v>12380</v>
      </c>
    </row>
    <row r="111" customHeight="1" spans="1:6">
      <c r="A111" s="6">
        <v>110</v>
      </c>
      <c r="B111" s="8" t="s">
        <v>12377</v>
      </c>
      <c r="C111" s="8" t="s">
        <v>12378</v>
      </c>
      <c r="D111" s="8" t="s">
        <v>12379</v>
      </c>
      <c r="E111" s="8" t="s">
        <v>3146</v>
      </c>
      <c r="F111" s="8" t="s">
        <v>12380</v>
      </c>
    </row>
    <row r="112" customHeight="1" spans="1:6">
      <c r="A112" s="6">
        <v>111</v>
      </c>
      <c r="B112" s="8" t="s">
        <v>12381</v>
      </c>
      <c r="C112" s="8" t="s">
        <v>12382</v>
      </c>
      <c r="D112" s="8" t="s">
        <v>12383</v>
      </c>
      <c r="E112" s="8" t="s">
        <v>8825</v>
      </c>
      <c r="F112" s="8" t="s">
        <v>12384</v>
      </c>
    </row>
    <row r="113" customHeight="1" spans="1:6">
      <c r="A113" s="6">
        <v>112</v>
      </c>
      <c r="B113" s="8" t="s">
        <v>12381</v>
      </c>
      <c r="C113" s="8" t="s">
        <v>12382</v>
      </c>
      <c r="D113" s="8" t="s">
        <v>12383</v>
      </c>
      <c r="E113" s="8" t="s">
        <v>8825</v>
      </c>
      <c r="F113" s="8" t="s">
        <v>12384</v>
      </c>
    </row>
    <row r="114" customHeight="1" spans="1:6">
      <c r="A114" s="6">
        <v>113</v>
      </c>
      <c r="B114" s="8" t="s">
        <v>12385</v>
      </c>
      <c r="C114" s="8" t="s">
        <v>12386</v>
      </c>
      <c r="D114" s="8" t="s">
        <v>12387</v>
      </c>
      <c r="E114" s="8" t="s">
        <v>3996</v>
      </c>
      <c r="F114" s="8" t="s">
        <v>12388</v>
      </c>
    </row>
    <row r="115" customHeight="1" spans="1:6">
      <c r="A115" s="6">
        <v>114</v>
      </c>
      <c r="B115" s="8" t="s">
        <v>12385</v>
      </c>
      <c r="C115" s="8" t="s">
        <v>12386</v>
      </c>
      <c r="D115" s="8" t="s">
        <v>12387</v>
      </c>
      <c r="E115" s="8" t="s">
        <v>3996</v>
      </c>
      <c r="F115" s="8" t="s">
        <v>12388</v>
      </c>
    </row>
    <row r="116" customHeight="1" spans="1:6">
      <c r="A116" s="6">
        <v>115</v>
      </c>
      <c r="B116" s="8" t="s">
        <v>12389</v>
      </c>
      <c r="C116" s="8" t="s">
        <v>12390</v>
      </c>
      <c r="D116" s="8" t="s">
        <v>12391</v>
      </c>
      <c r="E116" s="8" t="s">
        <v>256</v>
      </c>
      <c r="F116" s="8" t="s">
        <v>12392</v>
      </c>
    </row>
    <row r="117" customHeight="1" spans="1:6">
      <c r="A117" s="6">
        <v>116</v>
      </c>
      <c r="B117" s="8" t="s">
        <v>12389</v>
      </c>
      <c r="C117" s="8" t="s">
        <v>12390</v>
      </c>
      <c r="D117" s="8" t="s">
        <v>12391</v>
      </c>
      <c r="E117" s="8" t="s">
        <v>256</v>
      </c>
      <c r="F117" s="8" t="s">
        <v>12392</v>
      </c>
    </row>
    <row r="118" customHeight="1" spans="1:6">
      <c r="A118" s="6">
        <v>117</v>
      </c>
      <c r="B118" s="8" t="s">
        <v>12393</v>
      </c>
      <c r="C118" s="8" t="s">
        <v>12394</v>
      </c>
      <c r="D118" s="8" t="s">
        <v>12395</v>
      </c>
      <c r="E118" s="8" t="s">
        <v>1306</v>
      </c>
      <c r="F118" s="8" t="s">
        <v>12396</v>
      </c>
    </row>
    <row r="119" customHeight="1" spans="1:6">
      <c r="A119" s="6">
        <v>118</v>
      </c>
      <c r="B119" s="8" t="s">
        <v>12393</v>
      </c>
      <c r="C119" s="8" t="s">
        <v>12394</v>
      </c>
      <c r="D119" s="8" t="s">
        <v>12395</v>
      </c>
      <c r="E119" s="8" t="s">
        <v>1306</v>
      </c>
      <c r="F119" s="8" t="s">
        <v>12396</v>
      </c>
    </row>
    <row r="120" customHeight="1" spans="1:6">
      <c r="A120" s="6">
        <v>119</v>
      </c>
      <c r="B120" s="8" t="s">
        <v>12397</v>
      </c>
      <c r="C120" s="8" t="s">
        <v>12398</v>
      </c>
      <c r="D120" s="8" t="s">
        <v>12399</v>
      </c>
      <c r="E120" s="8" t="s">
        <v>420</v>
      </c>
      <c r="F120" s="8" t="s">
        <v>12400</v>
      </c>
    </row>
    <row r="121" customHeight="1" spans="1:6">
      <c r="A121" s="6">
        <v>120</v>
      </c>
      <c r="B121" s="8" t="s">
        <v>12397</v>
      </c>
      <c r="C121" s="8" t="s">
        <v>12398</v>
      </c>
      <c r="D121" s="8" t="s">
        <v>12399</v>
      </c>
      <c r="E121" s="8" t="s">
        <v>420</v>
      </c>
      <c r="F121" s="8" t="s">
        <v>12400</v>
      </c>
    </row>
    <row r="122" customHeight="1" spans="1:6">
      <c r="A122" s="6">
        <v>121</v>
      </c>
      <c r="B122" s="8" t="s">
        <v>12401</v>
      </c>
      <c r="C122" s="8" t="s">
        <v>12402</v>
      </c>
      <c r="D122" s="8" t="s">
        <v>12403</v>
      </c>
      <c r="E122" s="8" t="s">
        <v>1667</v>
      </c>
      <c r="F122" s="8" t="s">
        <v>12404</v>
      </c>
    </row>
    <row r="123" customHeight="1" spans="1:6">
      <c r="A123" s="6">
        <v>122</v>
      </c>
      <c r="B123" s="8" t="s">
        <v>12401</v>
      </c>
      <c r="C123" s="8" t="s">
        <v>12402</v>
      </c>
      <c r="D123" s="8" t="s">
        <v>12403</v>
      </c>
      <c r="E123" s="8" t="s">
        <v>1667</v>
      </c>
      <c r="F123" s="8" t="s">
        <v>12404</v>
      </c>
    </row>
    <row r="124" customHeight="1" spans="1:6">
      <c r="A124" s="6">
        <v>123</v>
      </c>
      <c r="B124" s="7" t="str">
        <f>"978-7-121-35864-7"</f>
        <v>978-7-121-35864-7</v>
      </c>
      <c r="C124" s="7" t="str">
        <f>"图像识别与项目实践：VC++、MATLAB技术实现"</f>
        <v>图像识别与项目实践：VC++、MATLAB技术实现</v>
      </c>
      <c r="D124" s="7" t="str">
        <f>"杨淑莹， 陈胜勇著"</f>
        <v>杨淑莹， 陈胜勇著</v>
      </c>
      <c r="E124" s="7" t="str">
        <f>"电子工业出版社"</f>
        <v>电子工业出版社</v>
      </c>
      <c r="F124" s="7" t="str">
        <f>"TN911.73/112=2D"</f>
        <v>TN911.73/112=2D</v>
      </c>
    </row>
    <row r="125" customHeight="1" spans="1:6">
      <c r="A125" s="6">
        <v>124</v>
      </c>
      <c r="B125" s="7" t="str">
        <f>"978-7-121-35864-7"</f>
        <v>978-7-121-35864-7</v>
      </c>
      <c r="C125" s="7" t="str">
        <f>"图像识别与项目实践：VC++、MATLAB技术实现"</f>
        <v>图像识别与项目实践：VC++、MATLAB技术实现</v>
      </c>
      <c r="D125" s="7" t="str">
        <f>"杨淑莹， 陈胜勇著"</f>
        <v>杨淑莹， 陈胜勇著</v>
      </c>
      <c r="E125" s="7" t="str">
        <f>"电子工业出版社"</f>
        <v>电子工业出版社</v>
      </c>
      <c r="F125" s="7" t="str">
        <f>"TN911.73/112=2D"</f>
        <v>TN911.73/112=2D</v>
      </c>
    </row>
    <row r="126" customHeight="1" spans="1:6">
      <c r="A126" s="6">
        <v>125</v>
      </c>
      <c r="B126" s="8" t="s">
        <v>12405</v>
      </c>
      <c r="C126" s="8" t="s">
        <v>12406</v>
      </c>
      <c r="D126" s="8" t="s">
        <v>12407</v>
      </c>
      <c r="E126" s="8" t="s">
        <v>1306</v>
      </c>
      <c r="F126" s="8" t="s">
        <v>12408</v>
      </c>
    </row>
    <row r="127" customHeight="1" spans="1:6">
      <c r="A127" s="6">
        <v>126</v>
      </c>
      <c r="B127" s="8" t="s">
        <v>12405</v>
      </c>
      <c r="C127" s="8" t="s">
        <v>12406</v>
      </c>
      <c r="D127" s="8" t="s">
        <v>12407</v>
      </c>
      <c r="E127" s="8" t="s">
        <v>1306</v>
      </c>
      <c r="F127" s="8" t="s">
        <v>12408</v>
      </c>
    </row>
    <row r="128" customHeight="1" spans="1:6">
      <c r="A128" s="6">
        <v>127</v>
      </c>
      <c r="B128" s="8" t="s">
        <v>12409</v>
      </c>
      <c r="C128" s="8" t="s">
        <v>12410</v>
      </c>
      <c r="D128" s="8" t="s">
        <v>12411</v>
      </c>
      <c r="E128" s="8" t="s">
        <v>8825</v>
      </c>
      <c r="F128" s="8" t="s">
        <v>12412</v>
      </c>
    </row>
    <row r="129" customHeight="1" spans="1:6">
      <c r="A129" s="6">
        <v>128</v>
      </c>
      <c r="B129" s="8" t="s">
        <v>12409</v>
      </c>
      <c r="C129" s="8" t="s">
        <v>12410</v>
      </c>
      <c r="D129" s="8" t="s">
        <v>12411</v>
      </c>
      <c r="E129" s="8" t="s">
        <v>8825</v>
      </c>
      <c r="F129" s="8" t="s">
        <v>12412</v>
      </c>
    </row>
    <row r="130" customHeight="1" spans="1:6">
      <c r="A130" s="6">
        <v>129</v>
      </c>
      <c r="B130" s="8" t="s">
        <v>12413</v>
      </c>
      <c r="C130" s="8" t="s">
        <v>12414</v>
      </c>
      <c r="D130" s="8" t="s">
        <v>12415</v>
      </c>
      <c r="E130" s="8" t="s">
        <v>1189</v>
      </c>
      <c r="F130" s="8" t="s">
        <v>12416</v>
      </c>
    </row>
    <row r="131" customHeight="1" spans="1:6">
      <c r="A131" s="6">
        <v>130</v>
      </c>
      <c r="B131" s="8" t="s">
        <v>12413</v>
      </c>
      <c r="C131" s="8" t="s">
        <v>12414</v>
      </c>
      <c r="D131" s="8" t="s">
        <v>12415</v>
      </c>
      <c r="E131" s="8" t="s">
        <v>1189</v>
      </c>
      <c r="F131" s="8" t="s">
        <v>12416</v>
      </c>
    </row>
    <row r="132" customHeight="1" spans="1:6">
      <c r="A132" s="6">
        <v>131</v>
      </c>
      <c r="B132" s="8" t="s">
        <v>12417</v>
      </c>
      <c r="C132" s="8" t="s">
        <v>12418</v>
      </c>
      <c r="D132" s="8" t="s">
        <v>12419</v>
      </c>
      <c r="E132" s="8" t="s">
        <v>12420</v>
      </c>
      <c r="F132" s="8" t="s">
        <v>12421</v>
      </c>
    </row>
    <row r="133" customHeight="1" spans="1:6">
      <c r="A133" s="6">
        <v>132</v>
      </c>
      <c r="B133" s="8" t="s">
        <v>12417</v>
      </c>
      <c r="C133" s="8" t="s">
        <v>12418</v>
      </c>
      <c r="D133" s="8" t="s">
        <v>12419</v>
      </c>
      <c r="E133" s="8" t="s">
        <v>12420</v>
      </c>
      <c r="F133" s="8" t="s">
        <v>12421</v>
      </c>
    </row>
    <row r="134" customHeight="1" spans="1:6">
      <c r="A134" s="6">
        <v>133</v>
      </c>
      <c r="B134" s="8" t="s">
        <v>12422</v>
      </c>
      <c r="C134" s="8" t="s">
        <v>12423</v>
      </c>
      <c r="D134" s="8" t="s">
        <v>12424</v>
      </c>
      <c r="E134" s="8" t="s">
        <v>239</v>
      </c>
      <c r="F134" s="8" t="s">
        <v>12425</v>
      </c>
    </row>
    <row r="135" customHeight="1" spans="1:6">
      <c r="A135" s="6">
        <v>134</v>
      </c>
      <c r="B135" s="8" t="s">
        <v>12422</v>
      </c>
      <c r="C135" s="8" t="s">
        <v>12423</v>
      </c>
      <c r="D135" s="8" t="s">
        <v>12424</v>
      </c>
      <c r="E135" s="8" t="s">
        <v>239</v>
      </c>
      <c r="F135" s="8" t="s">
        <v>12425</v>
      </c>
    </row>
    <row r="136" customHeight="1" spans="1:6">
      <c r="A136" s="6">
        <v>135</v>
      </c>
      <c r="B136" s="8" t="s">
        <v>12426</v>
      </c>
      <c r="C136" s="8" t="s">
        <v>12427</v>
      </c>
      <c r="D136" s="8" t="s">
        <v>12428</v>
      </c>
      <c r="E136" s="8" t="s">
        <v>28</v>
      </c>
      <c r="F136" s="8" t="s">
        <v>12429</v>
      </c>
    </row>
    <row r="137" customHeight="1" spans="1:6">
      <c r="A137" s="6">
        <v>136</v>
      </c>
      <c r="B137" s="8" t="s">
        <v>12426</v>
      </c>
      <c r="C137" s="8" t="s">
        <v>12427</v>
      </c>
      <c r="D137" s="8" t="s">
        <v>12428</v>
      </c>
      <c r="E137" s="8" t="s">
        <v>28</v>
      </c>
      <c r="F137" s="8" t="s">
        <v>12429</v>
      </c>
    </row>
    <row r="138" customHeight="1" spans="1:6">
      <c r="A138" s="6">
        <v>137</v>
      </c>
      <c r="B138" s="8" t="s">
        <v>12430</v>
      </c>
      <c r="C138" s="8" t="s">
        <v>12431</v>
      </c>
      <c r="D138" s="8" t="s">
        <v>12432</v>
      </c>
      <c r="E138" s="8" t="s">
        <v>256</v>
      </c>
      <c r="F138" s="8" t="s">
        <v>12433</v>
      </c>
    </row>
    <row r="139" customHeight="1" spans="1:6">
      <c r="A139" s="6">
        <v>138</v>
      </c>
      <c r="B139" s="8" t="s">
        <v>12430</v>
      </c>
      <c r="C139" s="8" t="s">
        <v>12431</v>
      </c>
      <c r="D139" s="8" t="s">
        <v>12432</v>
      </c>
      <c r="E139" s="8" t="s">
        <v>256</v>
      </c>
      <c r="F139" s="8" t="s">
        <v>12433</v>
      </c>
    </row>
    <row r="140" customHeight="1" spans="1:6">
      <c r="A140" s="6">
        <v>139</v>
      </c>
      <c r="B140" s="8" t="s">
        <v>12434</v>
      </c>
      <c r="C140" s="8" t="s">
        <v>12435</v>
      </c>
      <c r="D140" s="8" t="s">
        <v>12436</v>
      </c>
      <c r="E140" s="8" t="s">
        <v>530</v>
      </c>
      <c r="F140" s="8" t="s">
        <v>12437</v>
      </c>
    </row>
    <row r="141" customHeight="1" spans="1:6">
      <c r="A141" s="6">
        <v>140</v>
      </c>
      <c r="B141" s="8" t="s">
        <v>12434</v>
      </c>
      <c r="C141" s="8" t="s">
        <v>12435</v>
      </c>
      <c r="D141" s="8" t="s">
        <v>12436</v>
      </c>
      <c r="E141" s="8" t="s">
        <v>530</v>
      </c>
      <c r="F141" s="8" t="s">
        <v>12437</v>
      </c>
    </row>
    <row r="142" customHeight="1" spans="1:6">
      <c r="A142" s="6">
        <v>141</v>
      </c>
      <c r="B142" s="8" t="s">
        <v>12438</v>
      </c>
      <c r="C142" s="8" t="s">
        <v>12439</v>
      </c>
      <c r="D142" s="8" t="s">
        <v>12440</v>
      </c>
      <c r="E142" s="8" t="s">
        <v>4950</v>
      </c>
      <c r="F142" s="8" t="s">
        <v>12441</v>
      </c>
    </row>
    <row r="143" customHeight="1" spans="1:6">
      <c r="A143" s="6">
        <v>142</v>
      </c>
      <c r="B143" s="8" t="s">
        <v>12438</v>
      </c>
      <c r="C143" s="8" t="s">
        <v>12439</v>
      </c>
      <c r="D143" s="8" t="s">
        <v>12440</v>
      </c>
      <c r="E143" s="8" t="s">
        <v>4950</v>
      </c>
      <c r="F143" s="8" t="s">
        <v>12441</v>
      </c>
    </row>
    <row r="144" customHeight="1" spans="1:6">
      <c r="A144" s="6">
        <v>143</v>
      </c>
      <c r="B144" s="8" t="s">
        <v>12442</v>
      </c>
      <c r="C144" s="8" t="s">
        <v>12443</v>
      </c>
      <c r="D144" s="8" t="s">
        <v>12444</v>
      </c>
      <c r="E144" s="8" t="s">
        <v>216</v>
      </c>
      <c r="F144" s="8" t="s">
        <v>12445</v>
      </c>
    </row>
    <row r="145" customHeight="1" spans="1:6">
      <c r="A145" s="6">
        <v>144</v>
      </c>
      <c r="B145" s="8" t="s">
        <v>12442</v>
      </c>
      <c r="C145" s="8" t="s">
        <v>12443</v>
      </c>
      <c r="D145" s="8" t="s">
        <v>12444</v>
      </c>
      <c r="E145" s="8" t="s">
        <v>216</v>
      </c>
      <c r="F145" s="8" t="s">
        <v>12445</v>
      </c>
    </row>
    <row r="146" customHeight="1" spans="1:6">
      <c r="A146" s="6">
        <v>145</v>
      </c>
      <c r="B146" s="8" t="s">
        <v>12446</v>
      </c>
      <c r="C146" s="8" t="s">
        <v>12447</v>
      </c>
      <c r="D146" s="8" t="s">
        <v>12448</v>
      </c>
      <c r="E146" s="8" t="s">
        <v>12449</v>
      </c>
      <c r="F146" s="8" t="s">
        <v>12450</v>
      </c>
    </row>
    <row r="147" customHeight="1" spans="1:6">
      <c r="A147" s="6">
        <v>146</v>
      </c>
      <c r="B147" s="8" t="s">
        <v>12446</v>
      </c>
      <c r="C147" s="8" t="s">
        <v>12447</v>
      </c>
      <c r="D147" s="8" t="s">
        <v>12448</v>
      </c>
      <c r="E147" s="8" t="s">
        <v>12449</v>
      </c>
      <c r="F147" s="8" t="s">
        <v>12450</v>
      </c>
    </row>
    <row r="148" customHeight="1" spans="1:6">
      <c r="A148" s="6">
        <v>147</v>
      </c>
      <c r="B148" s="7" t="str">
        <f>"978-7-121-39881-0"</f>
        <v>978-7-121-39881-0</v>
      </c>
      <c r="C148" s="7" t="str">
        <f>"网络安全应急响应技术实战指南"</f>
        <v>网络安全应急响应技术实战指南</v>
      </c>
      <c r="D148" s="7" t="str">
        <f>"奇安信安服团队著"</f>
        <v>奇安信安服团队著</v>
      </c>
      <c r="E148" s="7" t="str">
        <f t="shared" ref="E148:E153" si="1">"电子工业出版社"</f>
        <v>电子工业出版社</v>
      </c>
      <c r="F148" s="7" t="str">
        <f>"TN915.08/14"</f>
        <v>TN915.08/14</v>
      </c>
    </row>
    <row r="149" customHeight="1" spans="1:6">
      <c r="A149" s="6">
        <v>148</v>
      </c>
      <c r="B149" s="7" t="str">
        <f>"978-7-121-39881-0"</f>
        <v>978-7-121-39881-0</v>
      </c>
      <c r="C149" s="7" t="str">
        <f>"网络安全应急响应技术实战指南"</f>
        <v>网络安全应急响应技术实战指南</v>
      </c>
      <c r="D149" s="7" t="str">
        <f>"奇安信安服团队著"</f>
        <v>奇安信安服团队著</v>
      </c>
      <c r="E149" s="7" t="str">
        <f t="shared" si="1"/>
        <v>电子工业出版社</v>
      </c>
      <c r="F149" s="7" t="str">
        <f>"TN915.08/14"</f>
        <v>TN915.08/14</v>
      </c>
    </row>
    <row r="150" customHeight="1" spans="1:6">
      <c r="A150" s="6">
        <v>149</v>
      </c>
      <c r="B150" s="8" t="s">
        <v>12451</v>
      </c>
      <c r="C150" s="8" t="s">
        <v>12452</v>
      </c>
      <c r="D150" s="8" t="s">
        <v>12453</v>
      </c>
      <c r="E150" s="8" t="s">
        <v>216</v>
      </c>
      <c r="F150" s="8" t="s">
        <v>12454</v>
      </c>
    </row>
    <row r="151" customHeight="1" spans="1:6">
      <c r="A151" s="6">
        <v>150</v>
      </c>
      <c r="B151" s="8" t="s">
        <v>12451</v>
      </c>
      <c r="C151" s="8" t="s">
        <v>12452</v>
      </c>
      <c r="D151" s="8" t="s">
        <v>12453</v>
      </c>
      <c r="E151" s="8" t="s">
        <v>216</v>
      </c>
      <c r="F151" s="8" t="s">
        <v>12454</v>
      </c>
    </row>
    <row r="152" customHeight="1" spans="1:6">
      <c r="A152" s="6">
        <v>151</v>
      </c>
      <c r="B152" s="7" t="str">
        <f>"978-7-121-39871-1"</f>
        <v>978-7-121-39871-1</v>
      </c>
      <c r="C152" s="7" t="str">
        <f>"密码简史：穿越远古 展望未来"</f>
        <v>密码简史：穿越远古 展望未来</v>
      </c>
      <c r="D152" s="7" t="str">
        <f>"杨义先， 钮心忻著"</f>
        <v>杨义先， 钮心忻著</v>
      </c>
      <c r="E152" s="7" t="str">
        <f t="shared" si="1"/>
        <v>电子工业出版社</v>
      </c>
      <c r="F152" s="7" t="str">
        <f>"TN918.1/36"</f>
        <v>TN918.1/36</v>
      </c>
    </row>
    <row r="153" customHeight="1" spans="1:6">
      <c r="A153" s="6">
        <v>152</v>
      </c>
      <c r="B153" s="7" t="str">
        <f>"978-7-121-39871-1"</f>
        <v>978-7-121-39871-1</v>
      </c>
      <c r="C153" s="7" t="str">
        <f>"密码简史：穿越远古 展望未来"</f>
        <v>密码简史：穿越远古 展望未来</v>
      </c>
      <c r="D153" s="7" t="str">
        <f>"杨义先， 钮心忻著"</f>
        <v>杨义先， 钮心忻著</v>
      </c>
      <c r="E153" s="7" t="str">
        <f t="shared" si="1"/>
        <v>电子工业出版社</v>
      </c>
      <c r="F153" s="7" t="str">
        <f>"TN918.1/36"</f>
        <v>TN918.1/36</v>
      </c>
    </row>
    <row r="154" customHeight="1" spans="1:6">
      <c r="A154" s="6">
        <v>153</v>
      </c>
      <c r="B154" s="8" t="s">
        <v>12455</v>
      </c>
      <c r="C154" s="8" t="s">
        <v>12456</v>
      </c>
      <c r="D154" s="8" t="s">
        <v>12457</v>
      </c>
      <c r="E154" s="8" t="s">
        <v>330</v>
      </c>
      <c r="F154" s="8" t="s">
        <v>12458</v>
      </c>
    </row>
    <row r="155" customHeight="1" spans="1:6">
      <c r="A155" s="6">
        <v>154</v>
      </c>
      <c r="B155" s="8" t="s">
        <v>12455</v>
      </c>
      <c r="C155" s="8" t="s">
        <v>12456</v>
      </c>
      <c r="D155" s="8" t="s">
        <v>12457</v>
      </c>
      <c r="E155" s="8" t="s">
        <v>330</v>
      </c>
      <c r="F155" s="8" t="s">
        <v>12458</v>
      </c>
    </row>
    <row r="156" customHeight="1" spans="1:6">
      <c r="A156" s="6">
        <v>155</v>
      </c>
      <c r="B156" s="8" t="s">
        <v>12459</v>
      </c>
      <c r="C156" s="8" t="s">
        <v>12460</v>
      </c>
      <c r="D156" s="8" t="s">
        <v>12461</v>
      </c>
      <c r="E156" s="8" t="s">
        <v>1189</v>
      </c>
      <c r="F156" s="8" t="s">
        <v>12462</v>
      </c>
    </row>
    <row r="157" customHeight="1" spans="1:6">
      <c r="A157" s="6">
        <v>156</v>
      </c>
      <c r="B157" s="8" t="s">
        <v>12459</v>
      </c>
      <c r="C157" s="8" t="s">
        <v>12460</v>
      </c>
      <c r="D157" s="8" t="s">
        <v>12461</v>
      </c>
      <c r="E157" s="8" t="s">
        <v>1189</v>
      </c>
      <c r="F157" s="8" t="s">
        <v>12462</v>
      </c>
    </row>
    <row r="158" customHeight="1" spans="1:6">
      <c r="A158" s="6">
        <v>157</v>
      </c>
      <c r="B158" s="8" t="s">
        <v>12463</v>
      </c>
      <c r="C158" s="8" t="s">
        <v>12464</v>
      </c>
      <c r="D158" s="8" t="s">
        <v>12465</v>
      </c>
      <c r="E158" s="8" t="s">
        <v>12466</v>
      </c>
      <c r="F158" s="8" t="s">
        <v>12467</v>
      </c>
    </row>
    <row r="159" customHeight="1" spans="1:6">
      <c r="A159" s="6">
        <v>158</v>
      </c>
      <c r="B159" s="8" t="s">
        <v>12463</v>
      </c>
      <c r="C159" s="8" t="s">
        <v>12464</v>
      </c>
      <c r="D159" s="8" t="s">
        <v>12465</v>
      </c>
      <c r="E159" s="8" t="s">
        <v>12466</v>
      </c>
      <c r="F159" s="8" t="s">
        <v>12467</v>
      </c>
    </row>
    <row r="160" customHeight="1" spans="1:6">
      <c r="A160" s="6">
        <v>159</v>
      </c>
      <c r="B160" s="8" t="s">
        <v>12463</v>
      </c>
      <c r="C160" s="8" t="s">
        <v>12464</v>
      </c>
      <c r="D160" s="8" t="s">
        <v>12465</v>
      </c>
      <c r="E160" s="8" t="s">
        <v>12466</v>
      </c>
      <c r="F160" s="8" t="s">
        <v>12467</v>
      </c>
    </row>
    <row r="161" customHeight="1" spans="1:6">
      <c r="A161" s="6">
        <v>160</v>
      </c>
      <c r="B161" s="8" t="s">
        <v>12468</v>
      </c>
      <c r="C161" s="8" t="s">
        <v>12469</v>
      </c>
      <c r="D161" s="8" t="s">
        <v>12470</v>
      </c>
      <c r="E161" s="8" t="s">
        <v>12471</v>
      </c>
      <c r="F161" s="8" t="s">
        <v>12472</v>
      </c>
    </row>
    <row r="162" customHeight="1" spans="1:6">
      <c r="A162" s="6">
        <v>161</v>
      </c>
      <c r="B162" s="8" t="s">
        <v>12468</v>
      </c>
      <c r="C162" s="8" t="s">
        <v>12469</v>
      </c>
      <c r="D162" s="8" t="s">
        <v>12470</v>
      </c>
      <c r="E162" s="8" t="s">
        <v>12471</v>
      </c>
      <c r="F162" s="8" t="s">
        <v>12472</v>
      </c>
    </row>
    <row r="163" customHeight="1" spans="1:6">
      <c r="A163" s="6">
        <v>162</v>
      </c>
      <c r="B163" s="8" t="s">
        <v>12473</v>
      </c>
      <c r="C163" s="8" t="s">
        <v>12474</v>
      </c>
      <c r="D163" s="8" t="s">
        <v>12475</v>
      </c>
      <c r="E163" s="8" t="s">
        <v>634</v>
      </c>
      <c r="F163" s="8" t="s">
        <v>12476</v>
      </c>
    </row>
    <row r="164" customHeight="1" spans="1:6">
      <c r="A164" s="6">
        <v>163</v>
      </c>
      <c r="B164" s="8" t="s">
        <v>12473</v>
      </c>
      <c r="C164" s="8" t="s">
        <v>12474</v>
      </c>
      <c r="D164" s="8" t="s">
        <v>12475</v>
      </c>
      <c r="E164" s="8" t="s">
        <v>634</v>
      </c>
      <c r="F164" s="8" t="s">
        <v>12476</v>
      </c>
    </row>
    <row r="165" customHeight="1" spans="1:6">
      <c r="A165" s="6">
        <v>164</v>
      </c>
      <c r="B165" s="8" t="s">
        <v>12473</v>
      </c>
      <c r="C165" s="8" t="s">
        <v>12477</v>
      </c>
      <c r="D165" s="8" t="s">
        <v>12475</v>
      </c>
      <c r="E165" s="8" t="s">
        <v>634</v>
      </c>
      <c r="F165" s="8" t="s">
        <v>12478</v>
      </c>
    </row>
    <row r="166" customHeight="1" spans="1:6">
      <c r="A166" s="6">
        <v>165</v>
      </c>
      <c r="B166" s="8" t="s">
        <v>12473</v>
      </c>
      <c r="C166" s="8" t="s">
        <v>12477</v>
      </c>
      <c r="D166" s="8" t="s">
        <v>12475</v>
      </c>
      <c r="E166" s="8" t="s">
        <v>634</v>
      </c>
      <c r="F166" s="8" t="s">
        <v>12478</v>
      </c>
    </row>
    <row r="167" customHeight="1" spans="1:6">
      <c r="A167" s="6">
        <v>166</v>
      </c>
      <c r="B167" s="8" t="s">
        <v>12479</v>
      </c>
      <c r="C167" s="8" t="s">
        <v>12480</v>
      </c>
      <c r="D167" s="8" t="s">
        <v>12481</v>
      </c>
      <c r="E167" s="8" t="s">
        <v>544</v>
      </c>
      <c r="F167" s="8" t="s">
        <v>12482</v>
      </c>
    </row>
    <row r="168" customHeight="1" spans="1:6">
      <c r="A168" s="6">
        <v>167</v>
      </c>
      <c r="B168" s="8" t="s">
        <v>12479</v>
      </c>
      <c r="C168" s="8" t="s">
        <v>12480</v>
      </c>
      <c r="D168" s="8" t="s">
        <v>12481</v>
      </c>
      <c r="E168" s="8" t="s">
        <v>544</v>
      </c>
      <c r="F168" s="8" t="s">
        <v>12482</v>
      </c>
    </row>
    <row r="169" customHeight="1" spans="1:6">
      <c r="A169" s="6">
        <v>168</v>
      </c>
      <c r="B169" s="8" t="s">
        <v>12483</v>
      </c>
      <c r="C169" s="8" t="s">
        <v>12484</v>
      </c>
      <c r="D169" s="8" t="s">
        <v>12485</v>
      </c>
      <c r="E169" s="8" t="s">
        <v>288</v>
      </c>
      <c r="F169" s="8" t="s">
        <v>12486</v>
      </c>
    </row>
    <row r="170" customHeight="1" spans="1:6">
      <c r="A170" s="6">
        <v>169</v>
      </c>
      <c r="B170" s="8" t="s">
        <v>12483</v>
      </c>
      <c r="C170" s="8" t="s">
        <v>12484</v>
      </c>
      <c r="D170" s="8" t="s">
        <v>12485</v>
      </c>
      <c r="E170" s="8" t="s">
        <v>288</v>
      </c>
      <c r="F170" s="8" t="s">
        <v>12486</v>
      </c>
    </row>
    <row r="171" customHeight="1" spans="1:6">
      <c r="A171" s="6">
        <v>170</v>
      </c>
      <c r="B171" s="8" t="s">
        <v>12487</v>
      </c>
      <c r="C171" s="8" t="s">
        <v>12488</v>
      </c>
      <c r="D171" s="8" t="s">
        <v>12489</v>
      </c>
      <c r="E171" s="8" t="s">
        <v>311</v>
      </c>
      <c r="F171" s="8" t="s">
        <v>12490</v>
      </c>
    </row>
    <row r="172" customHeight="1" spans="1:6">
      <c r="A172" s="6">
        <v>171</v>
      </c>
      <c r="B172" s="8" t="s">
        <v>12487</v>
      </c>
      <c r="C172" s="8" t="s">
        <v>12488</v>
      </c>
      <c r="D172" s="8" t="s">
        <v>12489</v>
      </c>
      <c r="E172" s="8" t="s">
        <v>311</v>
      </c>
      <c r="F172" s="8" t="s">
        <v>12490</v>
      </c>
    </row>
    <row r="173" customHeight="1" spans="1:6">
      <c r="A173" s="6">
        <v>172</v>
      </c>
      <c r="B173" s="8" t="s">
        <v>12491</v>
      </c>
      <c r="C173" s="8" t="s">
        <v>12492</v>
      </c>
      <c r="D173" s="8" t="s">
        <v>12493</v>
      </c>
      <c r="E173" s="8" t="s">
        <v>288</v>
      </c>
      <c r="F173" s="8" t="s">
        <v>12494</v>
      </c>
    </row>
    <row r="174" customHeight="1" spans="1:6">
      <c r="A174" s="6">
        <v>173</v>
      </c>
      <c r="B174" s="8" t="s">
        <v>12491</v>
      </c>
      <c r="C174" s="8" t="s">
        <v>12492</v>
      </c>
      <c r="D174" s="8" t="s">
        <v>12493</v>
      </c>
      <c r="E174" s="8" t="s">
        <v>288</v>
      </c>
      <c r="F174" s="8" t="s">
        <v>12494</v>
      </c>
    </row>
    <row r="175" customHeight="1" spans="1:6">
      <c r="A175" s="6">
        <v>174</v>
      </c>
      <c r="B175" s="8" t="s">
        <v>12495</v>
      </c>
      <c r="C175" s="8" t="s">
        <v>12496</v>
      </c>
      <c r="D175" s="8" t="s">
        <v>12497</v>
      </c>
      <c r="E175" s="8" t="s">
        <v>530</v>
      </c>
      <c r="F175" s="8" t="s">
        <v>12498</v>
      </c>
    </row>
    <row r="176" customHeight="1" spans="1:6">
      <c r="A176" s="6">
        <v>175</v>
      </c>
      <c r="B176" s="8" t="s">
        <v>12495</v>
      </c>
      <c r="C176" s="8" t="s">
        <v>12496</v>
      </c>
      <c r="D176" s="8" t="s">
        <v>12497</v>
      </c>
      <c r="E176" s="8" t="s">
        <v>530</v>
      </c>
      <c r="F176" s="8" t="s">
        <v>12498</v>
      </c>
    </row>
    <row r="177" customHeight="1" spans="1:6">
      <c r="A177" s="6">
        <v>176</v>
      </c>
      <c r="B177" s="8" t="s">
        <v>12499</v>
      </c>
      <c r="C177" s="8" t="s">
        <v>12500</v>
      </c>
      <c r="D177" s="8" t="s">
        <v>12501</v>
      </c>
      <c r="E177" s="8" t="s">
        <v>4950</v>
      </c>
      <c r="F177" s="8" t="s">
        <v>12502</v>
      </c>
    </row>
    <row r="178" customHeight="1" spans="1:6">
      <c r="A178" s="6">
        <v>177</v>
      </c>
      <c r="B178" s="8" t="s">
        <v>12499</v>
      </c>
      <c r="C178" s="8" t="s">
        <v>12500</v>
      </c>
      <c r="D178" s="8" t="s">
        <v>12501</v>
      </c>
      <c r="E178" s="8" t="s">
        <v>4950</v>
      </c>
      <c r="F178" s="8" t="s">
        <v>12502</v>
      </c>
    </row>
    <row r="179" customHeight="1" spans="1:6">
      <c r="A179" s="6">
        <v>178</v>
      </c>
      <c r="B179" s="8" t="s">
        <v>12503</v>
      </c>
      <c r="C179" s="8" t="s">
        <v>12504</v>
      </c>
      <c r="D179" s="8" t="s">
        <v>12505</v>
      </c>
      <c r="E179" s="8" t="s">
        <v>288</v>
      </c>
      <c r="F179" s="8" t="s">
        <v>12506</v>
      </c>
    </row>
    <row r="180" customHeight="1" spans="1:6">
      <c r="A180" s="6">
        <v>179</v>
      </c>
      <c r="B180" s="8" t="s">
        <v>12503</v>
      </c>
      <c r="C180" s="8" t="s">
        <v>12504</v>
      </c>
      <c r="D180" s="8" t="s">
        <v>12505</v>
      </c>
      <c r="E180" s="8" t="s">
        <v>288</v>
      </c>
      <c r="F180" s="8" t="s">
        <v>12506</v>
      </c>
    </row>
    <row r="181" customHeight="1" spans="1:6">
      <c r="A181" s="6">
        <v>180</v>
      </c>
      <c r="B181" s="8" t="s">
        <v>12507</v>
      </c>
      <c r="C181" s="8" t="s">
        <v>12508</v>
      </c>
      <c r="D181" s="8" t="s">
        <v>12509</v>
      </c>
      <c r="E181" s="8" t="s">
        <v>6669</v>
      </c>
      <c r="F181" s="8" t="s">
        <v>12510</v>
      </c>
    </row>
    <row r="182" customHeight="1" spans="1:6">
      <c r="A182" s="6">
        <v>181</v>
      </c>
      <c r="B182" s="8" t="s">
        <v>12507</v>
      </c>
      <c r="C182" s="8" t="s">
        <v>12508</v>
      </c>
      <c r="D182" s="8" t="s">
        <v>12509</v>
      </c>
      <c r="E182" s="8" t="s">
        <v>6669</v>
      </c>
      <c r="F182" s="8" t="s">
        <v>12510</v>
      </c>
    </row>
    <row r="183" customHeight="1" spans="1:6">
      <c r="A183" s="6">
        <v>182</v>
      </c>
      <c r="B183" s="8" t="s">
        <v>12511</v>
      </c>
      <c r="C183" s="8" t="s">
        <v>12512</v>
      </c>
      <c r="D183" s="8" t="s">
        <v>12513</v>
      </c>
      <c r="E183" s="8" t="s">
        <v>12514</v>
      </c>
      <c r="F183" s="8" t="s">
        <v>12515</v>
      </c>
    </row>
    <row r="184" customHeight="1" spans="1:6">
      <c r="A184" s="6">
        <v>183</v>
      </c>
      <c r="B184" s="8" t="s">
        <v>12511</v>
      </c>
      <c r="C184" s="8" t="s">
        <v>12512</v>
      </c>
      <c r="D184" s="8" t="s">
        <v>12513</v>
      </c>
      <c r="E184" s="8" t="s">
        <v>12514</v>
      </c>
      <c r="F184" s="8" t="s">
        <v>12515</v>
      </c>
    </row>
    <row r="185" customHeight="1" spans="1:6">
      <c r="A185" s="6">
        <v>184</v>
      </c>
      <c r="B185" s="8" t="s">
        <v>12516</v>
      </c>
      <c r="C185" s="8" t="s">
        <v>12517</v>
      </c>
      <c r="D185" s="8" t="s">
        <v>12518</v>
      </c>
      <c r="E185" s="8" t="s">
        <v>4950</v>
      </c>
      <c r="F185" s="8" t="s">
        <v>12519</v>
      </c>
    </row>
    <row r="186" customHeight="1" spans="1:6">
      <c r="A186" s="6">
        <v>185</v>
      </c>
      <c r="B186" s="8" t="s">
        <v>12516</v>
      </c>
      <c r="C186" s="8" t="s">
        <v>12517</v>
      </c>
      <c r="D186" s="8" t="s">
        <v>12518</v>
      </c>
      <c r="E186" s="8" t="s">
        <v>4950</v>
      </c>
      <c r="F186" s="8" t="s">
        <v>12519</v>
      </c>
    </row>
    <row r="187" customHeight="1" spans="1:6">
      <c r="A187" s="6">
        <v>186</v>
      </c>
      <c r="B187" s="8" t="s">
        <v>12520</v>
      </c>
      <c r="C187" s="8" t="s">
        <v>12521</v>
      </c>
      <c r="D187" s="8" t="s">
        <v>12522</v>
      </c>
      <c r="E187" s="8" t="s">
        <v>1617</v>
      </c>
      <c r="F187" s="8" t="s">
        <v>12523</v>
      </c>
    </row>
    <row r="188" customHeight="1" spans="1:6">
      <c r="A188" s="6">
        <v>187</v>
      </c>
      <c r="B188" s="8" t="s">
        <v>12520</v>
      </c>
      <c r="C188" s="8" t="s">
        <v>12521</v>
      </c>
      <c r="D188" s="8" t="s">
        <v>12522</v>
      </c>
      <c r="E188" s="8" t="s">
        <v>1617</v>
      </c>
      <c r="F188" s="8" t="s">
        <v>12523</v>
      </c>
    </row>
    <row r="189" customHeight="1" spans="1:6">
      <c r="A189" s="6">
        <v>188</v>
      </c>
      <c r="B189" s="7" t="str">
        <f>"978-7-111-68884-6"</f>
        <v>978-7-111-68884-6</v>
      </c>
      <c r="C189" s="7" t="str">
        <f>"6G无线通信新征程：跨越人联、物联， 迈向万物智联：from connected people and things to connected intelligence"</f>
        <v>6G无线通信新征程：跨越人联、物联， 迈向万物智联：from connected people and things to connected intelligence</v>
      </c>
      <c r="D189" s="7" t="str">
        <f>"(加) 童文， 朱佩英编著；华为翻译中心译"</f>
        <v>(加) 童文， 朱佩英编著；华为翻译中心译</v>
      </c>
      <c r="E189" s="7" t="str">
        <f>"机械工业出版社"</f>
        <v>机械工业出版社</v>
      </c>
      <c r="F189" s="7" t="str">
        <f>"TN929.5/226"</f>
        <v>TN929.5/226</v>
      </c>
    </row>
    <row r="190" customHeight="1" spans="1:6">
      <c r="A190" s="6">
        <v>189</v>
      </c>
      <c r="B190" s="7" t="str">
        <f>"978-7-111-68884-6"</f>
        <v>978-7-111-68884-6</v>
      </c>
      <c r="C190" s="7" t="str">
        <f>"6G无线通信新征程：跨越人联、物联， 迈向万物智联：from connected people and things to connected intelligence"</f>
        <v>6G无线通信新征程：跨越人联、物联， 迈向万物智联：from connected people and things to connected intelligence</v>
      </c>
      <c r="D190" s="7" t="str">
        <f>"(加) 童文， 朱佩英编著；华为翻译中心译"</f>
        <v>(加) 童文， 朱佩英编著；华为翻译中心译</v>
      </c>
      <c r="E190" s="7" t="str">
        <f>"机械工业出版社"</f>
        <v>机械工业出版社</v>
      </c>
      <c r="F190" s="7" t="str">
        <f>"TN929.5/226"</f>
        <v>TN929.5/226</v>
      </c>
    </row>
    <row r="191" customHeight="1" spans="1:6">
      <c r="A191" s="6">
        <v>190</v>
      </c>
      <c r="B191" s="8" t="s">
        <v>12524</v>
      </c>
      <c r="C191" s="8" t="s">
        <v>12525</v>
      </c>
      <c r="D191" s="8" t="s">
        <v>12526</v>
      </c>
      <c r="E191" s="8" t="s">
        <v>7676</v>
      </c>
      <c r="F191" s="8" t="s">
        <v>12527</v>
      </c>
    </row>
    <row r="192" customHeight="1" spans="1:6">
      <c r="A192" s="6">
        <v>191</v>
      </c>
      <c r="B192" s="8" t="s">
        <v>12524</v>
      </c>
      <c r="C192" s="8" t="s">
        <v>12525</v>
      </c>
      <c r="D192" s="8" t="s">
        <v>12526</v>
      </c>
      <c r="E192" s="8" t="s">
        <v>7676</v>
      </c>
      <c r="F192" s="8" t="s">
        <v>12527</v>
      </c>
    </row>
    <row r="193" customHeight="1" spans="1:6">
      <c r="A193" s="6">
        <v>192</v>
      </c>
      <c r="B193" s="8" t="s">
        <v>12528</v>
      </c>
      <c r="C193" s="8" t="s">
        <v>12529</v>
      </c>
      <c r="D193" s="8" t="s">
        <v>12530</v>
      </c>
      <c r="E193" s="8" t="s">
        <v>216</v>
      </c>
      <c r="F193" s="8" t="s">
        <v>12531</v>
      </c>
    </row>
    <row r="194" customHeight="1" spans="1:6">
      <c r="A194" s="6">
        <v>193</v>
      </c>
      <c r="B194" s="8" t="s">
        <v>12528</v>
      </c>
      <c r="C194" s="8" t="s">
        <v>12529</v>
      </c>
      <c r="D194" s="8" t="s">
        <v>12530</v>
      </c>
      <c r="E194" s="8" t="s">
        <v>216</v>
      </c>
      <c r="F194" s="8" t="s">
        <v>12531</v>
      </c>
    </row>
    <row r="195" customHeight="1" spans="1:6">
      <c r="A195" s="6">
        <v>194</v>
      </c>
      <c r="B195" s="8" t="s">
        <v>12532</v>
      </c>
      <c r="C195" s="8" t="s">
        <v>12533</v>
      </c>
      <c r="D195" s="8" t="s">
        <v>12534</v>
      </c>
      <c r="E195" s="8" t="s">
        <v>216</v>
      </c>
      <c r="F195" s="8" t="s">
        <v>12535</v>
      </c>
    </row>
    <row r="196" customHeight="1" spans="1:6">
      <c r="A196" s="6">
        <v>195</v>
      </c>
      <c r="B196" s="8" t="s">
        <v>12532</v>
      </c>
      <c r="C196" s="8" t="s">
        <v>12533</v>
      </c>
      <c r="D196" s="8" t="s">
        <v>12534</v>
      </c>
      <c r="E196" s="8" t="s">
        <v>216</v>
      </c>
      <c r="F196" s="8" t="s">
        <v>12535</v>
      </c>
    </row>
    <row r="197" customHeight="1" spans="1:6">
      <c r="A197" s="6">
        <v>196</v>
      </c>
      <c r="B197" s="8" t="s">
        <v>12536</v>
      </c>
      <c r="C197" s="8" t="s">
        <v>12537</v>
      </c>
      <c r="D197" s="8" t="s">
        <v>12538</v>
      </c>
      <c r="E197" s="8" t="s">
        <v>530</v>
      </c>
      <c r="F197" s="8" t="s">
        <v>12539</v>
      </c>
    </row>
    <row r="198" customHeight="1" spans="1:6">
      <c r="A198" s="6">
        <v>197</v>
      </c>
      <c r="B198" s="8" t="s">
        <v>12536</v>
      </c>
      <c r="C198" s="8" t="s">
        <v>12537</v>
      </c>
      <c r="D198" s="8" t="s">
        <v>12538</v>
      </c>
      <c r="E198" s="8" t="s">
        <v>530</v>
      </c>
      <c r="F198" s="8" t="s">
        <v>12539</v>
      </c>
    </row>
    <row r="199" customHeight="1" spans="1:6">
      <c r="A199" s="6">
        <v>198</v>
      </c>
      <c r="B199" s="8" t="s">
        <v>12540</v>
      </c>
      <c r="C199" s="8" t="s">
        <v>12541</v>
      </c>
      <c r="D199" s="8" t="s">
        <v>12542</v>
      </c>
      <c r="E199" s="8" t="s">
        <v>216</v>
      </c>
      <c r="F199" s="8" t="s">
        <v>12543</v>
      </c>
    </row>
    <row r="200" customHeight="1" spans="1:6">
      <c r="A200" s="6">
        <v>199</v>
      </c>
      <c r="B200" s="8" t="s">
        <v>12540</v>
      </c>
      <c r="C200" s="8" t="s">
        <v>12541</v>
      </c>
      <c r="D200" s="8" t="s">
        <v>12542</v>
      </c>
      <c r="E200" s="8" t="s">
        <v>216</v>
      </c>
      <c r="F200" s="8" t="s">
        <v>12543</v>
      </c>
    </row>
    <row r="201" customHeight="1" spans="1:6">
      <c r="A201" s="6">
        <v>200</v>
      </c>
      <c r="B201" s="8" t="s">
        <v>12544</v>
      </c>
      <c r="C201" s="8" t="s">
        <v>12545</v>
      </c>
      <c r="D201" s="8" t="s">
        <v>12546</v>
      </c>
      <c r="E201" s="8" t="s">
        <v>420</v>
      </c>
      <c r="F201" s="8" t="s">
        <v>12547</v>
      </c>
    </row>
    <row r="202" customHeight="1" spans="1:6">
      <c r="A202" s="6">
        <v>201</v>
      </c>
      <c r="B202" s="8" t="s">
        <v>12544</v>
      </c>
      <c r="C202" s="8" t="s">
        <v>12545</v>
      </c>
      <c r="D202" s="8" t="s">
        <v>12546</v>
      </c>
      <c r="E202" s="8" t="s">
        <v>420</v>
      </c>
      <c r="F202" s="8" t="s">
        <v>12547</v>
      </c>
    </row>
    <row r="203" customHeight="1" spans="1:6">
      <c r="A203" s="6">
        <v>202</v>
      </c>
      <c r="B203" s="8" t="s">
        <v>12548</v>
      </c>
      <c r="C203" s="8" t="s">
        <v>12549</v>
      </c>
      <c r="D203" s="8" t="s">
        <v>12550</v>
      </c>
      <c r="E203" s="8" t="s">
        <v>1734</v>
      </c>
      <c r="F203" s="8" t="s">
        <v>12551</v>
      </c>
    </row>
    <row r="204" customHeight="1" spans="1:6">
      <c r="A204" s="6">
        <v>203</v>
      </c>
      <c r="B204" s="8" t="s">
        <v>12548</v>
      </c>
      <c r="C204" s="8" t="s">
        <v>12549</v>
      </c>
      <c r="D204" s="8" t="s">
        <v>12550</v>
      </c>
      <c r="E204" s="8" t="s">
        <v>1734</v>
      </c>
      <c r="F204" s="8" t="s">
        <v>12551</v>
      </c>
    </row>
    <row r="205" customHeight="1" spans="1:6">
      <c r="A205" s="6">
        <v>204</v>
      </c>
      <c r="B205" s="8" t="s">
        <v>12552</v>
      </c>
      <c r="C205" s="8" t="s">
        <v>12553</v>
      </c>
      <c r="D205" s="8" t="s">
        <v>12554</v>
      </c>
      <c r="E205" s="8" t="s">
        <v>216</v>
      </c>
      <c r="F205" s="8" t="s">
        <v>12555</v>
      </c>
    </row>
    <row r="206" customHeight="1" spans="1:6">
      <c r="A206" s="6">
        <v>205</v>
      </c>
      <c r="B206" s="8" t="s">
        <v>12552</v>
      </c>
      <c r="C206" s="8" t="s">
        <v>12553</v>
      </c>
      <c r="D206" s="8" t="s">
        <v>12554</v>
      </c>
      <c r="E206" s="8" t="s">
        <v>216</v>
      </c>
      <c r="F206" s="8" t="s">
        <v>12555</v>
      </c>
    </row>
    <row r="207" customHeight="1" spans="1:6">
      <c r="A207" s="6">
        <v>206</v>
      </c>
      <c r="B207" s="8" t="s">
        <v>12556</v>
      </c>
      <c r="C207" s="8" t="s">
        <v>12557</v>
      </c>
      <c r="D207" s="8" t="s">
        <v>12558</v>
      </c>
      <c r="E207" s="8" t="s">
        <v>8825</v>
      </c>
      <c r="F207" s="8" t="s">
        <v>12559</v>
      </c>
    </row>
    <row r="208" customHeight="1" spans="1:6">
      <c r="A208" s="6">
        <v>207</v>
      </c>
      <c r="B208" s="8" t="s">
        <v>12556</v>
      </c>
      <c r="C208" s="8" t="s">
        <v>12557</v>
      </c>
      <c r="D208" s="8" t="s">
        <v>12558</v>
      </c>
      <c r="E208" s="8" t="s">
        <v>8825</v>
      </c>
      <c r="F208" s="8" t="s">
        <v>12559</v>
      </c>
    </row>
    <row r="209" customHeight="1" spans="1:6">
      <c r="A209" s="6">
        <v>208</v>
      </c>
      <c r="B209" s="8" t="s">
        <v>12560</v>
      </c>
      <c r="C209" s="8" t="s">
        <v>12561</v>
      </c>
      <c r="D209" s="8" t="s">
        <v>12562</v>
      </c>
      <c r="E209" s="8" t="s">
        <v>4723</v>
      </c>
      <c r="F209" s="8" t="s">
        <v>12563</v>
      </c>
    </row>
    <row r="210" customHeight="1" spans="1:6">
      <c r="A210" s="6">
        <v>209</v>
      </c>
      <c r="B210" s="8" t="s">
        <v>12560</v>
      </c>
      <c r="C210" s="8" t="s">
        <v>12561</v>
      </c>
      <c r="D210" s="8" t="s">
        <v>12562</v>
      </c>
      <c r="E210" s="8" t="s">
        <v>4723</v>
      </c>
      <c r="F210" s="8" t="s">
        <v>12563</v>
      </c>
    </row>
    <row r="211" customHeight="1" spans="1:6">
      <c r="A211" s="6">
        <v>210</v>
      </c>
      <c r="B211" s="8" t="s">
        <v>12564</v>
      </c>
      <c r="C211" s="8" t="s">
        <v>12565</v>
      </c>
      <c r="D211" s="8" t="s">
        <v>12566</v>
      </c>
      <c r="E211" s="8" t="s">
        <v>4723</v>
      </c>
      <c r="F211" s="8" t="s">
        <v>12567</v>
      </c>
    </row>
    <row r="212" customHeight="1" spans="1:6">
      <c r="A212" s="6">
        <v>211</v>
      </c>
      <c r="B212" s="8" t="s">
        <v>12564</v>
      </c>
      <c r="C212" s="8" t="s">
        <v>12565</v>
      </c>
      <c r="D212" s="8" t="s">
        <v>12566</v>
      </c>
      <c r="E212" s="8" t="s">
        <v>4723</v>
      </c>
      <c r="F212" s="8" t="s">
        <v>12567</v>
      </c>
    </row>
    <row r="213" customHeight="1" spans="1:6">
      <c r="A213" s="6">
        <v>212</v>
      </c>
      <c r="B213" s="8" t="s">
        <v>12568</v>
      </c>
      <c r="C213" s="8" t="s">
        <v>12569</v>
      </c>
      <c r="D213" s="8" t="s">
        <v>12570</v>
      </c>
      <c r="E213" s="8" t="s">
        <v>4723</v>
      </c>
      <c r="F213" s="8" t="s">
        <v>12571</v>
      </c>
    </row>
    <row r="214" customHeight="1" spans="1:6">
      <c r="A214" s="6">
        <v>213</v>
      </c>
      <c r="B214" s="8" t="s">
        <v>12568</v>
      </c>
      <c r="C214" s="8" t="s">
        <v>12569</v>
      </c>
      <c r="D214" s="8" t="s">
        <v>12570</v>
      </c>
      <c r="E214" s="8" t="s">
        <v>4723</v>
      </c>
      <c r="F214" s="8" t="s">
        <v>12571</v>
      </c>
    </row>
    <row r="215" customHeight="1" spans="1:6">
      <c r="A215" s="6">
        <v>214</v>
      </c>
      <c r="B215" s="8" t="s">
        <v>12572</v>
      </c>
      <c r="C215" s="8" t="s">
        <v>12573</v>
      </c>
      <c r="D215" s="8" t="s">
        <v>12566</v>
      </c>
      <c r="E215" s="8" t="s">
        <v>4723</v>
      </c>
      <c r="F215" s="8" t="s">
        <v>12574</v>
      </c>
    </row>
    <row r="216" customHeight="1" spans="1:6">
      <c r="A216" s="6">
        <v>215</v>
      </c>
      <c r="B216" s="8" t="s">
        <v>12572</v>
      </c>
      <c r="C216" s="8" t="s">
        <v>12573</v>
      </c>
      <c r="D216" s="8" t="s">
        <v>12566</v>
      </c>
      <c r="E216" s="8" t="s">
        <v>4723</v>
      </c>
      <c r="F216" s="8" t="s">
        <v>12574</v>
      </c>
    </row>
    <row r="217" customHeight="1" spans="1:6">
      <c r="A217" s="6">
        <v>216</v>
      </c>
      <c r="B217" s="8" t="s">
        <v>12575</v>
      </c>
      <c r="C217" s="8" t="s">
        <v>12576</v>
      </c>
      <c r="D217" s="8" t="s">
        <v>12577</v>
      </c>
      <c r="E217" s="8" t="s">
        <v>23</v>
      </c>
      <c r="F217" s="8" t="s">
        <v>12578</v>
      </c>
    </row>
    <row r="218" customHeight="1" spans="1:6">
      <c r="A218" s="6">
        <v>217</v>
      </c>
      <c r="B218" s="8" t="s">
        <v>12575</v>
      </c>
      <c r="C218" s="8" t="s">
        <v>12576</v>
      </c>
      <c r="D218" s="8" t="s">
        <v>12577</v>
      </c>
      <c r="E218" s="8" t="s">
        <v>23</v>
      </c>
      <c r="F218" s="8" t="s">
        <v>12578</v>
      </c>
    </row>
    <row r="219" customHeight="1" spans="1:6">
      <c r="A219" s="6">
        <v>218</v>
      </c>
      <c r="B219" s="8" t="s">
        <v>12579</v>
      </c>
      <c r="C219" s="8" t="s">
        <v>12580</v>
      </c>
      <c r="D219" s="8" t="s">
        <v>12581</v>
      </c>
      <c r="E219" s="8" t="s">
        <v>675</v>
      </c>
      <c r="F219" s="8" t="s">
        <v>12582</v>
      </c>
    </row>
    <row r="220" customHeight="1" spans="1:6">
      <c r="A220" s="6">
        <v>219</v>
      </c>
      <c r="B220" s="8" t="s">
        <v>12579</v>
      </c>
      <c r="C220" s="8" t="s">
        <v>12580</v>
      </c>
      <c r="D220" s="8" t="s">
        <v>12581</v>
      </c>
      <c r="E220" s="8" t="s">
        <v>675</v>
      </c>
      <c r="F220" s="8" t="s">
        <v>12582</v>
      </c>
    </row>
    <row r="221" customHeight="1" spans="1:6">
      <c r="A221" s="6">
        <v>220</v>
      </c>
      <c r="B221" s="8" t="s">
        <v>12583</v>
      </c>
      <c r="C221" s="8" t="s">
        <v>12584</v>
      </c>
      <c r="D221" s="8" t="s">
        <v>12585</v>
      </c>
      <c r="E221" s="8" t="s">
        <v>12586</v>
      </c>
      <c r="F221" s="8" t="s">
        <v>12587</v>
      </c>
    </row>
    <row r="222" customHeight="1" spans="1:6">
      <c r="A222" s="6">
        <v>221</v>
      </c>
      <c r="B222" s="8" t="s">
        <v>12583</v>
      </c>
      <c r="C222" s="8" t="s">
        <v>12584</v>
      </c>
      <c r="D222" s="8" t="s">
        <v>12585</v>
      </c>
      <c r="E222" s="8" t="s">
        <v>12586</v>
      </c>
      <c r="F222" s="8" t="s">
        <v>12587</v>
      </c>
    </row>
    <row r="223" customHeight="1" spans="1:6">
      <c r="A223" s="6">
        <v>222</v>
      </c>
      <c r="B223" s="8" t="s">
        <v>12588</v>
      </c>
      <c r="C223" s="8" t="s">
        <v>12589</v>
      </c>
      <c r="D223" s="8" t="s">
        <v>12590</v>
      </c>
      <c r="E223" s="8" t="s">
        <v>216</v>
      </c>
      <c r="F223" s="8" t="s">
        <v>12591</v>
      </c>
    </row>
    <row r="224" customHeight="1" spans="1:6">
      <c r="A224" s="6">
        <v>223</v>
      </c>
      <c r="B224" s="8" t="s">
        <v>12588</v>
      </c>
      <c r="C224" s="8" t="s">
        <v>12589</v>
      </c>
      <c r="D224" s="8" t="s">
        <v>12590</v>
      </c>
      <c r="E224" s="8" t="s">
        <v>216</v>
      </c>
      <c r="F224" s="8" t="s">
        <v>12591</v>
      </c>
    </row>
    <row r="225" customHeight="1" spans="1:6">
      <c r="A225" s="6">
        <v>224</v>
      </c>
      <c r="B225" s="7" t="str">
        <f t="shared" ref="B225:B227" si="2">"978-7-5143-9103-9"</f>
        <v>978-7-5143-9103-9</v>
      </c>
      <c r="C225" s="7" t="str">
        <f t="shared" ref="C225:C227" si="3">"5G×AI时代：生活方式和市场的裂变"</f>
        <v>5G×AI时代：生活方式和市场的裂变</v>
      </c>
      <c r="D225" s="7" t="str">
        <f t="shared" ref="D225:D227" si="4">"(日) 安冈宽道 ... [等] 著；吕灵芝译"</f>
        <v>(日) 安冈宽道 ... [等] 著；吕灵芝译</v>
      </c>
      <c r="E225" s="7" t="str">
        <f t="shared" ref="E225:E227" si="5">"现代出版社"</f>
        <v>现代出版社</v>
      </c>
      <c r="F225" s="7" t="str">
        <f t="shared" ref="F225:F227" si="6">"TN929.53/465"</f>
        <v>TN929.53/465</v>
      </c>
    </row>
    <row r="226" customHeight="1" spans="1:6">
      <c r="A226" s="6">
        <v>225</v>
      </c>
      <c r="B226" s="7" t="str">
        <f t="shared" si="2"/>
        <v>978-7-5143-9103-9</v>
      </c>
      <c r="C226" s="7" t="str">
        <f t="shared" si="3"/>
        <v>5G×AI时代：生活方式和市场的裂变</v>
      </c>
      <c r="D226" s="7" t="str">
        <f t="shared" si="4"/>
        <v>(日) 安冈宽道 ... [等] 著；吕灵芝译</v>
      </c>
      <c r="E226" s="7" t="str">
        <f t="shared" si="5"/>
        <v>现代出版社</v>
      </c>
      <c r="F226" s="7" t="str">
        <f t="shared" si="6"/>
        <v>TN929.53/465</v>
      </c>
    </row>
    <row r="227" customHeight="1" spans="1:6">
      <c r="A227" s="6">
        <v>226</v>
      </c>
      <c r="B227" s="7" t="str">
        <f t="shared" si="2"/>
        <v>978-7-5143-9103-9</v>
      </c>
      <c r="C227" s="7" t="str">
        <f t="shared" si="3"/>
        <v>5G×AI时代：生活方式和市场的裂变</v>
      </c>
      <c r="D227" s="7" t="str">
        <f t="shared" si="4"/>
        <v>(日) 安冈宽道 ... [等] 著；吕灵芝译</v>
      </c>
      <c r="E227" s="7" t="str">
        <f t="shared" si="5"/>
        <v>现代出版社</v>
      </c>
      <c r="F227" s="7" t="str">
        <f t="shared" si="6"/>
        <v>TN929.53/465</v>
      </c>
    </row>
    <row r="228" customHeight="1" spans="1:6">
      <c r="A228" s="6">
        <v>227</v>
      </c>
      <c r="B228" s="8" t="s">
        <v>12592</v>
      </c>
      <c r="C228" s="8" t="s">
        <v>12593</v>
      </c>
      <c r="D228" s="8" t="s">
        <v>12594</v>
      </c>
      <c r="E228" s="8" t="s">
        <v>216</v>
      </c>
      <c r="F228" s="8" t="s">
        <v>12595</v>
      </c>
    </row>
    <row r="229" customHeight="1" spans="1:6">
      <c r="A229" s="6">
        <v>228</v>
      </c>
      <c r="B229" s="8" t="s">
        <v>12592</v>
      </c>
      <c r="C229" s="8" t="s">
        <v>12593</v>
      </c>
      <c r="D229" s="8" t="s">
        <v>12594</v>
      </c>
      <c r="E229" s="8" t="s">
        <v>216</v>
      </c>
      <c r="F229" s="8" t="s">
        <v>12595</v>
      </c>
    </row>
    <row r="230" customHeight="1" spans="1:6">
      <c r="A230" s="6">
        <v>229</v>
      </c>
      <c r="B230" s="8" t="s">
        <v>12596</v>
      </c>
      <c r="C230" s="8" t="s">
        <v>12597</v>
      </c>
      <c r="D230" s="8" t="s">
        <v>12598</v>
      </c>
      <c r="E230" s="8" t="s">
        <v>530</v>
      </c>
      <c r="F230" s="8" t="s">
        <v>12599</v>
      </c>
    </row>
    <row r="231" customHeight="1" spans="1:6">
      <c r="A231" s="6">
        <v>230</v>
      </c>
      <c r="B231" s="8" t="s">
        <v>12596</v>
      </c>
      <c r="C231" s="8" t="s">
        <v>12597</v>
      </c>
      <c r="D231" s="8" t="s">
        <v>12598</v>
      </c>
      <c r="E231" s="8" t="s">
        <v>530</v>
      </c>
      <c r="F231" s="8" t="s">
        <v>12599</v>
      </c>
    </row>
    <row r="232" customHeight="1" spans="1:6">
      <c r="A232" s="6">
        <v>231</v>
      </c>
      <c r="B232" s="8" t="s">
        <v>12600</v>
      </c>
      <c r="C232" s="8" t="s">
        <v>12601</v>
      </c>
      <c r="D232" s="8" t="s">
        <v>12509</v>
      </c>
      <c r="E232" s="8" t="s">
        <v>2358</v>
      </c>
      <c r="F232" s="8" t="s">
        <v>12602</v>
      </c>
    </row>
    <row r="233" customHeight="1" spans="1:6">
      <c r="A233" s="6">
        <v>232</v>
      </c>
      <c r="B233" s="8" t="s">
        <v>12600</v>
      </c>
      <c r="C233" s="8" t="s">
        <v>12601</v>
      </c>
      <c r="D233" s="8" t="s">
        <v>12509</v>
      </c>
      <c r="E233" s="8" t="s">
        <v>2358</v>
      </c>
      <c r="F233" s="8" t="s">
        <v>12602</v>
      </c>
    </row>
    <row r="234" customHeight="1" spans="1:6">
      <c r="A234" s="6">
        <v>233</v>
      </c>
      <c r="B234" s="8" t="s">
        <v>12603</v>
      </c>
      <c r="C234" s="8" t="s">
        <v>12604</v>
      </c>
      <c r="D234" s="8" t="s">
        <v>12605</v>
      </c>
      <c r="E234" s="8" t="s">
        <v>216</v>
      </c>
      <c r="F234" s="8" t="s">
        <v>12606</v>
      </c>
    </row>
    <row r="235" customHeight="1" spans="1:6">
      <c r="A235" s="6">
        <v>234</v>
      </c>
      <c r="B235" s="8" t="s">
        <v>12603</v>
      </c>
      <c r="C235" s="8" t="s">
        <v>12604</v>
      </c>
      <c r="D235" s="8" t="s">
        <v>12605</v>
      </c>
      <c r="E235" s="8" t="s">
        <v>216</v>
      </c>
      <c r="F235" s="8" t="s">
        <v>12606</v>
      </c>
    </row>
    <row r="236" customHeight="1" spans="1:6">
      <c r="A236" s="6">
        <v>235</v>
      </c>
      <c r="B236" s="8" t="s">
        <v>12607</v>
      </c>
      <c r="C236" s="8" t="s">
        <v>12608</v>
      </c>
      <c r="D236" s="8" t="s">
        <v>12609</v>
      </c>
      <c r="E236" s="8" t="s">
        <v>216</v>
      </c>
      <c r="F236" s="8" t="s">
        <v>12610</v>
      </c>
    </row>
    <row r="237" customHeight="1" spans="1:6">
      <c r="A237" s="6">
        <v>236</v>
      </c>
      <c r="B237" s="8" t="s">
        <v>12607</v>
      </c>
      <c r="C237" s="8" t="s">
        <v>12608</v>
      </c>
      <c r="D237" s="8" t="s">
        <v>12609</v>
      </c>
      <c r="E237" s="8" t="s">
        <v>216</v>
      </c>
      <c r="F237" s="8" t="s">
        <v>12610</v>
      </c>
    </row>
    <row r="238" customHeight="1" spans="1:6">
      <c r="A238" s="6">
        <v>237</v>
      </c>
      <c r="B238" s="8" t="s">
        <v>12611</v>
      </c>
      <c r="C238" s="8" t="s">
        <v>12612</v>
      </c>
      <c r="D238" s="8" t="s">
        <v>12227</v>
      </c>
      <c r="E238" s="8" t="s">
        <v>216</v>
      </c>
      <c r="F238" s="8" t="s">
        <v>12613</v>
      </c>
    </row>
    <row r="239" customHeight="1" spans="1:6">
      <c r="A239" s="6">
        <v>238</v>
      </c>
      <c r="B239" s="8" t="s">
        <v>12611</v>
      </c>
      <c r="C239" s="8" t="s">
        <v>12612</v>
      </c>
      <c r="D239" s="8" t="s">
        <v>12227</v>
      </c>
      <c r="E239" s="8" t="s">
        <v>216</v>
      </c>
      <c r="F239" s="8" t="s">
        <v>12613</v>
      </c>
    </row>
    <row r="240" customHeight="1" spans="1:6">
      <c r="A240" s="6">
        <v>239</v>
      </c>
      <c r="B240" s="8" t="s">
        <v>12614</v>
      </c>
      <c r="C240" s="8" t="s">
        <v>12615</v>
      </c>
      <c r="D240" s="8" t="s">
        <v>12616</v>
      </c>
      <c r="E240" s="8" t="s">
        <v>420</v>
      </c>
      <c r="F240" s="8" t="s">
        <v>12617</v>
      </c>
    </row>
    <row r="241" customHeight="1" spans="1:6">
      <c r="A241" s="6">
        <v>240</v>
      </c>
      <c r="B241" s="8" t="s">
        <v>12614</v>
      </c>
      <c r="C241" s="8" t="s">
        <v>12615</v>
      </c>
      <c r="D241" s="8" t="s">
        <v>12616</v>
      </c>
      <c r="E241" s="8" t="s">
        <v>420</v>
      </c>
      <c r="F241" s="8" t="s">
        <v>12617</v>
      </c>
    </row>
    <row r="242" customHeight="1" spans="1:6">
      <c r="A242" s="6">
        <v>241</v>
      </c>
      <c r="B242" s="8" t="s">
        <v>12618</v>
      </c>
      <c r="C242" s="8" t="s">
        <v>12619</v>
      </c>
      <c r="D242" s="8" t="s">
        <v>12620</v>
      </c>
      <c r="E242" s="8" t="s">
        <v>256</v>
      </c>
      <c r="F242" s="8" t="s">
        <v>12621</v>
      </c>
    </row>
    <row r="243" customHeight="1" spans="1:6">
      <c r="A243" s="6">
        <v>242</v>
      </c>
      <c r="B243" s="8" t="s">
        <v>12618</v>
      </c>
      <c r="C243" s="8" t="s">
        <v>12619</v>
      </c>
      <c r="D243" s="8" t="s">
        <v>12620</v>
      </c>
      <c r="E243" s="8" t="s">
        <v>256</v>
      </c>
      <c r="F243" s="8" t="s">
        <v>12621</v>
      </c>
    </row>
    <row r="244" customHeight="1" spans="1:6">
      <c r="A244" s="6">
        <v>243</v>
      </c>
      <c r="B244" s="8" t="s">
        <v>12622</v>
      </c>
      <c r="C244" s="8" t="s">
        <v>12623</v>
      </c>
      <c r="D244" s="8" t="s">
        <v>12624</v>
      </c>
      <c r="E244" s="8" t="s">
        <v>216</v>
      </c>
      <c r="F244" s="8" t="s">
        <v>12625</v>
      </c>
    </row>
    <row r="245" customHeight="1" spans="1:6">
      <c r="A245" s="6">
        <v>244</v>
      </c>
      <c r="B245" s="8" t="s">
        <v>12622</v>
      </c>
      <c r="C245" s="8" t="s">
        <v>12623</v>
      </c>
      <c r="D245" s="8" t="s">
        <v>12624</v>
      </c>
      <c r="E245" s="8" t="s">
        <v>216</v>
      </c>
      <c r="F245" s="8" t="s">
        <v>12625</v>
      </c>
    </row>
    <row r="246" customHeight="1" spans="1:6">
      <c r="A246" s="6">
        <v>245</v>
      </c>
      <c r="B246" s="8" t="s">
        <v>12626</v>
      </c>
      <c r="C246" s="8" t="s">
        <v>12627</v>
      </c>
      <c r="D246" s="8" t="s">
        <v>12628</v>
      </c>
      <c r="E246" s="8" t="s">
        <v>1734</v>
      </c>
      <c r="F246" s="8" t="s">
        <v>12629</v>
      </c>
    </row>
    <row r="247" customHeight="1" spans="1:6">
      <c r="A247" s="6">
        <v>246</v>
      </c>
      <c r="B247" s="8" t="s">
        <v>12626</v>
      </c>
      <c r="C247" s="8" t="s">
        <v>12627</v>
      </c>
      <c r="D247" s="8" t="s">
        <v>12628</v>
      </c>
      <c r="E247" s="8" t="s">
        <v>1734</v>
      </c>
      <c r="F247" s="8" t="s">
        <v>12629</v>
      </c>
    </row>
    <row r="248" customHeight="1" spans="1:6">
      <c r="A248" s="6">
        <v>247</v>
      </c>
      <c r="B248" s="8" t="s">
        <v>12630</v>
      </c>
      <c r="C248" s="8" t="s">
        <v>12631</v>
      </c>
      <c r="D248" s="8" t="s">
        <v>12632</v>
      </c>
      <c r="E248" s="8" t="s">
        <v>3146</v>
      </c>
      <c r="F248" s="8" t="s">
        <v>12633</v>
      </c>
    </row>
    <row r="249" customHeight="1" spans="1:6">
      <c r="A249" s="6">
        <v>248</v>
      </c>
      <c r="B249" s="8" t="s">
        <v>12630</v>
      </c>
      <c r="C249" s="8" t="s">
        <v>12631</v>
      </c>
      <c r="D249" s="8" t="s">
        <v>12632</v>
      </c>
      <c r="E249" s="8" t="s">
        <v>3146</v>
      </c>
      <c r="F249" s="8" t="s">
        <v>12633</v>
      </c>
    </row>
    <row r="250" customHeight="1" spans="1:6">
      <c r="A250" s="6">
        <v>249</v>
      </c>
      <c r="B250" s="8" t="s">
        <v>12634</v>
      </c>
      <c r="C250" s="8" t="s">
        <v>12635</v>
      </c>
      <c r="D250" s="8" t="s">
        <v>12636</v>
      </c>
      <c r="E250" s="8" t="s">
        <v>197</v>
      </c>
      <c r="F250" s="8" t="s">
        <v>12637</v>
      </c>
    </row>
    <row r="251" customHeight="1" spans="1:6">
      <c r="A251" s="6">
        <v>250</v>
      </c>
      <c r="B251" s="8" t="s">
        <v>12634</v>
      </c>
      <c r="C251" s="8" t="s">
        <v>12635</v>
      </c>
      <c r="D251" s="8" t="s">
        <v>12636</v>
      </c>
      <c r="E251" s="8" t="s">
        <v>197</v>
      </c>
      <c r="F251" s="8" t="s">
        <v>12637</v>
      </c>
    </row>
    <row r="252" customHeight="1" spans="1:6">
      <c r="A252" s="6">
        <v>251</v>
      </c>
      <c r="B252" s="8" t="s">
        <v>12638</v>
      </c>
      <c r="C252" s="8" t="s">
        <v>12639</v>
      </c>
      <c r="D252" s="8" t="s">
        <v>12640</v>
      </c>
      <c r="E252" s="8" t="s">
        <v>216</v>
      </c>
      <c r="F252" s="8" t="s">
        <v>12641</v>
      </c>
    </row>
    <row r="253" customHeight="1" spans="1:6">
      <c r="A253" s="6">
        <v>252</v>
      </c>
      <c r="B253" s="8" t="s">
        <v>12638</v>
      </c>
      <c r="C253" s="8" t="s">
        <v>12639</v>
      </c>
      <c r="D253" s="8" t="s">
        <v>12640</v>
      </c>
      <c r="E253" s="8" t="s">
        <v>216</v>
      </c>
      <c r="F253" s="8" t="s">
        <v>12641</v>
      </c>
    </row>
    <row r="254" customHeight="1" spans="1:6">
      <c r="A254" s="6">
        <v>253</v>
      </c>
      <c r="B254" s="8" t="s">
        <v>12642</v>
      </c>
      <c r="C254" s="8" t="s">
        <v>12643</v>
      </c>
      <c r="D254" s="8" t="s">
        <v>12644</v>
      </c>
      <c r="E254" s="8" t="s">
        <v>8825</v>
      </c>
      <c r="F254" s="8" t="s">
        <v>12645</v>
      </c>
    </row>
    <row r="255" customHeight="1" spans="1:6">
      <c r="A255" s="6">
        <v>254</v>
      </c>
      <c r="B255" s="8" t="s">
        <v>12642</v>
      </c>
      <c r="C255" s="8" t="s">
        <v>12643</v>
      </c>
      <c r="D255" s="8" t="s">
        <v>12644</v>
      </c>
      <c r="E255" s="8" t="s">
        <v>8825</v>
      </c>
      <c r="F255" s="8" t="s">
        <v>12645</v>
      </c>
    </row>
    <row r="256" customHeight="1" spans="1:6">
      <c r="A256" s="6">
        <v>255</v>
      </c>
      <c r="B256" s="8" t="s">
        <v>12646</v>
      </c>
      <c r="C256" s="8" t="s">
        <v>12647</v>
      </c>
      <c r="D256" s="8" t="s">
        <v>12648</v>
      </c>
      <c r="E256" s="8" t="s">
        <v>415</v>
      </c>
      <c r="F256" s="8" t="s">
        <v>12649</v>
      </c>
    </row>
    <row r="257" customHeight="1" spans="1:6">
      <c r="A257" s="6">
        <v>256</v>
      </c>
      <c r="B257" s="8" t="s">
        <v>12646</v>
      </c>
      <c r="C257" s="8" t="s">
        <v>12647</v>
      </c>
      <c r="D257" s="8" t="s">
        <v>12648</v>
      </c>
      <c r="E257" s="8" t="s">
        <v>415</v>
      </c>
      <c r="F257" s="8" t="s">
        <v>12649</v>
      </c>
    </row>
    <row r="258" customHeight="1" spans="1:6">
      <c r="A258" s="6">
        <v>257</v>
      </c>
      <c r="B258" s="8" t="s">
        <v>12650</v>
      </c>
      <c r="C258" s="8" t="s">
        <v>12651</v>
      </c>
      <c r="D258" s="8" t="s">
        <v>12652</v>
      </c>
      <c r="E258" s="8" t="s">
        <v>3146</v>
      </c>
      <c r="F258" s="8" t="s">
        <v>12653</v>
      </c>
    </row>
    <row r="259" customHeight="1" spans="1:6">
      <c r="A259" s="6">
        <v>258</v>
      </c>
      <c r="B259" s="8" t="s">
        <v>12650</v>
      </c>
      <c r="C259" s="8" t="s">
        <v>12651</v>
      </c>
      <c r="D259" s="8" t="s">
        <v>12652</v>
      </c>
      <c r="E259" s="8" t="s">
        <v>3146</v>
      </c>
      <c r="F259" s="8" t="s">
        <v>12653</v>
      </c>
    </row>
    <row r="260" customHeight="1" spans="1:6">
      <c r="A260" s="6">
        <v>259</v>
      </c>
      <c r="B260" s="8" t="s">
        <v>12654</v>
      </c>
      <c r="C260" s="8" t="s">
        <v>12655</v>
      </c>
      <c r="D260" s="8" t="s">
        <v>12656</v>
      </c>
      <c r="E260" s="8" t="s">
        <v>256</v>
      </c>
      <c r="F260" s="8" t="s">
        <v>12657</v>
      </c>
    </row>
    <row r="261" customHeight="1" spans="1:6">
      <c r="A261" s="6">
        <v>260</v>
      </c>
      <c r="B261" s="8" t="s">
        <v>12654</v>
      </c>
      <c r="C261" s="8" t="s">
        <v>12655</v>
      </c>
      <c r="D261" s="8" t="s">
        <v>12656</v>
      </c>
      <c r="E261" s="8" t="s">
        <v>256</v>
      </c>
      <c r="F261" s="8" t="s">
        <v>12657</v>
      </c>
    </row>
    <row r="262" customHeight="1" spans="1:6">
      <c r="A262" s="6">
        <v>261</v>
      </c>
      <c r="B262" s="8" t="s">
        <v>12658</v>
      </c>
      <c r="C262" s="8" t="s">
        <v>12659</v>
      </c>
      <c r="D262" s="8" t="s">
        <v>12660</v>
      </c>
      <c r="E262" s="8" t="s">
        <v>360</v>
      </c>
      <c r="F262" s="8" t="s">
        <v>12661</v>
      </c>
    </row>
    <row r="263" customHeight="1" spans="1:6">
      <c r="A263" s="6">
        <v>262</v>
      </c>
      <c r="B263" s="8" t="s">
        <v>12658</v>
      </c>
      <c r="C263" s="8" t="s">
        <v>12659</v>
      </c>
      <c r="D263" s="8" t="s">
        <v>12660</v>
      </c>
      <c r="E263" s="8" t="s">
        <v>360</v>
      </c>
      <c r="F263" s="8" t="s">
        <v>12661</v>
      </c>
    </row>
    <row r="264" customHeight="1" spans="1:6">
      <c r="A264" s="6">
        <v>263</v>
      </c>
      <c r="B264" s="8" t="s">
        <v>12662</v>
      </c>
      <c r="C264" s="8" t="s">
        <v>12663</v>
      </c>
      <c r="D264" s="8" t="s">
        <v>12664</v>
      </c>
      <c r="E264" s="8" t="s">
        <v>216</v>
      </c>
      <c r="F264" s="8" t="s">
        <v>12665</v>
      </c>
    </row>
    <row r="265" customHeight="1" spans="1:6">
      <c r="A265" s="6">
        <v>264</v>
      </c>
      <c r="B265" s="8" t="s">
        <v>12662</v>
      </c>
      <c r="C265" s="8" t="s">
        <v>12663</v>
      </c>
      <c r="D265" s="8" t="s">
        <v>12664</v>
      </c>
      <c r="E265" s="8" t="s">
        <v>216</v>
      </c>
      <c r="F265" s="8" t="s">
        <v>12665</v>
      </c>
    </row>
    <row r="266" customHeight="1" spans="1:6">
      <c r="A266" s="6">
        <v>265</v>
      </c>
      <c r="B266" s="8" t="s">
        <v>12666</v>
      </c>
      <c r="C266" s="8" t="s">
        <v>12667</v>
      </c>
      <c r="D266" s="8" t="s">
        <v>12668</v>
      </c>
      <c r="E266" s="8" t="s">
        <v>2207</v>
      </c>
      <c r="F266" s="8" t="s">
        <v>12669</v>
      </c>
    </row>
    <row r="267" customHeight="1" spans="1:6">
      <c r="A267" s="6">
        <v>266</v>
      </c>
      <c r="B267" s="8" t="s">
        <v>12666</v>
      </c>
      <c r="C267" s="8" t="s">
        <v>12667</v>
      </c>
      <c r="D267" s="8" t="s">
        <v>12668</v>
      </c>
      <c r="E267" s="8" t="s">
        <v>2207</v>
      </c>
      <c r="F267" s="8" t="s">
        <v>12669</v>
      </c>
    </row>
    <row r="268" customHeight="1" spans="1:6">
      <c r="A268" s="6">
        <v>267</v>
      </c>
      <c r="B268" s="8" t="s">
        <v>12670</v>
      </c>
      <c r="C268" s="8" t="s">
        <v>12671</v>
      </c>
      <c r="D268" s="8" t="s">
        <v>12672</v>
      </c>
      <c r="E268" s="8" t="s">
        <v>530</v>
      </c>
      <c r="F268" s="8" t="s">
        <v>12673</v>
      </c>
    </row>
    <row r="269" customHeight="1" spans="1:6">
      <c r="A269" s="6">
        <v>268</v>
      </c>
      <c r="B269" s="8" t="s">
        <v>12670</v>
      </c>
      <c r="C269" s="8" t="s">
        <v>12671</v>
      </c>
      <c r="D269" s="8" t="s">
        <v>12672</v>
      </c>
      <c r="E269" s="8" t="s">
        <v>530</v>
      </c>
      <c r="F269" s="8" t="s">
        <v>12673</v>
      </c>
    </row>
    <row r="270" customHeight="1" spans="1:6">
      <c r="A270" s="6">
        <v>269</v>
      </c>
      <c r="B270" s="8" t="s">
        <v>12674</v>
      </c>
      <c r="C270" s="8" t="s">
        <v>12675</v>
      </c>
      <c r="D270" s="8" t="s">
        <v>12676</v>
      </c>
      <c r="E270" s="8" t="s">
        <v>530</v>
      </c>
      <c r="F270" s="8" t="s">
        <v>12677</v>
      </c>
    </row>
    <row r="271" customHeight="1" spans="1:6">
      <c r="A271" s="6">
        <v>270</v>
      </c>
      <c r="B271" s="8" t="s">
        <v>12674</v>
      </c>
      <c r="C271" s="8" t="s">
        <v>12675</v>
      </c>
      <c r="D271" s="8" t="s">
        <v>12676</v>
      </c>
      <c r="E271" s="8" t="s">
        <v>530</v>
      </c>
      <c r="F271" s="8" t="s">
        <v>12677</v>
      </c>
    </row>
    <row r="272" customHeight="1" spans="1:6">
      <c r="A272" s="6">
        <v>271</v>
      </c>
      <c r="B272" s="8" t="s">
        <v>12678</v>
      </c>
      <c r="C272" s="8" t="s">
        <v>12679</v>
      </c>
      <c r="D272" s="8" t="s">
        <v>12680</v>
      </c>
      <c r="E272" s="8" t="s">
        <v>288</v>
      </c>
      <c r="F272" s="8" t="s">
        <v>12681</v>
      </c>
    </row>
    <row r="273" customHeight="1" spans="1:6">
      <c r="A273" s="6">
        <v>272</v>
      </c>
      <c r="B273" s="8" t="s">
        <v>12678</v>
      </c>
      <c r="C273" s="8" t="s">
        <v>12679</v>
      </c>
      <c r="D273" s="8" t="s">
        <v>12680</v>
      </c>
      <c r="E273" s="8" t="s">
        <v>288</v>
      </c>
      <c r="F273" s="8" t="s">
        <v>12681</v>
      </c>
    </row>
    <row r="274" customHeight="1" spans="1:6">
      <c r="A274" s="6">
        <v>273</v>
      </c>
      <c r="B274" s="7" t="str">
        <f>"978-7-111-68812-9"</f>
        <v>978-7-111-68812-9</v>
      </c>
      <c r="C274" s="7" t="str">
        <f>"机器学习与人工智能：从理论到实践"</f>
        <v>机器学习与人工智能：从理论到实践</v>
      </c>
      <c r="D274" s="7" t="str">
        <f>"(美) 阿米特·V.乔希著Ameet V Joshi；李征， 袁科译"</f>
        <v>(美) 阿米特·V.乔希著Ameet V Joshi；李征， 袁科译</v>
      </c>
      <c r="E274" s="7" t="str">
        <f t="shared" ref="E274:E277" si="7">"机械工业出版社"</f>
        <v>机械工业出版社</v>
      </c>
      <c r="F274" s="7" t="str">
        <f>"TP18/574"</f>
        <v>TP18/574</v>
      </c>
    </row>
    <row r="275" customHeight="1" spans="1:6">
      <c r="A275" s="6">
        <v>274</v>
      </c>
      <c r="B275" s="7" t="str">
        <f>"978-7-111-68812-9"</f>
        <v>978-7-111-68812-9</v>
      </c>
      <c r="C275" s="7" t="str">
        <f>"机器学习与人工智能：从理论到实践"</f>
        <v>机器学习与人工智能：从理论到实践</v>
      </c>
      <c r="D275" s="7" t="str">
        <f>"(美) 阿米特·V.乔希著Ameet V Joshi；李征， 袁科译"</f>
        <v>(美) 阿米特·V.乔希著Ameet V Joshi；李征， 袁科译</v>
      </c>
      <c r="E275" s="7" t="str">
        <f t="shared" si="7"/>
        <v>机械工业出版社</v>
      </c>
      <c r="F275" s="7" t="str">
        <f>"TP18/574"</f>
        <v>TP18/574</v>
      </c>
    </row>
    <row r="276" customHeight="1" spans="1:6">
      <c r="A276" s="6">
        <v>275</v>
      </c>
      <c r="B276" s="7" t="str">
        <f>"978-7-111-68801-3"</f>
        <v>978-7-111-68801-3</v>
      </c>
      <c r="C276" s="7" t="str">
        <f>"人工智能算法大全：基于MATLAB：case studies and applied research"</f>
        <v>人工智能算法大全：基于MATLAB：case studies and applied research</v>
      </c>
      <c r="D276" s="7" t="str">
        <f>"李一邨编著"</f>
        <v>李一邨编著</v>
      </c>
      <c r="E276" s="7" t="str">
        <f t="shared" si="7"/>
        <v>机械工业出版社</v>
      </c>
      <c r="F276" s="7" t="str">
        <f>"TP18/575"</f>
        <v>TP18/575</v>
      </c>
    </row>
    <row r="277" customHeight="1" spans="1:6">
      <c r="A277" s="6">
        <v>276</v>
      </c>
      <c r="B277" s="7" t="str">
        <f>"978-7-111-68801-3"</f>
        <v>978-7-111-68801-3</v>
      </c>
      <c r="C277" s="7" t="str">
        <f>"人工智能算法大全：基于MATLAB：case studies and applied research"</f>
        <v>人工智能算法大全：基于MATLAB：case studies and applied research</v>
      </c>
      <c r="D277" s="7" t="str">
        <f>"李一邨编著"</f>
        <v>李一邨编著</v>
      </c>
      <c r="E277" s="7" t="str">
        <f t="shared" si="7"/>
        <v>机械工业出版社</v>
      </c>
      <c r="F277" s="7" t="str">
        <f>"TP18/575"</f>
        <v>TP18/575</v>
      </c>
    </row>
    <row r="278" customHeight="1" spans="1:6">
      <c r="A278" s="6">
        <v>277</v>
      </c>
      <c r="B278" s="7" t="str">
        <f>"978-7-5217-3239-9"</f>
        <v>978-7-5217-3239-9</v>
      </c>
      <c r="C278" s="7" t="str">
        <f>"科学之路：人， 机器与未来"</f>
        <v>科学之路：人， 机器与未来</v>
      </c>
      <c r="D278" s="7" t="str">
        <f>"(法) 杨立昆著；李皓， 马跃译"</f>
        <v>(法) 杨立昆著；李皓， 马跃译</v>
      </c>
      <c r="E278" s="7" t="str">
        <f>"中信出版集团股份有限公司"</f>
        <v>中信出版集团股份有限公司</v>
      </c>
      <c r="F278" s="7" t="str">
        <f>"TP18/576"</f>
        <v>TP18/576</v>
      </c>
    </row>
    <row r="279" customHeight="1" spans="1:6">
      <c r="A279" s="6">
        <v>278</v>
      </c>
      <c r="B279" s="7" t="str">
        <f>"978-7-5217-3239-9"</f>
        <v>978-7-5217-3239-9</v>
      </c>
      <c r="C279" s="7" t="str">
        <f>"科学之路：人， 机器与未来"</f>
        <v>科学之路：人， 机器与未来</v>
      </c>
      <c r="D279" s="7" t="str">
        <f>"(法) 杨立昆著；李皓， 马跃译"</f>
        <v>(法) 杨立昆著；李皓， 马跃译</v>
      </c>
      <c r="E279" s="7" t="str">
        <f>"中信出版集团股份有限公司"</f>
        <v>中信出版集团股份有限公司</v>
      </c>
      <c r="F279" s="7" t="str">
        <f>"TP18/576"</f>
        <v>TP18/576</v>
      </c>
    </row>
    <row r="280" customHeight="1" spans="1:6">
      <c r="A280" s="6">
        <v>279</v>
      </c>
      <c r="B280" s="7" t="str">
        <f>"978-7-111-68603-3"</f>
        <v>978-7-111-68603-3</v>
      </c>
      <c r="C280" s="7" t="str">
        <f>"机器意识：人工智能如何为机器人装上大脑：mobile， social， and sentient robots"</f>
        <v>机器意识：人工智能如何为机器人装上大脑：mobile， social， and sentient robots</v>
      </c>
      <c r="D280" s="7" t="str">
        <f>"(印) 阿卡普拉沃·包米克著Arkapravo Bhaumik；王兆天， 李晔卓等译"</f>
        <v>(印) 阿卡普拉沃·包米克著Arkapravo Bhaumik；王兆天， 李晔卓等译</v>
      </c>
      <c r="E280" s="7" t="str">
        <f>"机械工业出版社"</f>
        <v>机械工业出版社</v>
      </c>
      <c r="F280" s="7" t="str">
        <f>"TP18/577"</f>
        <v>TP18/577</v>
      </c>
    </row>
    <row r="281" customHeight="1" spans="1:6">
      <c r="A281" s="6">
        <v>280</v>
      </c>
      <c r="B281" s="7" t="str">
        <f>"978-7-111-68603-3"</f>
        <v>978-7-111-68603-3</v>
      </c>
      <c r="C281" s="7" t="str">
        <f>"机器意识：人工智能如何为机器人装上大脑：mobile， social， and sentient robots"</f>
        <v>机器意识：人工智能如何为机器人装上大脑：mobile， social， and sentient robots</v>
      </c>
      <c r="D281" s="7" t="str">
        <f>"(印) 阿卡普拉沃·包米克著Arkapravo Bhaumik；王兆天， 李晔卓等译"</f>
        <v>(印) 阿卡普拉沃·包米克著Arkapravo Bhaumik；王兆天， 李晔卓等译</v>
      </c>
      <c r="E281" s="7" t="str">
        <f>"机械工业出版社"</f>
        <v>机械工业出版社</v>
      </c>
      <c r="F281" s="7" t="str">
        <f>"TP18/577"</f>
        <v>TP18/577</v>
      </c>
    </row>
    <row r="282" customHeight="1" spans="1:6">
      <c r="A282" s="6">
        <v>281</v>
      </c>
      <c r="B282" s="8" t="s">
        <v>12682</v>
      </c>
      <c r="C282" s="8" t="s">
        <v>12683</v>
      </c>
      <c r="D282" s="8" t="s">
        <v>12684</v>
      </c>
      <c r="E282" s="8" t="s">
        <v>665</v>
      </c>
      <c r="F282" s="8" t="s">
        <v>12685</v>
      </c>
    </row>
    <row r="283" customHeight="1" spans="1:6">
      <c r="A283" s="6">
        <v>282</v>
      </c>
      <c r="B283" s="8" t="s">
        <v>12682</v>
      </c>
      <c r="C283" s="8" t="s">
        <v>12683</v>
      </c>
      <c r="D283" s="8" t="s">
        <v>12684</v>
      </c>
      <c r="E283" s="8" t="s">
        <v>665</v>
      </c>
      <c r="F283" s="8" t="s">
        <v>12685</v>
      </c>
    </row>
    <row r="284" customHeight="1" spans="1:6">
      <c r="A284" s="6">
        <v>283</v>
      </c>
      <c r="B284" s="8" t="s">
        <v>12686</v>
      </c>
      <c r="C284" s="8" t="s">
        <v>12687</v>
      </c>
      <c r="D284" s="8" t="s">
        <v>12688</v>
      </c>
      <c r="E284" s="8" t="s">
        <v>665</v>
      </c>
      <c r="F284" s="8" t="s">
        <v>12689</v>
      </c>
    </row>
    <row r="285" customHeight="1" spans="1:6">
      <c r="A285" s="6">
        <v>284</v>
      </c>
      <c r="B285" s="8" t="s">
        <v>12686</v>
      </c>
      <c r="C285" s="8" t="s">
        <v>12687</v>
      </c>
      <c r="D285" s="8" t="s">
        <v>12688</v>
      </c>
      <c r="E285" s="8" t="s">
        <v>665</v>
      </c>
      <c r="F285" s="8" t="s">
        <v>12689</v>
      </c>
    </row>
    <row r="286" customHeight="1" spans="1:6">
      <c r="A286" s="6">
        <v>285</v>
      </c>
      <c r="B286" s="8" t="s">
        <v>12690</v>
      </c>
      <c r="C286" s="8" t="s">
        <v>12691</v>
      </c>
      <c r="D286" s="8" t="s">
        <v>12692</v>
      </c>
      <c r="E286" s="8" t="s">
        <v>5358</v>
      </c>
      <c r="F286" s="8" t="s">
        <v>12693</v>
      </c>
    </row>
    <row r="287" customHeight="1" spans="1:6">
      <c r="A287" s="6">
        <v>286</v>
      </c>
      <c r="B287" s="8" t="s">
        <v>12690</v>
      </c>
      <c r="C287" s="8" t="s">
        <v>12691</v>
      </c>
      <c r="D287" s="8" t="s">
        <v>12692</v>
      </c>
      <c r="E287" s="8" t="s">
        <v>5358</v>
      </c>
      <c r="F287" s="8" t="s">
        <v>12693</v>
      </c>
    </row>
    <row r="288" customHeight="1" spans="1:6">
      <c r="A288" s="6">
        <v>287</v>
      </c>
      <c r="B288" s="8" t="s">
        <v>12694</v>
      </c>
      <c r="C288" s="8" t="s">
        <v>12695</v>
      </c>
      <c r="D288" s="8" t="s">
        <v>12696</v>
      </c>
      <c r="E288" s="8" t="s">
        <v>216</v>
      </c>
      <c r="F288" s="8" t="s">
        <v>12697</v>
      </c>
    </row>
    <row r="289" customHeight="1" spans="1:6">
      <c r="A289" s="6">
        <v>288</v>
      </c>
      <c r="B289" s="8" t="s">
        <v>12694</v>
      </c>
      <c r="C289" s="8" t="s">
        <v>12695</v>
      </c>
      <c r="D289" s="8" t="s">
        <v>12696</v>
      </c>
      <c r="E289" s="8" t="s">
        <v>216</v>
      </c>
      <c r="F289" s="8" t="s">
        <v>12697</v>
      </c>
    </row>
    <row r="290" customHeight="1" spans="1:6">
      <c r="A290" s="6">
        <v>289</v>
      </c>
      <c r="B290" s="8" t="s">
        <v>12698</v>
      </c>
      <c r="C290" s="8" t="s">
        <v>12699</v>
      </c>
      <c r="D290" s="8" t="s">
        <v>12700</v>
      </c>
      <c r="E290" s="8" t="s">
        <v>189</v>
      </c>
      <c r="F290" s="8" t="s">
        <v>12701</v>
      </c>
    </row>
    <row r="291" customHeight="1" spans="1:6">
      <c r="A291" s="6">
        <v>290</v>
      </c>
      <c r="B291" s="8" t="s">
        <v>12698</v>
      </c>
      <c r="C291" s="8" t="s">
        <v>12699</v>
      </c>
      <c r="D291" s="8" t="s">
        <v>12700</v>
      </c>
      <c r="E291" s="8" t="s">
        <v>189</v>
      </c>
      <c r="F291" s="8" t="s">
        <v>12701</v>
      </c>
    </row>
    <row r="292" customHeight="1" spans="1:6">
      <c r="A292" s="6">
        <v>291</v>
      </c>
      <c r="B292" s="8" t="s">
        <v>12702</v>
      </c>
      <c r="C292" s="8" t="s">
        <v>12703</v>
      </c>
      <c r="D292" s="8" t="s">
        <v>12704</v>
      </c>
      <c r="E292" s="8" t="s">
        <v>530</v>
      </c>
      <c r="F292" s="8" t="s">
        <v>12705</v>
      </c>
    </row>
    <row r="293" customHeight="1" spans="1:6">
      <c r="A293" s="6">
        <v>292</v>
      </c>
      <c r="B293" s="8" t="s">
        <v>12702</v>
      </c>
      <c r="C293" s="8" t="s">
        <v>12703</v>
      </c>
      <c r="D293" s="8" t="s">
        <v>12704</v>
      </c>
      <c r="E293" s="8" t="s">
        <v>530</v>
      </c>
      <c r="F293" s="8" t="s">
        <v>12705</v>
      </c>
    </row>
    <row r="294" customHeight="1" spans="1:6">
      <c r="A294" s="6">
        <v>293</v>
      </c>
      <c r="B294" s="8" t="s">
        <v>12706</v>
      </c>
      <c r="C294" s="8" t="s">
        <v>12707</v>
      </c>
      <c r="D294" s="8" t="s">
        <v>12688</v>
      </c>
      <c r="E294" s="8" t="s">
        <v>665</v>
      </c>
      <c r="F294" s="8" t="s">
        <v>12708</v>
      </c>
    </row>
    <row r="295" customHeight="1" spans="1:6">
      <c r="A295" s="6">
        <v>294</v>
      </c>
      <c r="B295" s="8" t="s">
        <v>12706</v>
      </c>
      <c r="C295" s="8" t="s">
        <v>12707</v>
      </c>
      <c r="D295" s="8" t="s">
        <v>12688</v>
      </c>
      <c r="E295" s="8" t="s">
        <v>665</v>
      </c>
      <c r="F295" s="8" t="s">
        <v>12708</v>
      </c>
    </row>
    <row r="296" customHeight="1" spans="1:6">
      <c r="A296" s="6">
        <v>295</v>
      </c>
      <c r="B296" s="8" t="s">
        <v>12709</v>
      </c>
      <c r="C296" s="8" t="s">
        <v>12710</v>
      </c>
      <c r="D296" s="8" t="s">
        <v>12711</v>
      </c>
      <c r="E296" s="8" t="s">
        <v>1734</v>
      </c>
      <c r="F296" s="8" t="s">
        <v>12712</v>
      </c>
    </row>
    <row r="297" customHeight="1" spans="1:6">
      <c r="A297" s="6">
        <v>296</v>
      </c>
      <c r="B297" s="8" t="s">
        <v>12709</v>
      </c>
      <c r="C297" s="8" t="s">
        <v>12710</v>
      </c>
      <c r="D297" s="8" t="s">
        <v>12711</v>
      </c>
      <c r="E297" s="8" t="s">
        <v>1734</v>
      </c>
      <c r="F297" s="8" t="s">
        <v>12712</v>
      </c>
    </row>
    <row r="298" customHeight="1" spans="1:6">
      <c r="A298" s="6">
        <v>297</v>
      </c>
      <c r="B298" s="8" t="s">
        <v>12713</v>
      </c>
      <c r="C298" s="8" t="s">
        <v>12714</v>
      </c>
      <c r="D298" s="8" t="s">
        <v>12715</v>
      </c>
      <c r="E298" s="8" t="s">
        <v>1734</v>
      </c>
      <c r="F298" s="8" t="s">
        <v>12716</v>
      </c>
    </row>
    <row r="299" customHeight="1" spans="1:6">
      <c r="A299" s="6">
        <v>298</v>
      </c>
      <c r="B299" s="8" t="s">
        <v>12713</v>
      </c>
      <c r="C299" s="8" t="s">
        <v>12714</v>
      </c>
      <c r="D299" s="8" t="s">
        <v>12715</v>
      </c>
      <c r="E299" s="8" t="s">
        <v>1734</v>
      </c>
      <c r="F299" s="8" t="s">
        <v>12716</v>
      </c>
    </row>
    <row r="300" customHeight="1" spans="1:6">
      <c r="A300" s="6">
        <v>299</v>
      </c>
      <c r="B300" s="8" t="s">
        <v>12717</v>
      </c>
      <c r="C300" s="8" t="s">
        <v>12718</v>
      </c>
      <c r="D300" s="8" t="s">
        <v>12719</v>
      </c>
      <c r="E300" s="8" t="s">
        <v>1306</v>
      </c>
      <c r="F300" s="8" t="s">
        <v>12720</v>
      </c>
    </row>
    <row r="301" customHeight="1" spans="1:6">
      <c r="A301" s="6">
        <v>300</v>
      </c>
      <c r="B301" s="8" t="s">
        <v>12717</v>
      </c>
      <c r="C301" s="8" t="s">
        <v>12718</v>
      </c>
      <c r="D301" s="8" t="s">
        <v>12719</v>
      </c>
      <c r="E301" s="8" t="s">
        <v>1306</v>
      </c>
      <c r="F301" s="8" t="s">
        <v>12720</v>
      </c>
    </row>
    <row r="302" customHeight="1" spans="1:6">
      <c r="A302" s="6">
        <v>301</v>
      </c>
      <c r="B302" s="8" t="s">
        <v>12721</v>
      </c>
      <c r="C302" s="8" t="s">
        <v>12722</v>
      </c>
      <c r="D302" s="8" t="s">
        <v>12723</v>
      </c>
      <c r="E302" s="8" t="s">
        <v>571</v>
      </c>
      <c r="F302" s="8" t="s">
        <v>12724</v>
      </c>
    </row>
    <row r="303" customHeight="1" spans="1:6">
      <c r="A303" s="6">
        <v>302</v>
      </c>
      <c r="B303" s="8" t="s">
        <v>12721</v>
      </c>
      <c r="C303" s="8" t="s">
        <v>12722</v>
      </c>
      <c r="D303" s="8" t="s">
        <v>12723</v>
      </c>
      <c r="E303" s="8" t="s">
        <v>571</v>
      </c>
      <c r="F303" s="8" t="s">
        <v>12724</v>
      </c>
    </row>
    <row r="304" customHeight="1" spans="1:6">
      <c r="A304" s="6">
        <v>303</v>
      </c>
      <c r="B304" s="8" t="s">
        <v>12725</v>
      </c>
      <c r="C304" s="8" t="s">
        <v>12726</v>
      </c>
      <c r="D304" s="8" t="s">
        <v>12727</v>
      </c>
      <c r="E304" s="8" t="s">
        <v>5093</v>
      </c>
      <c r="F304" s="8" t="s">
        <v>12728</v>
      </c>
    </row>
    <row r="305" customHeight="1" spans="1:6">
      <c r="A305" s="6">
        <v>304</v>
      </c>
      <c r="B305" s="8" t="s">
        <v>12725</v>
      </c>
      <c r="C305" s="8" t="s">
        <v>12726</v>
      </c>
      <c r="D305" s="8" t="s">
        <v>12727</v>
      </c>
      <c r="E305" s="8" t="s">
        <v>5093</v>
      </c>
      <c r="F305" s="8" t="s">
        <v>12728</v>
      </c>
    </row>
    <row r="306" customHeight="1" spans="1:6">
      <c r="A306" s="6">
        <v>305</v>
      </c>
      <c r="B306" s="8" t="s">
        <v>12729</v>
      </c>
      <c r="C306" s="8" t="s">
        <v>12730</v>
      </c>
      <c r="D306" s="8" t="s">
        <v>12731</v>
      </c>
      <c r="E306" s="8" t="s">
        <v>7202</v>
      </c>
      <c r="F306" s="8" t="s">
        <v>12732</v>
      </c>
    </row>
    <row r="307" customHeight="1" spans="1:6">
      <c r="A307" s="6">
        <v>306</v>
      </c>
      <c r="B307" s="8" t="s">
        <v>12729</v>
      </c>
      <c r="C307" s="8" t="s">
        <v>12730</v>
      </c>
      <c r="D307" s="8" t="s">
        <v>12731</v>
      </c>
      <c r="E307" s="8" t="s">
        <v>7202</v>
      </c>
      <c r="F307" s="8" t="s">
        <v>12732</v>
      </c>
    </row>
    <row r="308" customHeight="1" spans="1:6">
      <c r="A308" s="6">
        <v>307</v>
      </c>
      <c r="B308" s="8" t="s">
        <v>12733</v>
      </c>
      <c r="C308" s="8" t="s">
        <v>12734</v>
      </c>
      <c r="D308" s="8" t="s">
        <v>12735</v>
      </c>
      <c r="E308" s="8" t="s">
        <v>1189</v>
      </c>
      <c r="F308" s="8" t="s">
        <v>12736</v>
      </c>
    </row>
    <row r="309" customHeight="1" spans="1:6">
      <c r="A309" s="6">
        <v>308</v>
      </c>
      <c r="B309" s="8" t="s">
        <v>12733</v>
      </c>
      <c r="C309" s="8" t="s">
        <v>12734</v>
      </c>
      <c r="D309" s="8" t="s">
        <v>12735</v>
      </c>
      <c r="E309" s="8" t="s">
        <v>1189</v>
      </c>
      <c r="F309" s="8" t="s">
        <v>12736</v>
      </c>
    </row>
    <row r="310" customHeight="1" spans="1:6">
      <c r="A310" s="6">
        <v>309</v>
      </c>
      <c r="B310" s="8" t="s">
        <v>12737</v>
      </c>
      <c r="C310" s="8" t="s">
        <v>12738</v>
      </c>
      <c r="D310" s="8" t="s">
        <v>12739</v>
      </c>
      <c r="E310" s="8" t="s">
        <v>288</v>
      </c>
      <c r="F310" s="8" t="s">
        <v>12740</v>
      </c>
    </row>
    <row r="311" customHeight="1" spans="1:6">
      <c r="A311" s="6">
        <v>310</v>
      </c>
      <c r="B311" s="7" t="str">
        <f>"978-7-121-41759-7"</f>
        <v>978-7-121-41759-7</v>
      </c>
      <c r="C311" s="7" t="str">
        <f>"深度学习计算机视觉实战"</f>
        <v>深度学习计算机视觉实战</v>
      </c>
      <c r="D311" s="7" t="str">
        <f>"肖铃， 刘东著"</f>
        <v>肖铃， 刘东著</v>
      </c>
      <c r="E311" s="7" t="str">
        <f>"电子工业出版社"</f>
        <v>电子工业出版社</v>
      </c>
      <c r="F311" s="7" t="str">
        <f>"TP181/323"</f>
        <v>TP181/323</v>
      </c>
    </row>
    <row r="312" customHeight="1" spans="1:6">
      <c r="A312" s="6">
        <v>311</v>
      </c>
      <c r="B312" s="7" t="str">
        <f>"978-7-121-41759-7"</f>
        <v>978-7-121-41759-7</v>
      </c>
      <c r="C312" s="7" t="str">
        <f>"深度学习计算机视觉实战"</f>
        <v>深度学习计算机视觉实战</v>
      </c>
      <c r="D312" s="7" t="str">
        <f>"肖铃， 刘东著"</f>
        <v>肖铃， 刘东著</v>
      </c>
      <c r="E312" s="7" t="str">
        <f>"电子工业出版社"</f>
        <v>电子工业出版社</v>
      </c>
      <c r="F312" s="7" t="str">
        <f>"TP181/323"</f>
        <v>TP181/323</v>
      </c>
    </row>
    <row r="313" customHeight="1" spans="1:6">
      <c r="A313" s="6">
        <v>312</v>
      </c>
      <c r="B313" s="8" t="s">
        <v>12741</v>
      </c>
      <c r="C313" s="8" t="s">
        <v>12742</v>
      </c>
      <c r="D313" s="8" t="s">
        <v>12743</v>
      </c>
      <c r="E313" s="8" t="s">
        <v>3146</v>
      </c>
      <c r="F313" s="8" t="s">
        <v>12744</v>
      </c>
    </row>
    <row r="314" customHeight="1" spans="1:6">
      <c r="A314" s="6">
        <v>313</v>
      </c>
      <c r="B314" s="8" t="s">
        <v>12741</v>
      </c>
      <c r="C314" s="8" t="s">
        <v>12742</v>
      </c>
      <c r="D314" s="8" t="s">
        <v>12743</v>
      </c>
      <c r="E314" s="8" t="s">
        <v>3146</v>
      </c>
      <c r="F314" s="8" t="s">
        <v>12744</v>
      </c>
    </row>
    <row r="315" customHeight="1" spans="1:6">
      <c r="A315" s="6">
        <v>314</v>
      </c>
      <c r="B315" s="8" t="s">
        <v>12745</v>
      </c>
      <c r="C315" s="8" t="s">
        <v>12746</v>
      </c>
      <c r="D315" s="8" t="s">
        <v>12747</v>
      </c>
      <c r="E315" s="8" t="s">
        <v>216</v>
      </c>
      <c r="F315" s="8" t="s">
        <v>12748</v>
      </c>
    </row>
    <row r="316" customHeight="1" spans="1:6">
      <c r="A316" s="6">
        <v>315</v>
      </c>
      <c r="B316" s="8" t="s">
        <v>12745</v>
      </c>
      <c r="C316" s="8" t="s">
        <v>12746</v>
      </c>
      <c r="D316" s="8" t="s">
        <v>12747</v>
      </c>
      <c r="E316" s="8" t="s">
        <v>216</v>
      </c>
      <c r="F316" s="8" t="s">
        <v>12748</v>
      </c>
    </row>
    <row r="317" customHeight="1" spans="1:6">
      <c r="A317" s="6">
        <v>316</v>
      </c>
      <c r="B317" s="8" t="s">
        <v>12749</v>
      </c>
      <c r="C317" s="8" t="s">
        <v>12750</v>
      </c>
      <c r="D317" s="8" t="s">
        <v>12751</v>
      </c>
      <c r="E317" s="8" t="s">
        <v>197</v>
      </c>
      <c r="F317" s="8" t="s">
        <v>12752</v>
      </c>
    </row>
    <row r="318" customHeight="1" spans="1:6">
      <c r="A318" s="6">
        <v>317</v>
      </c>
      <c r="B318" s="8" t="s">
        <v>12749</v>
      </c>
      <c r="C318" s="8" t="s">
        <v>12750</v>
      </c>
      <c r="D318" s="8" t="s">
        <v>12751</v>
      </c>
      <c r="E318" s="8" t="s">
        <v>197</v>
      </c>
      <c r="F318" s="8" t="s">
        <v>12752</v>
      </c>
    </row>
    <row r="319" customHeight="1" spans="1:6">
      <c r="A319" s="6">
        <v>318</v>
      </c>
      <c r="B319" s="8" t="s">
        <v>12753</v>
      </c>
      <c r="C319" s="8" t="s">
        <v>12754</v>
      </c>
      <c r="D319" s="8" t="s">
        <v>12755</v>
      </c>
      <c r="E319" s="8" t="s">
        <v>6669</v>
      </c>
      <c r="F319" s="8" t="s">
        <v>12756</v>
      </c>
    </row>
    <row r="320" customHeight="1" spans="1:6">
      <c r="A320" s="6">
        <v>319</v>
      </c>
      <c r="B320" s="8" t="s">
        <v>12753</v>
      </c>
      <c r="C320" s="8" t="s">
        <v>12754</v>
      </c>
      <c r="D320" s="8" t="s">
        <v>12755</v>
      </c>
      <c r="E320" s="8" t="s">
        <v>6669</v>
      </c>
      <c r="F320" s="8" t="s">
        <v>12756</v>
      </c>
    </row>
    <row r="321" customHeight="1" spans="1:6">
      <c r="A321" s="6">
        <v>320</v>
      </c>
      <c r="B321" s="8" t="s">
        <v>12757</v>
      </c>
      <c r="C321" s="8" t="s">
        <v>12758</v>
      </c>
      <c r="D321" s="8" t="s">
        <v>12759</v>
      </c>
      <c r="E321" s="8" t="s">
        <v>216</v>
      </c>
      <c r="F321" s="8" t="s">
        <v>12760</v>
      </c>
    </row>
    <row r="322" customHeight="1" spans="1:6">
      <c r="A322" s="6">
        <v>321</v>
      </c>
      <c r="B322" s="8" t="s">
        <v>12757</v>
      </c>
      <c r="C322" s="8" t="s">
        <v>12758</v>
      </c>
      <c r="D322" s="8" t="s">
        <v>12759</v>
      </c>
      <c r="E322" s="8" t="s">
        <v>216</v>
      </c>
      <c r="F322" s="8" t="s">
        <v>12760</v>
      </c>
    </row>
    <row r="323" customHeight="1" spans="1:6">
      <c r="A323" s="6">
        <v>322</v>
      </c>
      <c r="B323" s="8" t="s">
        <v>12761</v>
      </c>
      <c r="C323" s="8" t="s">
        <v>12762</v>
      </c>
      <c r="D323" s="8" t="s">
        <v>12763</v>
      </c>
      <c r="E323" s="8" t="s">
        <v>216</v>
      </c>
      <c r="F323" s="8" t="s">
        <v>12764</v>
      </c>
    </row>
    <row r="324" customHeight="1" spans="1:6">
      <c r="A324" s="6">
        <v>323</v>
      </c>
      <c r="B324" s="8" t="s">
        <v>12761</v>
      </c>
      <c r="C324" s="8" t="s">
        <v>12762</v>
      </c>
      <c r="D324" s="8" t="s">
        <v>12763</v>
      </c>
      <c r="E324" s="8" t="s">
        <v>216</v>
      </c>
      <c r="F324" s="8" t="s">
        <v>12764</v>
      </c>
    </row>
    <row r="325" customHeight="1" spans="1:6">
      <c r="A325" s="6">
        <v>324</v>
      </c>
      <c r="B325" s="8" t="s">
        <v>12765</v>
      </c>
      <c r="C325" s="8" t="s">
        <v>12766</v>
      </c>
      <c r="D325" s="8" t="s">
        <v>12767</v>
      </c>
      <c r="E325" s="8" t="s">
        <v>216</v>
      </c>
      <c r="F325" s="8" t="s">
        <v>12768</v>
      </c>
    </row>
    <row r="326" customHeight="1" spans="1:6">
      <c r="A326" s="6">
        <v>325</v>
      </c>
      <c r="B326" s="8" t="s">
        <v>12765</v>
      </c>
      <c r="C326" s="8" t="s">
        <v>12766</v>
      </c>
      <c r="D326" s="8" t="s">
        <v>12767</v>
      </c>
      <c r="E326" s="8" t="s">
        <v>216</v>
      </c>
      <c r="F326" s="8" t="s">
        <v>12768</v>
      </c>
    </row>
    <row r="327" customHeight="1" spans="1:6">
      <c r="A327" s="6">
        <v>326</v>
      </c>
      <c r="B327" s="8" t="s">
        <v>12769</v>
      </c>
      <c r="C327" s="8" t="s">
        <v>12770</v>
      </c>
      <c r="D327" s="8" t="s">
        <v>12771</v>
      </c>
      <c r="E327" s="8" t="s">
        <v>1189</v>
      </c>
      <c r="F327" s="8" t="s">
        <v>12772</v>
      </c>
    </row>
    <row r="328" customHeight="1" spans="1:6">
      <c r="A328" s="6">
        <v>327</v>
      </c>
      <c r="B328" s="8" t="s">
        <v>12769</v>
      </c>
      <c r="C328" s="8" t="s">
        <v>12770</v>
      </c>
      <c r="D328" s="8" t="s">
        <v>12771</v>
      </c>
      <c r="E328" s="8" t="s">
        <v>1189</v>
      </c>
      <c r="F328" s="8" t="s">
        <v>12772</v>
      </c>
    </row>
    <row r="329" customHeight="1" spans="1:6">
      <c r="A329" s="6">
        <v>328</v>
      </c>
      <c r="B329" s="8" t="s">
        <v>12769</v>
      </c>
      <c r="C329" s="8" t="s">
        <v>12770</v>
      </c>
      <c r="D329" s="8" t="s">
        <v>12771</v>
      </c>
      <c r="E329" s="8" t="s">
        <v>1189</v>
      </c>
      <c r="F329" s="8" t="s">
        <v>12772</v>
      </c>
    </row>
    <row r="330" customHeight="1" spans="1:6">
      <c r="A330" s="6">
        <v>329</v>
      </c>
      <c r="B330" s="8" t="s">
        <v>12773</v>
      </c>
      <c r="C330" s="8" t="s">
        <v>12774</v>
      </c>
      <c r="D330" s="8" t="s">
        <v>12775</v>
      </c>
      <c r="E330" s="8" t="s">
        <v>197</v>
      </c>
      <c r="F330" s="8" t="s">
        <v>12776</v>
      </c>
    </row>
    <row r="331" customHeight="1" spans="1:6">
      <c r="A331" s="6">
        <v>330</v>
      </c>
      <c r="B331" s="8" t="s">
        <v>12773</v>
      </c>
      <c r="C331" s="8" t="s">
        <v>12774</v>
      </c>
      <c r="D331" s="8" t="s">
        <v>12775</v>
      </c>
      <c r="E331" s="8" t="s">
        <v>197</v>
      </c>
      <c r="F331" s="8" t="s">
        <v>12776</v>
      </c>
    </row>
    <row r="332" customHeight="1" spans="1:6">
      <c r="A332" s="6">
        <v>331</v>
      </c>
      <c r="B332" s="8" t="s">
        <v>12777</v>
      </c>
      <c r="C332" s="8" t="s">
        <v>12778</v>
      </c>
      <c r="D332" s="8" t="s">
        <v>12779</v>
      </c>
      <c r="E332" s="8" t="s">
        <v>216</v>
      </c>
      <c r="F332" s="8" t="s">
        <v>12780</v>
      </c>
    </row>
    <row r="333" customHeight="1" spans="1:6">
      <c r="A333" s="6">
        <v>332</v>
      </c>
      <c r="B333" s="8" t="s">
        <v>12777</v>
      </c>
      <c r="C333" s="8" t="s">
        <v>12778</v>
      </c>
      <c r="D333" s="8" t="s">
        <v>12779</v>
      </c>
      <c r="E333" s="8" t="s">
        <v>216</v>
      </c>
      <c r="F333" s="8" t="s">
        <v>12780</v>
      </c>
    </row>
    <row r="334" customHeight="1" spans="1:6">
      <c r="A334" s="6">
        <v>333</v>
      </c>
      <c r="B334" s="8" t="s">
        <v>12781</v>
      </c>
      <c r="C334" s="8" t="s">
        <v>12782</v>
      </c>
      <c r="D334" s="8" t="s">
        <v>12783</v>
      </c>
      <c r="E334" s="8" t="s">
        <v>7676</v>
      </c>
      <c r="F334" s="8" t="s">
        <v>12784</v>
      </c>
    </row>
    <row r="335" customHeight="1" spans="1:6">
      <c r="A335" s="6">
        <v>334</v>
      </c>
      <c r="B335" s="8" t="s">
        <v>12781</v>
      </c>
      <c r="C335" s="8" t="s">
        <v>12782</v>
      </c>
      <c r="D335" s="8" t="s">
        <v>12783</v>
      </c>
      <c r="E335" s="8" t="s">
        <v>7676</v>
      </c>
      <c r="F335" s="8" t="s">
        <v>12784</v>
      </c>
    </row>
    <row r="336" customHeight="1" spans="1:6">
      <c r="A336" s="6">
        <v>335</v>
      </c>
      <c r="B336" s="8" t="s">
        <v>12785</v>
      </c>
      <c r="C336" s="8" t="s">
        <v>12786</v>
      </c>
      <c r="D336" s="8" t="s">
        <v>12787</v>
      </c>
      <c r="E336" s="8" t="s">
        <v>8271</v>
      </c>
      <c r="F336" s="8" t="s">
        <v>12788</v>
      </c>
    </row>
    <row r="337" customHeight="1" spans="1:6">
      <c r="A337" s="6">
        <v>336</v>
      </c>
      <c r="B337" s="8" t="s">
        <v>12785</v>
      </c>
      <c r="C337" s="8" t="s">
        <v>12786</v>
      </c>
      <c r="D337" s="8" t="s">
        <v>12787</v>
      </c>
      <c r="E337" s="8" t="s">
        <v>8271</v>
      </c>
      <c r="F337" s="8" t="s">
        <v>12788</v>
      </c>
    </row>
    <row r="338" customHeight="1" spans="1:6">
      <c r="A338" s="6">
        <v>337</v>
      </c>
      <c r="B338" s="9" t="str">
        <f>"978-7-115-53882-6"</f>
        <v>978-7-115-53882-6</v>
      </c>
      <c r="C338" s="9" t="str">
        <f>"给孩子讲人工智能"</f>
        <v>给孩子讲人工智能</v>
      </c>
      <c r="D338" s="9" t="str">
        <f>"涂子沛著；童趣出版有限公司编"</f>
        <v>涂子沛著；童趣出版有限公司编</v>
      </c>
      <c r="E338" s="9" t="str">
        <f>"人民邮电出版社"</f>
        <v>人民邮电出版社</v>
      </c>
      <c r="F338" s="9" t="str">
        <f>"TP18-49/6"</f>
        <v>TP18-49/6</v>
      </c>
    </row>
    <row r="339" customHeight="1" spans="1:6">
      <c r="A339" s="6">
        <v>338</v>
      </c>
      <c r="B339" s="8" t="s">
        <v>12789</v>
      </c>
      <c r="C339" s="8" t="s">
        <v>12790</v>
      </c>
      <c r="D339" s="8" t="s">
        <v>12791</v>
      </c>
      <c r="E339" s="8" t="s">
        <v>2267</v>
      </c>
      <c r="F339" s="8" t="s">
        <v>12792</v>
      </c>
    </row>
    <row r="340" customHeight="1" spans="1:6">
      <c r="A340" s="6">
        <v>339</v>
      </c>
      <c r="B340" s="8" t="s">
        <v>12789</v>
      </c>
      <c r="C340" s="8" t="s">
        <v>12790</v>
      </c>
      <c r="D340" s="8" t="s">
        <v>12791</v>
      </c>
      <c r="E340" s="8" t="s">
        <v>2267</v>
      </c>
      <c r="F340" s="8" t="s">
        <v>12792</v>
      </c>
    </row>
    <row r="341" customHeight="1" spans="1:6">
      <c r="A341" s="6">
        <v>340</v>
      </c>
      <c r="B341" s="7" t="str">
        <f>"978-7-121-40251-7"</f>
        <v>978-7-121-40251-7</v>
      </c>
      <c r="C341" s="7" t="str">
        <f>"智能传感器理论基础及应用"</f>
        <v>智能传感器理论基础及应用</v>
      </c>
      <c r="D341" s="7" t="str">
        <f>"宋凯主编"</f>
        <v>宋凯主编</v>
      </c>
      <c r="E341" s="7" t="str">
        <f>"电子工业出版社"</f>
        <v>电子工业出版社</v>
      </c>
      <c r="F341" s="7" t="str">
        <f>"TP212.6/10"</f>
        <v>TP212.6/10</v>
      </c>
    </row>
    <row r="342" customHeight="1" spans="1:6">
      <c r="A342" s="6">
        <v>341</v>
      </c>
      <c r="B342" s="7" t="str">
        <f>"978-7-121-40251-7"</f>
        <v>978-7-121-40251-7</v>
      </c>
      <c r="C342" s="7" t="str">
        <f>"智能传感器理论基础及应用"</f>
        <v>智能传感器理论基础及应用</v>
      </c>
      <c r="D342" s="7" t="str">
        <f>"宋凯主编"</f>
        <v>宋凯主编</v>
      </c>
      <c r="E342" s="7" t="str">
        <f>"电子工业出版社"</f>
        <v>电子工业出版社</v>
      </c>
      <c r="F342" s="7" t="str">
        <f>"TP212.6/10"</f>
        <v>TP212.6/10</v>
      </c>
    </row>
    <row r="343" customHeight="1" spans="1:6">
      <c r="A343" s="6">
        <v>342</v>
      </c>
      <c r="B343" s="8" t="s">
        <v>12793</v>
      </c>
      <c r="C343" s="8" t="s">
        <v>12794</v>
      </c>
      <c r="D343" s="8" t="s">
        <v>12795</v>
      </c>
      <c r="E343" s="8" t="s">
        <v>7738</v>
      </c>
      <c r="F343" s="8" t="s">
        <v>12796</v>
      </c>
    </row>
    <row r="344" customHeight="1" spans="1:6">
      <c r="A344" s="6">
        <v>343</v>
      </c>
      <c r="B344" s="8" t="s">
        <v>12793</v>
      </c>
      <c r="C344" s="8" t="s">
        <v>12794</v>
      </c>
      <c r="D344" s="8" t="s">
        <v>12795</v>
      </c>
      <c r="E344" s="8" t="s">
        <v>7738</v>
      </c>
      <c r="F344" s="8" t="s">
        <v>12796</v>
      </c>
    </row>
    <row r="345" customHeight="1" spans="1:6">
      <c r="A345" s="6">
        <v>344</v>
      </c>
      <c r="B345" s="8" t="s">
        <v>12797</v>
      </c>
      <c r="C345" s="8" t="s">
        <v>12798</v>
      </c>
      <c r="D345" s="8" t="s">
        <v>12799</v>
      </c>
      <c r="E345" s="8" t="s">
        <v>1734</v>
      </c>
      <c r="F345" s="8" t="s">
        <v>12800</v>
      </c>
    </row>
    <row r="346" customHeight="1" spans="1:6">
      <c r="A346" s="6">
        <v>345</v>
      </c>
      <c r="B346" s="8" t="s">
        <v>12797</v>
      </c>
      <c r="C346" s="8" t="s">
        <v>12798</v>
      </c>
      <c r="D346" s="8" t="s">
        <v>12799</v>
      </c>
      <c r="E346" s="8" t="s">
        <v>1734</v>
      </c>
      <c r="F346" s="8" t="s">
        <v>12800</v>
      </c>
    </row>
    <row r="347" customHeight="1" spans="1:6">
      <c r="A347" s="6">
        <v>346</v>
      </c>
      <c r="B347" s="7" t="str">
        <f t="shared" ref="B347:B349" si="8">"978-7-5671-4326-5"</f>
        <v>978-7-5671-4326-5</v>
      </c>
      <c r="C347" s="7" t="str">
        <f t="shared" ref="C347:C349" si="9">"Principles and applications of sensors"</f>
        <v>Principles and applications of sensors</v>
      </c>
      <c r="D347" s="7" t="str">
        <f t="shared" ref="D347:D349" si="10">"主编刘梅"</f>
        <v>主编刘梅</v>
      </c>
      <c r="E347" s="7" t="str">
        <f t="shared" ref="E347:E349" si="11">"上海大学出版社"</f>
        <v>上海大学出版社</v>
      </c>
      <c r="F347" s="7" t="str">
        <f t="shared" ref="F347:F349" si="12">"TP212/134"</f>
        <v>TP212/134</v>
      </c>
    </row>
    <row r="348" customHeight="1" spans="1:6">
      <c r="A348" s="6">
        <v>347</v>
      </c>
      <c r="B348" s="7" t="str">
        <f t="shared" si="8"/>
        <v>978-7-5671-4326-5</v>
      </c>
      <c r="C348" s="7" t="str">
        <f t="shared" si="9"/>
        <v>Principles and applications of sensors</v>
      </c>
      <c r="D348" s="7" t="str">
        <f t="shared" si="10"/>
        <v>主编刘梅</v>
      </c>
      <c r="E348" s="7" t="str">
        <f t="shared" si="11"/>
        <v>上海大学出版社</v>
      </c>
      <c r="F348" s="7" t="str">
        <f t="shared" si="12"/>
        <v>TP212/134</v>
      </c>
    </row>
    <row r="349" customHeight="1" spans="1:6">
      <c r="A349" s="6">
        <v>348</v>
      </c>
      <c r="B349" s="7" t="str">
        <f t="shared" si="8"/>
        <v>978-7-5671-4326-5</v>
      </c>
      <c r="C349" s="7" t="str">
        <f t="shared" si="9"/>
        <v>Principles and applications of sensors</v>
      </c>
      <c r="D349" s="7" t="str">
        <f t="shared" si="10"/>
        <v>主编刘梅</v>
      </c>
      <c r="E349" s="7" t="str">
        <f t="shared" si="11"/>
        <v>上海大学出版社</v>
      </c>
      <c r="F349" s="7" t="str">
        <f t="shared" si="12"/>
        <v>TP212/134</v>
      </c>
    </row>
    <row r="350" customHeight="1" spans="1:6">
      <c r="A350" s="6">
        <v>349</v>
      </c>
      <c r="B350" s="7" t="str">
        <f t="shared" ref="B350:B352" si="13">"978-7-5618-6985-7"</f>
        <v>978-7-5618-6985-7</v>
      </c>
      <c r="C350" s="7" t="str">
        <f t="shared" ref="C350:C352" si="14">"传感器原理及应用"</f>
        <v>传感器原理及应用</v>
      </c>
      <c r="D350" s="7" t="str">
        <f t="shared" ref="D350:D352" si="15">"王化祥， 崔自强编著"</f>
        <v>王化祥， 崔自强编著</v>
      </c>
      <c r="E350" s="7" t="str">
        <f t="shared" ref="E350:E352" si="16">"天津大学出版社"</f>
        <v>天津大学出版社</v>
      </c>
      <c r="F350" s="7" t="str">
        <f t="shared" ref="F350:F352" si="17">"TP212/135=5D"</f>
        <v>TP212/135=5D</v>
      </c>
    </row>
    <row r="351" customHeight="1" spans="1:6">
      <c r="A351" s="6">
        <v>350</v>
      </c>
      <c r="B351" s="7" t="str">
        <f t="shared" si="13"/>
        <v>978-7-5618-6985-7</v>
      </c>
      <c r="C351" s="7" t="str">
        <f t="shared" si="14"/>
        <v>传感器原理及应用</v>
      </c>
      <c r="D351" s="7" t="str">
        <f t="shared" si="15"/>
        <v>王化祥， 崔自强编著</v>
      </c>
      <c r="E351" s="7" t="str">
        <f t="shared" si="16"/>
        <v>天津大学出版社</v>
      </c>
      <c r="F351" s="7" t="str">
        <f t="shared" si="17"/>
        <v>TP212/135=5D</v>
      </c>
    </row>
    <row r="352" customHeight="1" spans="1:6">
      <c r="A352" s="6">
        <v>351</v>
      </c>
      <c r="B352" s="7" t="str">
        <f t="shared" si="13"/>
        <v>978-7-5618-6985-7</v>
      </c>
      <c r="C352" s="7" t="str">
        <f t="shared" si="14"/>
        <v>传感器原理及应用</v>
      </c>
      <c r="D352" s="7" t="str">
        <f t="shared" si="15"/>
        <v>王化祥， 崔自强编著</v>
      </c>
      <c r="E352" s="7" t="str">
        <f t="shared" si="16"/>
        <v>天津大学出版社</v>
      </c>
      <c r="F352" s="7" t="str">
        <f t="shared" si="17"/>
        <v>TP212/135=5D</v>
      </c>
    </row>
    <row r="353" customHeight="1" spans="1:6">
      <c r="A353" s="6">
        <v>352</v>
      </c>
      <c r="B353" s="8" t="s">
        <v>12801</v>
      </c>
      <c r="C353" s="8" t="s">
        <v>12802</v>
      </c>
      <c r="D353" s="8" t="s">
        <v>12803</v>
      </c>
      <c r="E353" s="8" t="s">
        <v>3146</v>
      </c>
      <c r="F353" s="8" t="s">
        <v>12804</v>
      </c>
    </row>
    <row r="354" customHeight="1" spans="1:6">
      <c r="A354" s="6">
        <v>353</v>
      </c>
      <c r="B354" s="8" t="s">
        <v>12801</v>
      </c>
      <c r="C354" s="8" t="s">
        <v>12802</v>
      </c>
      <c r="D354" s="8" t="s">
        <v>12803</v>
      </c>
      <c r="E354" s="8" t="s">
        <v>3146</v>
      </c>
      <c r="F354" s="8" t="s">
        <v>12804</v>
      </c>
    </row>
    <row r="355" customHeight="1" spans="1:6">
      <c r="A355" s="6">
        <v>354</v>
      </c>
      <c r="B355" s="8" t="s">
        <v>12805</v>
      </c>
      <c r="C355" s="8" t="s">
        <v>12806</v>
      </c>
      <c r="D355" s="8" t="s">
        <v>12807</v>
      </c>
      <c r="E355" s="8" t="s">
        <v>530</v>
      </c>
      <c r="F355" s="8" t="s">
        <v>12808</v>
      </c>
    </row>
    <row r="356" customHeight="1" spans="1:6">
      <c r="A356" s="6">
        <v>355</v>
      </c>
      <c r="B356" s="8" t="s">
        <v>12805</v>
      </c>
      <c r="C356" s="8" t="s">
        <v>12806</v>
      </c>
      <c r="D356" s="8" t="s">
        <v>12807</v>
      </c>
      <c r="E356" s="8" t="s">
        <v>530</v>
      </c>
      <c r="F356" s="8" t="s">
        <v>12808</v>
      </c>
    </row>
    <row r="357" customHeight="1" spans="1:6">
      <c r="A357" s="6">
        <v>356</v>
      </c>
      <c r="B357" s="8" t="s">
        <v>12809</v>
      </c>
      <c r="C357" s="8" t="s">
        <v>12810</v>
      </c>
      <c r="D357" s="8" t="s">
        <v>12811</v>
      </c>
      <c r="E357" s="8" t="s">
        <v>890</v>
      </c>
      <c r="F357" s="8" t="s">
        <v>12812</v>
      </c>
    </row>
    <row r="358" customHeight="1" spans="1:6">
      <c r="A358" s="6">
        <v>357</v>
      </c>
      <c r="B358" s="8" t="s">
        <v>12809</v>
      </c>
      <c r="C358" s="8" t="s">
        <v>12810</v>
      </c>
      <c r="D358" s="8" t="s">
        <v>12811</v>
      </c>
      <c r="E358" s="8" t="s">
        <v>890</v>
      </c>
      <c r="F358" s="8" t="s">
        <v>12812</v>
      </c>
    </row>
    <row r="359" customHeight="1" spans="1:6">
      <c r="A359" s="6">
        <v>358</v>
      </c>
      <c r="B359" s="8" t="s">
        <v>12813</v>
      </c>
      <c r="C359" s="8" t="s">
        <v>12814</v>
      </c>
      <c r="D359" s="8" t="s">
        <v>12815</v>
      </c>
      <c r="E359" s="8" t="s">
        <v>8825</v>
      </c>
      <c r="F359" s="8" t="s">
        <v>12816</v>
      </c>
    </row>
    <row r="360" customHeight="1" spans="1:6">
      <c r="A360" s="6">
        <v>359</v>
      </c>
      <c r="B360" s="8" t="s">
        <v>12813</v>
      </c>
      <c r="C360" s="8" t="s">
        <v>12814</v>
      </c>
      <c r="D360" s="8" t="s">
        <v>12815</v>
      </c>
      <c r="E360" s="8" t="s">
        <v>8825</v>
      </c>
      <c r="F360" s="8" t="s">
        <v>12816</v>
      </c>
    </row>
    <row r="361" customHeight="1" spans="1:6">
      <c r="A361" s="6">
        <v>360</v>
      </c>
      <c r="B361" s="8" t="s">
        <v>12817</v>
      </c>
      <c r="C361" s="8" t="s">
        <v>12818</v>
      </c>
      <c r="D361" s="8" t="s">
        <v>12819</v>
      </c>
      <c r="E361" s="8" t="s">
        <v>530</v>
      </c>
      <c r="F361" s="8" t="s">
        <v>12820</v>
      </c>
    </row>
    <row r="362" customHeight="1" spans="1:6">
      <c r="A362" s="6">
        <v>361</v>
      </c>
      <c r="B362" s="8" t="s">
        <v>12817</v>
      </c>
      <c r="C362" s="8" t="s">
        <v>12818</v>
      </c>
      <c r="D362" s="8" t="s">
        <v>12819</v>
      </c>
      <c r="E362" s="8" t="s">
        <v>530</v>
      </c>
      <c r="F362" s="8" t="s">
        <v>12820</v>
      </c>
    </row>
    <row r="363" customHeight="1" spans="1:6">
      <c r="A363" s="6">
        <v>362</v>
      </c>
      <c r="B363" s="8" t="s">
        <v>12821</v>
      </c>
      <c r="C363" s="8" t="s">
        <v>12822</v>
      </c>
      <c r="D363" s="8" t="s">
        <v>12823</v>
      </c>
      <c r="E363" s="8" t="s">
        <v>1734</v>
      </c>
      <c r="F363" s="8" t="s">
        <v>12824</v>
      </c>
    </row>
    <row r="364" customHeight="1" spans="1:6">
      <c r="A364" s="6">
        <v>363</v>
      </c>
      <c r="B364" s="8" t="s">
        <v>12821</v>
      </c>
      <c r="C364" s="8" t="s">
        <v>12822</v>
      </c>
      <c r="D364" s="8" t="s">
        <v>12823</v>
      </c>
      <c r="E364" s="8" t="s">
        <v>1734</v>
      </c>
      <c r="F364" s="8" t="s">
        <v>12824</v>
      </c>
    </row>
    <row r="365" customHeight="1" spans="1:6">
      <c r="A365" s="6">
        <v>364</v>
      </c>
      <c r="B365" s="8" t="s">
        <v>12825</v>
      </c>
      <c r="C365" s="8" t="s">
        <v>12826</v>
      </c>
      <c r="D365" s="8" t="s">
        <v>12827</v>
      </c>
      <c r="E365" s="8" t="s">
        <v>530</v>
      </c>
      <c r="F365" s="8" t="s">
        <v>12828</v>
      </c>
    </row>
    <row r="366" customHeight="1" spans="1:6">
      <c r="A366" s="6">
        <v>365</v>
      </c>
      <c r="B366" s="8" t="s">
        <v>12825</v>
      </c>
      <c r="C366" s="8" t="s">
        <v>12826</v>
      </c>
      <c r="D366" s="8" t="s">
        <v>12827</v>
      </c>
      <c r="E366" s="8" t="s">
        <v>530</v>
      </c>
      <c r="F366" s="8" t="s">
        <v>12828</v>
      </c>
    </row>
    <row r="367" customHeight="1" spans="1:6">
      <c r="A367" s="6">
        <v>366</v>
      </c>
      <c r="B367" s="8" t="s">
        <v>12829</v>
      </c>
      <c r="C367" s="8" t="s">
        <v>12830</v>
      </c>
      <c r="D367" s="8" t="s">
        <v>12831</v>
      </c>
      <c r="E367" s="8" t="s">
        <v>4740</v>
      </c>
      <c r="F367" s="8" t="s">
        <v>12832</v>
      </c>
    </row>
    <row r="368" customHeight="1" spans="1:6">
      <c r="A368" s="6">
        <v>367</v>
      </c>
      <c r="B368" s="8" t="s">
        <v>12829</v>
      </c>
      <c r="C368" s="8" t="s">
        <v>12830</v>
      </c>
      <c r="D368" s="8" t="s">
        <v>12831</v>
      </c>
      <c r="E368" s="8" t="s">
        <v>4740</v>
      </c>
      <c r="F368" s="8" t="s">
        <v>12832</v>
      </c>
    </row>
    <row r="369" customHeight="1" spans="1:6">
      <c r="A369" s="6">
        <v>368</v>
      </c>
      <c r="B369" s="8" t="s">
        <v>12833</v>
      </c>
      <c r="C369" s="8" t="s">
        <v>12834</v>
      </c>
      <c r="D369" s="8" t="s">
        <v>12835</v>
      </c>
      <c r="E369" s="8" t="s">
        <v>3098</v>
      </c>
      <c r="F369" s="8" t="s">
        <v>12836</v>
      </c>
    </row>
    <row r="370" customHeight="1" spans="1:6">
      <c r="A370" s="6">
        <v>369</v>
      </c>
      <c r="B370" s="8" t="s">
        <v>12833</v>
      </c>
      <c r="C370" s="8" t="s">
        <v>12834</v>
      </c>
      <c r="D370" s="8" t="s">
        <v>12835</v>
      </c>
      <c r="E370" s="8" t="s">
        <v>3098</v>
      </c>
      <c r="F370" s="8" t="s">
        <v>12836</v>
      </c>
    </row>
    <row r="371" customHeight="1" spans="1:6">
      <c r="A371" s="6">
        <v>370</v>
      </c>
      <c r="B371" s="8" t="s">
        <v>12837</v>
      </c>
      <c r="C371" s="8" t="s">
        <v>12838</v>
      </c>
      <c r="D371" s="8" t="s">
        <v>12839</v>
      </c>
      <c r="E371" s="8" t="s">
        <v>256</v>
      </c>
      <c r="F371" s="8" t="s">
        <v>12840</v>
      </c>
    </row>
    <row r="372" customHeight="1" spans="1:6">
      <c r="A372" s="6">
        <v>371</v>
      </c>
      <c r="B372" s="8" t="s">
        <v>12837</v>
      </c>
      <c r="C372" s="8" t="s">
        <v>12838</v>
      </c>
      <c r="D372" s="8" t="s">
        <v>12839</v>
      </c>
      <c r="E372" s="8" t="s">
        <v>256</v>
      </c>
      <c r="F372" s="8" t="s">
        <v>12840</v>
      </c>
    </row>
    <row r="373" customHeight="1" spans="1:6">
      <c r="A373" s="6">
        <v>372</v>
      </c>
      <c r="B373" s="8" t="s">
        <v>12841</v>
      </c>
      <c r="C373" s="8" t="s">
        <v>12842</v>
      </c>
      <c r="D373" s="8" t="s">
        <v>12843</v>
      </c>
      <c r="E373" s="8" t="s">
        <v>744</v>
      </c>
      <c r="F373" s="8" t="s">
        <v>12844</v>
      </c>
    </row>
    <row r="374" customHeight="1" spans="1:6">
      <c r="A374" s="6">
        <v>373</v>
      </c>
      <c r="B374" s="8" t="s">
        <v>12841</v>
      </c>
      <c r="C374" s="8" t="s">
        <v>12842</v>
      </c>
      <c r="D374" s="8" t="s">
        <v>12843</v>
      </c>
      <c r="E374" s="8" t="s">
        <v>744</v>
      </c>
      <c r="F374" s="8" t="s">
        <v>12844</v>
      </c>
    </row>
    <row r="375" customHeight="1" spans="1:6">
      <c r="A375" s="6">
        <v>374</v>
      </c>
      <c r="B375" s="8" t="s">
        <v>12845</v>
      </c>
      <c r="C375" s="8" t="s">
        <v>12846</v>
      </c>
      <c r="D375" s="8" t="s">
        <v>12847</v>
      </c>
      <c r="E375" s="8" t="s">
        <v>28</v>
      </c>
      <c r="F375" s="8" t="s">
        <v>12848</v>
      </c>
    </row>
    <row r="376" customHeight="1" spans="1:6">
      <c r="A376" s="6">
        <v>375</v>
      </c>
      <c r="B376" s="8" t="s">
        <v>12845</v>
      </c>
      <c r="C376" s="8" t="s">
        <v>12846</v>
      </c>
      <c r="D376" s="8" t="s">
        <v>12847</v>
      </c>
      <c r="E376" s="8" t="s">
        <v>28</v>
      </c>
      <c r="F376" s="8" t="s">
        <v>12848</v>
      </c>
    </row>
    <row r="377" customHeight="1" spans="1:6">
      <c r="A377" s="6">
        <v>376</v>
      </c>
      <c r="B377" s="8" t="s">
        <v>12849</v>
      </c>
      <c r="C377" s="8" t="s">
        <v>12850</v>
      </c>
      <c r="D377" s="8" t="s">
        <v>12851</v>
      </c>
      <c r="E377" s="8" t="s">
        <v>4950</v>
      </c>
      <c r="F377" s="8" t="s">
        <v>12852</v>
      </c>
    </row>
    <row r="378" customHeight="1" spans="1:6">
      <c r="A378" s="6">
        <v>377</v>
      </c>
      <c r="B378" s="8" t="s">
        <v>12849</v>
      </c>
      <c r="C378" s="8" t="s">
        <v>12850</v>
      </c>
      <c r="D378" s="8" t="s">
        <v>12851</v>
      </c>
      <c r="E378" s="8" t="s">
        <v>4950</v>
      </c>
      <c r="F378" s="8" t="s">
        <v>12852</v>
      </c>
    </row>
    <row r="379" customHeight="1" spans="1:6">
      <c r="A379" s="6">
        <v>378</v>
      </c>
      <c r="B379" s="8" t="s">
        <v>12853</v>
      </c>
      <c r="C379" s="8" t="s">
        <v>12854</v>
      </c>
      <c r="D379" s="8" t="s">
        <v>12855</v>
      </c>
      <c r="E379" s="8" t="s">
        <v>530</v>
      </c>
      <c r="F379" s="8" t="s">
        <v>12856</v>
      </c>
    </row>
    <row r="380" customHeight="1" spans="1:6">
      <c r="A380" s="6">
        <v>379</v>
      </c>
      <c r="B380" s="8" t="s">
        <v>12853</v>
      </c>
      <c r="C380" s="8" t="s">
        <v>12854</v>
      </c>
      <c r="D380" s="8" t="s">
        <v>12855</v>
      </c>
      <c r="E380" s="8" t="s">
        <v>530</v>
      </c>
      <c r="F380" s="8" t="s">
        <v>12856</v>
      </c>
    </row>
    <row r="381" customHeight="1" spans="1:6">
      <c r="A381" s="6">
        <v>380</v>
      </c>
      <c r="B381" s="8" t="s">
        <v>12857</v>
      </c>
      <c r="C381" s="8" t="s">
        <v>12858</v>
      </c>
      <c r="D381" s="8" t="s">
        <v>12859</v>
      </c>
      <c r="E381" s="8" t="s">
        <v>530</v>
      </c>
      <c r="F381" s="8" t="s">
        <v>12860</v>
      </c>
    </row>
    <row r="382" customHeight="1" spans="1:6">
      <c r="A382" s="6">
        <v>381</v>
      </c>
      <c r="B382" s="8" t="s">
        <v>12857</v>
      </c>
      <c r="C382" s="8" t="s">
        <v>12858</v>
      </c>
      <c r="D382" s="8" t="s">
        <v>12859</v>
      </c>
      <c r="E382" s="8" t="s">
        <v>530</v>
      </c>
      <c r="F382" s="8" t="s">
        <v>12860</v>
      </c>
    </row>
    <row r="383" customHeight="1" spans="1:6">
      <c r="A383" s="6">
        <v>382</v>
      </c>
      <c r="B383" s="8" t="s">
        <v>12861</v>
      </c>
      <c r="C383" s="8" t="s">
        <v>12862</v>
      </c>
      <c r="D383" s="8" t="s">
        <v>12863</v>
      </c>
      <c r="E383" s="8" t="s">
        <v>1948</v>
      </c>
      <c r="F383" s="8" t="s">
        <v>12864</v>
      </c>
    </row>
    <row r="384" customHeight="1" spans="1:6">
      <c r="A384" s="6">
        <v>383</v>
      </c>
      <c r="B384" s="8" t="s">
        <v>12861</v>
      </c>
      <c r="C384" s="8" t="s">
        <v>12862</v>
      </c>
      <c r="D384" s="8" t="s">
        <v>12863</v>
      </c>
      <c r="E384" s="8" t="s">
        <v>1948</v>
      </c>
      <c r="F384" s="8" t="s">
        <v>12864</v>
      </c>
    </row>
    <row r="385" customHeight="1" spans="1:6">
      <c r="A385" s="6">
        <v>384</v>
      </c>
      <c r="B385" s="8" t="s">
        <v>12865</v>
      </c>
      <c r="C385" s="8" t="s">
        <v>12866</v>
      </c>
      <c r="D385" s="8" t="s">
        <v>12867</v>
      </c>
      <c r="E385" s="8" t="s">
        <v>1734</v>
      </c>
      <c r="F385" s="8" t="s">
        <v>12868</v>
      </c>
    </row>
    <row r="386" customHeight="1" spans="1:6">
      <c r="A386" s="6">
        <v>385</v>
      </c>
      <c r="B386" s="8" t="s">
        <v>12865</v>
      </c>
      <c r="C386" s="8" t="s">
        <v>12866</v>
      </c>
      <c r="D386" s="8" t="s">
        <v>12867</v>
      </c>
      <c r="E386" s="8" t="s">
        <v>1734</v>
      </c>
      <c r="F386" s="8" t="s">
        <v>12868</v>
      </c>
    </row>
    <row r="387" customHeight="1" spans="1:6">
      <c r="A387" s="6">
        <v>386</v>
      </c>
      <c r="B387" s="8" t="s">
        <v>12869</v>
      </c>
      <c r="C387" s="8" t="s">
        <v>12870</v>
      </c>
      <c r="D387" s="8" t="s">
        <v>12871</v>
      </c>
      <c r="E387" s="8" t="s">
        <v>1189</v>
      </c>
      <c r="F387" s="8" t="s">
        <v>12872</v>
      </c>
    </row>
    <row r="388" customHeight="1" spans="1:6">
      <c r="A388" s="6">
        <v>387</v>
      </c>
      <c r="B388" s="8" t="s">
        <v>12869</v>
      </c>
      <c r="C388" s="8" t="s">
        <v>12870</v>
      </c>
      <c r="D388" s="8" t="s">
        <v>12871</v>
      </c>
      <c r="E388" s="8" t="s">
        <v>1189</v>
      </c>
      <c r="F388" s="8" t="s">
        <v>12872</v>
      </c>
    </row>
    <row r="389" customHeight="1" spans="1:6">
      <c r="A389" s="6">
        <v>388</v>
      </c>
      <c r="B389" s="8" t="s">
        <v>12873</v>
      </c>
      <c r="C389" s="8" t="s">
        <v>12874</v>
      </c>
      <c r="D389" s="8" t="s">
        <v>12875</v>
      </c>
      <c r="E389" s="8" t="s">
        <v>8825</v>
      </c>
      <c r="F389" s="8" t="s">
        <v>12876</v>
      </c>
    </row>
    <row r="390" customHeight="1" spans="1:6">
      <c r="A390" s="6">
        <v>389</v>
      </c>
      <c r="B390" s="8" t="s">
        <v>12873</v>
      </c>
      <c r="C390" s="8" t="s">
        <v>12874</v>
      </c>
      <c r="D390" s="8" t="s">
        <v>12875</v>
      </c>
      <c r="E390" s="8" t="s">
        <v>8825</v>
      </c>
      <c r="F390" s="8" t="s">
        <v>12876</v>
      </c>
    </row>
    <row r="391" customHeight="1" spans="1:6">
      <c r="A391" s="6">
        <v>390</v>
      </c>
      <c r="B391" s="8" t="s">
        <v>12877</v>
      </c>
      <c r="C391" s="8" t="s">
        <v>12878</v>
      </c>
      <c r="D391" s="8" t="s">
        <v>12879</v>
      </c>
      <c r="E391" s="8" t="s">
        <v>1306</v>
      </c>
      <c r="F391" s="8" t="s">
        <v>12880</v>
      </c>
    </row>
    <row r="392" customHeight="1" spans="1:6">
      <c r="A392" s="6">
        <v>391</v>
      </c>
      <c r="B392" s="8" t="s">
        <v>12877</v>
      </c>
      <c r="C392" s="8" t="s">
        <v>12878</v>
      </c>
      <c r="D392" s="8" t="s">
        <v>12879</v>
      </c>
      <c r="E392" s="8" t="s">
        <v>1306</v>
      </c>
      <c r="F392" s="8" t="s">
        <v>12880</v>
      </c>
    </row>
    <row r="393" customHeight="1" spans="1:6">
      <c r="A393" s="6">
        <v>392</v>
      </c>
      <c r="B393" s="8" t="s">
        <v>12881</v>
      </c>
      <c r="C393" s="8" t="s">
        <v>12882</v>
      </c>
      <c r="D393" s="8" t="s">
        <v>12883</v>
      </c>
      <c r="E393" s="8" t="s">
        <v>3146</v>
      </c>
      <c r="F393" s="8" t="s">
        <v>12884</v>
      </c>
    </row>
    <row r="394" customHeight="1" spans="1:6">
      <c r="A394" s="6">
        <v>393</v>
      </c>
      <c r="B394" s="8" t="s">
        <v>12881</v>
      </c>
      <c r="C394" s="8" t="s">
        <v>12882</v>
      </c>
      <c r="D394" s="8" t="s">
        <v>12883</v>
      </c>
      <c r="E394" s="8" t="s">
        <v>3146</v>
      </c>
      <c r="F394" s="8" t="s">
        <v>12884</v>
      </c>
    </row>
    <row r="395" customHeight="1" spans="1:6">
      <c r="A395" s="6">
        <v>394</v>
      </c>
      <c r="B395" s="7" t="str">
        <f>"978-7-111-67997-4"</f>
        <v>978-7-111-67997-4</v>
      </c>
      <c r="C395" s="7" t="str">
        <f>"智能机器人开发与实践"</f>
        <v>智能机器人开发与实践</v>
      </c>
      <c r="D395" s="7" t="str">
        <f>"段峰主编"</f>
        <v>段峰主编</v>
      </c>
      <c r="E395" s="7" t="str">
        <f t="shared" ref="E395:E398" si="18">"机械工业出版社"</f>
        <v>机械工业出版社</v>
      </c>
      <c r="F395" s="7" t="str">
        <f>"TP242.6/42"</f>
        <v>TP242.6/42</v>
      </c>
    </row>
    <row r="396" customHeight="1" spans="1:6">
      <c r="A396" s="6">
        <v>395</v>
      </c>
      <c r="B396" s="7" t="str">
        <f>"978-7-111-67997-4"</f>
        <v>978-7-111-67997-4</v>
      </c>
      <c r="C396" s="7" t="str">
        <f>"智能机器人开发与实践"</f>
        <v>智能机器人开发与实践</v>
      </c>
      <c r="D396" s="7" t="str">
        <f>"段峰主编"</f>
        <v>段峰主编</v>
      </c>
      <c r="E396" s="7" t="str">
        <f t="shared" si="18"/>
        <v>机械工业出版社</v>
      </c>
      <c r="F396" s="7" t="str">
        <f>"TP242.6/42"</f>
        <v>TP242.6/42</v>
      </c>
    </row>
    <row r="397" customHeight="1" spans="1:6">
      <c r="A397" s="6">
        <v>396</v>
      </c>
      <c r="B397" s="7" t="str">
        <f>"978-7-111-68984-3"</f>
        <v>978-7-111-68984-3</v>
      </c>
      <c r="C397" s="7" t="str">
        <f>"智能机器人养成记：开发人类友好型机器人：developing human-friendly， social AI"</f>
        <v>智能机器人养成记：开发人类友好型机器人：developing human-friendly， social AI</v>
      </c>
      <c r="D397" s="7" t="str">
        <f>"(英) 马克·H. 李著Mark H. Lee；刘红泉译"</f>
        <v>(英) 马克·H. 李著Mark H. Lee；刘红泉译</v>
      </c>
      <c r="E397" s="7" t="str">
        <f t="shared" si="18"/>
        <v>机械工业出版社</v>
      </c>
      <c r="F397" s="7" t="str">
        <f>"TP242.6/43"</f>
        <v>TP242.6/43</v>
      </c>
    </row>
    <row r="398" customHeight="1" spans="1:6">
      <c r="A398" s="6">
        <v>397</v>
      </c>
      <c r="B398" s="7" t="str">
        <f>"978-7-111-68984-3"</f>
        <v>978-7-111-68984-3</v>
      </c>
      <c r="C398" s="7" t="str">
        <f>"智能机器人养成记：开发人类友好型机器人：developing human-friendly， social AI"</f>
        <v>智能机器人养成记：开发人类友好型机器人：developing human-friendly， social AI</v>
      </c>
      <c r="D398" s="7" t="str">
        <f>"(英) 马克·H. 李著Mark H. Lee；刘红泉译"</f>
        <v>(英) 马克·H. 李著Mark H. Lee；刘红泉译</v>
      </c>
      <c r="E398" s="7" t="str">
        <f t="shared" si="18"/>
        <v>机械工业出版社</v>
      </c>
      <c r="F398" s="7" t="str">
        <f>"TP242.6/43"</f>
        <v>TP242.6/43</v>
      </c>
    </row>
    <row r="399" customHeight="1" spans="1:6">
      <c r="A399" s="6">
        <v>398</v>
      </c>
      <c r="B399" s="8" t="s">
        <v>12885</v>
      </c>
      <c r="C399" s="8" t="s">
        <v>12886</v>
      </c>
      <c r="D399" s="8" t="s">
        <v>12887</v>
      </c>
      <c r="E399" s="8" t="s">
        <v>239</v>
      </c>
      <c r="F399" s="8" t="s">
        <v>12888</v>
      </c>
    </row>
    <row r="400" customHeight="1" spans="1:6">
      <c r="A400" s="6">
        <v>399</v>
      </c>
      <c r="B400" s="8" t="s">
        <v>12885</v>
      </c>
      <c r="C400" s="8" t="s">
        <v>12886</v>
      </c>
      <c r="D400" s="8" t="s">
        <v>12887</v>
      </c>
      <c r="E400" s="8" t="s">
        <v>239</v>
      </c>
      <c r="F400" s="8" t="s">
        <v>12888</v>
      </c>
    </row>
    <row r="401" customHeight="1" spans="1:6">
      <c r="A401" s="6">
        <v>400</v>
      </c>
      <c r="B401" s="8" t="s">
        <v>12889</v>
      </c>
      <c r="C401" s="8" t="s">
        <v>12890</v>
      </c>
      <c r="D401" s="8" t="s">
        <v>12891</v>
      </c>
      <c r="E401" s="8" t="s">
        <v>4950</v>
      </c>
      <c r="F401" s="8" t="s">
        <v>12892</v>
      </c>
    </row>
    <row r="402" customHeight="1" spans="1:6">
      <c r="A402" s="6">
        <v>401</v>
      </c>
      <c r="B402" s="8" t="s">
        <v>12889</v>
      </c>
      <c r="C402" s="8" t="s">
        <v>12890</v>
      </c>
      <c r="D402" s="8" t="s">
        <v>12891</v>
      </c>
      <c r="E402" s="8" t="s">
        <v>4950</v>
      </c>
      <c r="F402" s="8" t="s">
        <v>12892</v>
      </c>
    </row>
    <row r="403" customHeight="1" spans="1:6">
      <c r="A403" s="6">
        <v>402</v>
      </c>
      <c r="B403" s="8" t="s">
        <v>12893</v>
      </c>
      <c r="C403" s="8" t="s">
        <v>12894</v>
      </c>
      <c r="D403" s="8" t="s">
        <v>12895</v>
      </c>
      <c r="E403" s="8" t="s">
        <v>1734</v>
      </c>
      <c r="F403" s="8" t="s">
        <v>12896</v>
      </c>
    </row>
    <row r="404" customHeight="1" spans="1:6">
      <c r="A404" s="6">
        <v>403</v>
      </c>
      <c r="B404" s="8" t="s">
        <v>12893</v>
      </c>
      <c r="C404" s="8" t="s">
        <v>12894</v>
      </c>
      <c r="D404" s="8" t="s">
        <v>12895</v>
      </c>
      <c r="E404" s="8" t="s">
        <v>1734</v>
      </c>
      <c r="F404" s="8" t="s">
        <v>12896</v>
      </c>
    </row>
    <row r="405" customHeight="1" spans="1:6">
      <c r="A405" s="6">
        <v>404</v>
      </c>
      <c r="B405" s="7" t="str">
        <f>"978-7-111-69134-1"</f>
        <v>978-7-111-69134-1</v>
      </c>
      <c r="C405" s="7" t="str">
        <f>"机器人系统设计与制作：Python语言实现"</f>
        <v>机器人系统设计与制作：Python语言实现</v>
      </c>
      <c r="D405" s="7" t="str">
        <f>"(印) 郎坦·约瑟夫著Lentin Joseph；刘端阳译"</f>
        <v>(印) 郎坦·约瑟夫著Lentin Joseph；刘端阳译</v>
      </c>
      <c r="E405" s="7" t="str">
        <f t="shared" ref="E405:E412" si="19">"机械工业出版社"</f>
        <v>机械工业出版社</v>
      </c>
      <c r="F405" s="7" t="str">
        <f>"TP242/27-2"</f>
        <v>TP242/27-2</v>
      </c>
    </row>
    <row r="406" customHeight="1" spans="1:6">
      <c r="A406" s="6">
        <v>405</v>
      </c>
      <c r="B406" s="7" t="str">
        <f>"978-7-111-69134-1"</f>
        <v>978-7-111-69134-1</v>
      </c>
      <c r="C406" s="7" t="str">
        <f>"机器人系统设计与制作：Python语言实现"</f>
        <v>机器人系统设计与制作：Python语言实现</v>
      </c>
      <c r="D406" s="7" t="str">
        <f>"(印) 郎坦·约瑟夫著Lentin Joseph；刘端阳译"</f>
        <v>(印) 郎坦·约瑟夫著Lentin Joseph；刘端阳译</v>
      </c>
      <c r="E406" s="7" t="str">
        <f t="shared" si="19"/>
        <v>机械工业出版社</v>
      </c>
      <c r="F406" s="7" t="str">
        <f>"TP242/27-2"</f>
        <v>TP242/27-2</v>
      </c>
    </row>
    <row r="407" customHeight="1" spans="1:6">
      <c r="A407" s="6">
        <v>406</v>
      </c>
      <c r="B407" s="7" t="str">
        <f>"978-7-111-68915-7"</f>
        <v>978-7-111-68915-7</v>
      </c>
      <c r="C407" s="7" t="str">
        <f>"ROS机器人编程实践"</f>
        <v>ROS机器人编程实践</v>
      </c>
      <c r="D407" s="7" t="str">
        <f>"(西班牙) 伯纳多·朗奎洛·贾蓬著Bernardo Ronquillo Japón；张瑞雷 ... [等] 译"</f>
        <v>(西班牙) 伯纳多·朗奎洛·贾蓬著Bernardo Ronquillo Japón；张瑞雷 ... [等] 译</v>
      </c>
      <c r="E407" s="7" t="str">
        <f t="shared" si="19"/>
        <v>机械工业出版社</v>
      </c>
      <c r="F407" s="7" t="str">
        <f>"TP242/88"</f>
        <v>TP242/88</v>
      </c>
    </row>
    <row r="408" customHeight="1" spans="1:6">
      <c r="A408" s="6">
        <v>407</v>
      </c>
      <c r="B408" s="7" t="str">
        <f>"978-7-111-68915-7"</f>
        <v>978-7-111-68915-7</v>
      </c>
      <c r="C408" s="7" t="str">
        <f>"ROS机器人编程实践"</f>
        <v>ROS机器人编程实践</v>
      </c>
      <c r="D408" s="7" t="str">
        <f>"(西班牙) 伯纳多·朗奎洛·贾蓬著Bernardo Ronquillo Japón；张瑞雷 ... [等] 译"</f>
        <v>(西班牙) 伯纳多·朗奎洛·贾蓬著Bernardo Ronquillo Japón；张瑞雷 ... [等] 译</v>
      </c>
      <c r="E408" s="7" t="str">
        <f t="shared" si="19"/>
        <v>机械工业出版社</v>
      </c>
      <c r="F408" s="7" t="str">
        <f>"TP242/88"</f>
        <v>TP242/88</v>
      </c>
    </row>
    <row r="409" customHeight="1" spans="1:6">
      <c r="A409" s="6">
        <v>408</v>
      </c>
      <c r="B409" s="7" t="str">
        <f>"978-7-111-69042-9"</f>
        <v>978-7-111-69042-9</v>
      </c>
      <c r="C409" s="7" t="str">
        <f>"移动机器人控制导论"</f>
        <v>移动机器人控制导论</v>
      </c>
      <c r="D409" s="7" t="str">
        <f>"(希腊) 斯皮罗斯·G. 扎菲斯塔斯著Spyros G. Tzafestas；贾振中 ... [等] 译"</f>
        <v>(希腊) 斯皮罗斯·G. 扎菲斯塔斯著Spyros G. Tzafestas；贾振中 ... [等] 译</v>
      </c>
      <c r="E409" s="7" t="str">
        <f t="shared" si="19"/>
        <v>机械工业出版社</v>
      </c>
      <c r="F409" s="7" t="str">
        <f>"TP242/89"</f>
        <v>TP242/89</v>
      </c>
    </row>
    <row r="410" customHeight="1" spans="1:6">
      <c r="A410" s="6">
        <v>409</v>
      </c>
      <c r="B410" s="7" t="str">
        <f>"978-7-111-69042-9"</f>
        <v>978-7-111-69042-9</v>
      </c>
      <c r="C410" s="7" t="str">
        <f>"移动机器人控制导论"</f>
        <v>移动机器人控制导论</v>
      </c>
      <c r="D410" s="7" t="str">
        <f>"(希腊) 斯皮罗斯·G. 扎菲斯塔斯著Spyros G. Tzafestas；贾振中 ... [等] 译"</f>
        <v>(希腊) 斯皮罗斯·G. 扎菲斯塔斯著Spyros G. Tzafestas；贾振中 ... [等] 译</v>
      </c>
      <c r="E410" s="7" t="str">
        <f t="shared" si="19"/>
        <v>机械工业出版社</v>
      </c>
      <c r="F410" s="7" t="str">
        <f>"TP242/89"</f>
        <v>TP242/89</v>
      </c>
    </row>
    <row r="411" customHeight="1" spans="1:6">
      <c r="A411" s="6">
        <v>410</v>
      </c>
      <c r="B411" s="7" t="str">
        <f>"978-7-111-68860-0"</f>
        <v>978-7-111-68860-0</v>
      </c>
      <c r="C411" s="7" t="str">
        <f>"移动机器人原理与设计"</f>
        <v>移动机器人原理与设计</v>
      </c>
      <c r="D411" s="7" t="str">
        <f>"(法) 吕克·若兰著Luc Jaulin；谢广明译"</f>
        <v>(法) 吕克·若兰著Luc Jaulin；谢广明译</v>
      </c>
      <c r="E411" s="7" t="str">
        <f t="shared" si="19"/>
        <v>机械工业出版社</v>
      </c>
      <c r="F411" s="7" t="str">
        <f>"TP242/90"</f>
        <v>TP242/90</v>
      </c>
    </row>
    <row r="412" customHeight="1" spans="1:6">
      <c r="A412" s="6">
        <v>411</v>
      </c>
      <c r="B412" s="7" t="str">
        <f>"978-7-111-68860-0"</f>
        <v>978-7-111-68860-0</v>
      </c>
      <c r="C412" s="7" t="str">
        <f>"移动机器人原理与设计"</f>
        <v>移动机器人原理与设计</v>
      </c>
      <c r="D412" s="7" t="str">
        <f>"(法) 吕克·若兰著Luc Jaulin；谢广明译"</f>
        <v>(法) 吕克·若兰著Luc Jaulin；谢广明译</v>
      </c>
      <c r="E412" s="7" t="str">
        <f t="shared" si="19"/>
        <v>机械工业出版社</v>
      </c>
      <c r="F412" s="7" t="str">
        <f>"TP242/90"</f>
        <v>TP242/90</v>
      </c>
    </row>
    <row r="413" customHeight="1" spans="1:6">
      <c r="A413" s="6">
        <v>412</v>
      </c>
      <c r="B413" s="8" t="s">
        <v>12897</v>
      </c>
      <c r="C413" s="8" t="s">
        <v>12898</v>
      </c>
      <c r="D413" s="8" t="s">
        <v>12899</v>
      </c>
      <c r="E413" s="8" t="s">
        <v>3146</v>
      </c>
      <c r="F413" s="8" t="s">
        <v>12900</v>
      </c>
    </row>
    <row r="414" customHeight="1" spans="1:6">
      <c r="A414" s="6">
        <v>413</v>
      </c>
      <c r="B414" s="8" t="s">
        <v>12897</v>
      </c>
      <c r="C414" s="8" t="s">
        <v>12898</v>
      </c>
      <c r="D414" s="8" t="s">
        <v>12899</v>
      </c>
      <c r="E414" s="8" t="s">
        <v>3146</v>
      </c>
      <c r="F414" s="8" t="s">
        <v>12900</v>
      </c>
    </row>
    <row r="415" customHeight="1" spans="1:6">
      <c r="A415" s="6">
        <v>414</v>
      </c>
      <c r="B415" s="8" t="s">
        <v>12901</v>
      </c>
      <c r="C415" s="8" t="s">
        <v>12902</v>
      </c>
      <c r="D415" s="8" t="s">
        <v>12903</v>
      </c>
      <c r="E415" s="8" t="s">
        <v>8825</v>
      </c>
      <c r="F415" s="8" t="s">
        <v>12904</v>
      </c>
    </row>
    <row r="416" customHeight="1" spans="1:6">
      <c r="A416" s="6">
        <v>415</v>
      </c>
      <c r="B416" s="8" t="s">
        <v>12901</v>
      </c>
      <c r="C416" s="8" t="s">
        <v>12902</v>
      </c>
      <c r="D416" s="8" t="s">
        <v>12903</v>
      </c>
      <c r="E416" s="8" t="s">
        <v>8825</v>
      </c>
      <c r="F416" s="8" t="s">
        <v>12904</v>
      </c>
    </row>
    <row r="417" customHeight="1" spans="1:6">
      <c r="A417" s="6">
        <v>416</v>
      </c>
      <c r="B417" s="8" t="s">
        <v>12905</v>
      </c>
      <c r="C417" s="8" t="s">
        <v>12906</v>
      </c>
      <c r="D417" s="8" t="s">
        <v>12907</v>
      </c>
      <c r="E417" s="8" t="s">
        <v>1306</v>
      </c>
      <c r="F417" s="8" t="s">
        <v>12908</v>
      </c>
    </row>
    <row r="418" customHeight="1" spans="1:6">
      <c r="A418" s="6">
        <v>417</v>
      </c>
      <c r="B418" s="8" t="s">
        <v>12905</v>
      </c>
      <c r="C418" s="8" t="s">
        <v>12906</v>
      </c>
      <c r="D418" s="8" t="s">
        <v>12907</v>
      </c>
      <c r="E418" s="8" t="s">
        <v>1306</v>
      </c>
      <c r="F418" s="8" t="s">
        <v>12908</v>
      </c>
    </row>
    <row r="419" customHeight="1" spans="1:6">
      <c r="A419" s="6">
        <v>418</v>
      </c>
      <c r="B419" s="8" t="s">
        <v>12909</v>
      </c>
      <c r="C419" s="8" t="s">
        <v>12910</v>
      </c>
      <c r="D419" s="8" t="s">
        <v>12911</v>
      </c>
      <c r="E419" s="8" t="s">
        <v>256</v>
      </c>
      <c r="F419" s="8" t="s">
        <v>12912</v>
      </c>
    </row>
    <row r="420" customHeight="1" spans="1:6">
      <c r="A420" s="6">
        <v>419</v>
      </c>
      <c r="B420" s="8" t="s">
        <v>12909</v>
      </c>
      <c r="C420" s="8" t="s">
        <v>12910</v>
      </c>
      <c r="D420" s="8" t="s">
        <v>12911</v>
      </c>
      <c r="E420" s="8" t="s">
        <v>256</v>
      </c>
      <c r="F420" s="8" t="s">
        <v>12912</v>
      </c>
    </row>
    <row r="421" customHeight="1" spans="1:6">
      <c r="A421" s="6">
        <v>420</v>
      </c>
      <c r="B421" s="8" t="s">
        <v>12913</v>
      </c>
      <c r="C421" s="8" t="s">
        <v>12914</v>
      </c>
      <c r="D421" s="8" t="s">
        <v>12915</v>
      </c>
      <c r="E421" s="8" t="s">
        <v>4950</v>
      </c>
      <c r="F421" s="8" t="s">
        <v>12916</v>
      </c>
    </row>
    <row r="422" customHeight="1" spans="1:6">
      <c r="A422" s="6">
        <v>421</v>
      </c>
      <c r="B422" s="8" t="s">
        <v>12913</v>
      </c>
      <c r="C422" s="8" t="s">
        <v>12914</v>
      </c>
      <c r="D422" s="8" t="s">
        <v>12915</v>
      </c>
      <c r="E422" s="8" t="s">
        <v>4950</v>
      </c>
      <c r="F422" s="8" t="s">
        <v>12916</v>
      </c>
    </row>
    <row r="423" customHeight="1" spans="1:6">
      <c r="A423" s="6">
        <v>422</v>
      </c>
      <c r="B423" s="7" t="str">
        <f>"978-7-03-067532-3"</f>
        <v>978-7-03-067532-3</v>
      </c>
      <c r="C423" s="7" t="str">
        <f>"仿脑智能控制：基于脑操作特性神经网络的设计方法"</f>
        <v>仿脑智能控制：基于脑操作特性神经网络的设计方法</v>
      </c>
      <c r="D423" s="7" t="str">
        <f>"宋永端编著"</f>
        <v>宋永端编著</v>
      </c>
      <c r="E423" s="7" t="str">
        <f>"科学出版社"</f>
        <v>科学出版社</v>
      </c>
      <c r="F423" s="7" t="str">
        <f>"TP273/173"</f>
        <v>TP273/173</v>
      </c>
    </row>
    <row r="424" customHeight="1" spans="1:6">
      <c r="A424" s="6">
        <v>423</v>
      </c>
      <c r="B424" s="7" t="str">
        <f>"978-7-03-067532-3"</f>
        <v>978-7-03-067532-3</v>
      </c>
      <c r="C424" s="7" t="str">
        <f>"仿脑智能控制：基于脑操作特性神经网络的设计方法"</f>
        <v>仿脑智能控制：基于脑操作特性神经网络的设计方法</v>
      </c>
      <c r="D424" s="7" t="str">
        <f>"宋永端编著"</f>
        <v>宋永端编著</v>
      </c>
      <c r="E424" s="7" t="str">
        <f>"科学出版社"</f>
        <v>科学出版社</v>
      </c>
      <c r="F424" s="7" t="str">
        <f>"TP273/173"</f>
        <v>TP273/173</v>
      </c>
    </row>
    <row r="425" customHeight="1" spans="1:6">
      <c r="A425" s="6">
        <v>424</v>
      </c>
      <c r="B425" s="8" t="s">
        <v>12917</v>
      </c>
      <c r="C425" s="8" t="s">
        <v>12918</v>
      </c>
      <c r="D425" s="8" t="s">
        <v>12919</v>
      </c>
      <c r="E425" s="8" t="s">
        <v>744</v>
      </c>
      <c r="F425" s="8" t="s">
        <v>12920</v>
      </c>
    </row>
    <row r="426" customHeight="1" spans="1:6">
      <c r="A426" s="6">
        <v>425</v>
      </c>
      <c r="B426" s="8" t="s">
        <v>12917</v>
      </c>
      <c r="C426" s="8" t="s">
        <v>12918</v>
      </c>
      <c r="D426" s="8" t="s">
        <v>12919</v>
      </c>
      <c r="E426" s="8" t="s">
        <v>744</v>
      </c>
      <c r="F426" s="8" t="s">
        <v>12920</v>
      </c>
    </row>
    <row r="427" customHeight="1" spans="1:6">
      <c r="A427" s="6">
        <v>426</v>
      </c>
      <c r="B427" s="8" t="s">
        <v>12921</v>
      </c>
      <c r="C427" s="8" t="s">
        <v>12922</v>
      </c>
      <c r="D427" s="8" t="s">
        <v>12923</v>
      </c>
      <c r="E427" s="8" t="s">
        <v>530</v>
      </c>
      <c r="F427" s="8" t="s">
        <v>12924</v>
      </c>
    </row>
    <row r="428" customHeight="1" spans="1:6">
      <c r="A428" s="6">
        <v>427</v>
      </c>
      <c r="B428" s="8" t="s">
        <v>12921</v>
      </c>
      <c r="C428" s="8" t="s">
        <v>12922</v>
      </c>
      <c r="D428" s="8" t="s">
        <v>12923</v>
      </c>
      <c r="E428" s="8" t="s">
        <v>530</v>
      </c>
      <c r="F428" s="8" t="s">
        <v>12924</v>
      </c>
    </row>
    <row r="429" customHeight="1" spans="1:6">
      <c r="A429" s="6">
        <v>428</v>
      </c>
      <c r="B429" s="8" t="s">
        <v>12925</v>
      </c>
      <c r="C429" s="8" t="s">
        <v>12926</v>
      </c>
      <c r="D429" s="8" t="s">
        <v>12927</v>
      </c>
      <c r="E429" s="8" t="s">
        <v>3146</v>
      </c>
      <c r="F429" s="8" t="s">
        <v>12928</v>
      </c>
    </row>
    <row r="430" customHeight="1" spans="1:6">
      <c r="A430" s="6">
        <v>429</v>
      </c>
      <c r="B430" s="8" t="s">
        <v>12925</v>
      </c>
      <c r="C430" s="8" t="s">
        <v>12926</v>
      </c>
      <c r="D430" s="8" t="s">
        <v>12927</v>
      </c>
      <c r="E430" s="8" t="s">
        <v>3146</v>
      </c>
      <c r="F430" s="8" t="s">
        <v>12928</v>
      </c>
    </row>
    <row r="431" customHeight="1" spans="1:6">
      <c r="A431" s="6">
        <v>430</v>
      </c>
      <c r="B431" s="8" t="s">
        <v>12929</v>
      </c>
      <c r="C431" s="8" t="s">
        <v>12930</v>
      </c>
      <c r="D431" s="8" t="s">
        <v>12931</v>
      </c>
      <c r="E431" s="8" t="s">
        <v>1734</v>
      </c>
      <c r="F431" s="8" t="s">
        <v>12932</v>
      </c>
    </row>
    <row r="432" customHeight="1" spans="1:6">
      <c r="A432" s="6">
        <v>431</v>
      </c>
      <c r="B432" s="8" t="s">
        <v>12929</v>
      </c>
      <c r="C432" s="8" t="s">
        <v>12930</v>
      </c>
      <c r="D432" s="8" t="s">
        <v>12931</v>
      </c>
      <c r="E432" s="8" t="s">
        <v>1734</v>
      </c>
      <c r="F432" s="8" t="s">
        <v>12932</v>
      </c>
    </row>
    <row r="433" customHeight="1" spans="1:6">
      <c r="A433" s="6">
        <v>432</v>
      </c>
      <c r="B433" s="7" t="str">
        <f>"978-7-121-40219-7"</f>
        <v>978-7-121-40219-7</v>
      </c>
      <c r="C433" s="7" t="str">
        <f>"大数据与国家治理"</f>
        <v>大数据与国家治理</v>
      </c>
      <c r="D433" s="7" t="str">
        <f>"吕欣， 李洪侠， 李鹏著"</f>
        <v>吕欣， 李洪侠， 李鹏著</v>
      </c>
      <c r="E433" s="7" t="str">
        <f>"电子工业出版社"</f>
        <v>电子工业出版社</v>
      </c>
      <c r="F433" s="7" t="str">
        <f>"TP274/459=D"</f>
        <v>TP274/459=D</v>
      </c>
    </row>
    <row r="434" customHeight="1" spans="1:6">
      <c r="A434" s="6">
        <v>433</v>
      </c>
      <c r="B434" s="7" t="str">
        <f>"978-7-121-40219-7"</f>
        <v>978-7-121-40219-7</v>
      </c>
      <c r="C434" s="7" t="str">
        <f>"大数据与国家治理"</f>
        <v>大数据与国家治理</v>
      </c>
      <c r="D434" s="7" t="str">
        <f>"吕欣， 李洪侠， 李鹏著"</f>
        <v>吕欣， 李洪侠， 李鹏著</v>
      </c>
      <c r="E434" s="7" t="str">
        <f>"电子工业出版社"</f>
        <v>电子工业出版社</v>
      </c>
      <c r="F434" s="7" t="str">
        <f>"TP274/459=D"</f>
        <v>TP274/459=D</v>
      </c>
    </row>
    <row r="435" customHeight="1" spans="1:6">
      <c r="A435" s="6">
        <v>434</v>
      </c>
      <c r="B435" s="7" t="str">
        <f>"978-7-302-53243-9"</f>
        <v>978-7-302-53243-9</v>
      </c>
      <c r="C435" s="7" t="str">
        <f>"大数据分析与变现：利润驱动：profit driven business analytics"</f>
        <v>大数据分析与变现：利润驱动：profit driven business analytics</v>
      </c>
      <c r="D435" s="7" t="str">
        <f>"(比利时) 沃特·韦贝克， 巴特·贝森斯， (西班牙) 克里斯蒂安·布拉沃著Wouter Verbeke， Bart Baesens， Cristian Bravo；漆晨曦译"</f>
        <v>(比利时) 沃特·韦贝克， 巴特·贝森斯， (西班牙) 克里斯蒂安·布拉沃著Wouter Verbeke， Bart Baesens， Cristian Bravo；漆晨曦译</v>
      </c>
      <c r="E435" s="7" t="str">
        <f>"清华大学出版社"</f>
        <v>清华大学出版社</v>
      </c>
      <c r="F435" s="7" t="str">
        <f>"TP274/663"</f>
        <v>TP274/663</v>
      </c>
    </row>
    <row r="436" customHeight="1" spans="1:6">
      <c r="A436" s="6">
        <v>435</v>
      </c>
      <c r="B436" s="7" t="str">
        <f>"978-7-302-53243-9"</f>
        <v>978-7-302-53243-9</v>
      </c>
      <c r="C436" s="7" t="str">
        <f>"大数据分析与变现：利润驱动：profit driven business analytics"</f>
        <v>大数据分析与变现：利润驱动：profit driven business analytics</v>
      </c>
      <c r="D436" s="7" t="str">
        <f>"(比利时) 沃特·韦贝克， 巴特·贝森斯， (西班牙) 克里斯蒂安·布拉沃著Wouter Verbeke， Bart Baesens， Cristian Bravo；漆晨曦译"</f>
        <v>(比利时) 沃特·韦贝克， 巴特·贝森斯， (西班牙) 克里斯蒂安·布拉沃著Wouter Verbeke， Bart Baesens， Cristian Bravo；漆晨曦译</v>
      </c>
      <c r="E436" s="7" t="str">
        <f>"清华大学出版社"</f>
        <v>清华大学出版社</v>
      </c>
      <c r="F436" s="7" t="str">
        <f>"TP274/663"</f>
        <v>TP274/663</v>
      </c>
    </row>
    <row r="437" customHeight="1" spans="1:6">
      <c r="A437" s="6">
        <v>436</v>
      </c>
      <c r="B437" s="7" t="str">
        <f>"978-7-111-68618-7"</f>
        <v>978-7-111-68618-7</v>
      </c>
      <c r="C437" s="7" t="str">
        <f>"大数据技术入门到商业实战：Hadoop+Spark+Flink全解析"</f>
        <v>大数据技术入门到商业实战：Hadoop+Spark+Flink全解析</v>
      </c>
      <c r="D437" s="7" t="str">
        <f>"李伟杰 ... [等] 编著"</f>
        <v>李伟杰 ... [等] 编著</v>
      </c>
      <c r="E437" s="7" t="str">
        <f t="shared" ref="E437:E440" si="20">"机械工业出版社"</f>
        <v>机械工业出版社</v>
      </c>
      <c r="F437" s="7" t="str">
        <f>"TP274/664"</f>
        <v>TP274/664</v>
      </c>
    </row>
    <row r="438" customHeight="1" spans="1:6">
      <c r="A438" s="6">
        <v>437</v>
      </c>
      <c r="B438" s="7" t="str">
        <f>"978-7-111-68618-7"</f>
        <v>978-7-111-68618-7</v>
      </c>
      <c r="C438" s="7" t="str">
        <f>"大数据技术入门到商业实战：Hadoop+Spark+Flink全解析"</f>
        <v>大数据技术入门到商业实战：Hadoop+Spark+Flink全解析</v>
      </c>
      <c r="D438" s="7" t="str">
        <f>"李伟杰 ... [等] 编著"</f>
        <v>李伟杰 ... [等] 编著</v>
      </c>
      <c r="E438" s="7" t="str">
        <f t="shared" si="20"/>
        <v>机械工业出版社</v>
      </c>
      <c r="F438" s="7" t="str">
        <f>"TP274/664"</f>
        <v>TP274/664</v>
      </c>
    </row>
    <row r="439" customHeight="1" spans="1:6">
      <c r="A439" s="6">
        <v>438</v>
      </c>
      <c r="B439" s="7" t="str">
        <f>"978-7-111-68250-9"</f>
        <v>978-7-111-68250-9</v>
      </c>
      <c r="C439" s="7" t="str">
        <f>"大数据分析实用教程：基于Python实现"</f>
        <v>大数据分析实用教程：基于Python实现</v>
      </c>
      <c r="D439" s="7" t="str">
        <f>"唐四薪， 赵辉煌， 唐琼主编"</f>
        <v>唐四薪， 赵辉煌， 唐琼主编</v>
      </c>
      <c r="E439" s="7" t="str">
        <f t="shared" si="20"/>
        <v>机械工业出版社</v>
      </c>
      <c r="F439" s="7" t="str">
        <f>"TP274/665"</f>
        <v>TP274/665</v>
      </c>
    </row>
    <row r="440" customHeight="1" spans="1:6">
      <c r="A440" s="6">
        <v>439</v>
      </c>
      <c r="B440" s="7" t="str">
        <f>"978-7-111-68250-9"</f>
        <v>978-7-111-68250-9</v>
      </c>
      <c r="C440" s="7" t="str">
        <f>"大数据分析实用教程：基于Python实现"</f>
        <v>大数据分析实用教程：基于Python实现</v>
      </c>
      <c r="D440" s="7" t="str">
        <f>"唐四薪， 赵辉煌， 唐琼主编"</f>
        <v>唐四薪， 赵辉煌， 唐琼主编</v>
      </c>
      <c r="E440" s="7" t="str">
        <f t="shared" si="20"/>
        <v>机械工业出版社</v>
      </c>
      <c r="F440" s="7" t="str">
        <f>"TP274/665"</f>
        <v>TP274/665</v>
      </c>
    </row>
    <row r="441" customHeight="1" spans="1:6">
      <c r="A441" s="6">
        <v>440</v>
      </c>
      <c r="B441" s="7" t="str">
        <f>"978-7-121-42119-8"</f>
        <v>978-7-121-42119-8</v>
      </c>
      <c r="C441" s="7" t="str">
        <f>"云数据库架构"</f>
        <v>云数据库架构</v>
      </c>
      <c r="D441" s="7" t="str">
        <f>"朱明 ... [等] 著"</f>
        <v>朱明 ... [等] 著</v>
      </c>
      <c r="E441" s="7" t="str">
        <f>"电子工业出版社"</f>
        <v>电子工业出版社</v>
      </c>
      <c r="F441" s="7" t="str">
        <f>"TP274/666"</f>
        <v>TP274/666</v>
      </c>
    </row>
    <row r="442" customHeight="1" spans="1:6">
      <c r="A442" s="6">
        <v>441</v>
      </c>
      <c r="B442" s="7" t="str">
        <f>"978-7-121-42119-8"</f>
        <v>978-7-121-42119-8</v>
      </c>
      <c r="C442" s="7" t="str">
        <f>"云数据库架构"</f>
        <v>云数据库架构</v>
      </c>
      <c r="D442" s="7" t="str">
        <f>"朱明 ... [等] 著"</f>
        <v>朱明 ... [等] 著</v>
      </c>
      <c r="E442" s="7" t="str">
        <f>"电子工业出版社"</f>
        <v>电子工业出版社</v>
      </c>
      <c r="F442" s="7" t="str">
        <f>"TP274/666"</f>
        <v>TP274/666</v>
      </c>
    </row>
    <row r="443" customHeight="1" spans="1:6">
      <c r="A443" s="6">
        <v>442</v>
      </c>
      <c r="B443" s="7" t="str">
        <f>"978-7-115-40309-4"</f>
        <v>978-7-115-40309-4</v>
      </c>
      <c r="C443" s="7" t="str">
        <f>"Spark快速大数据分析"</f>
        <v>Spark快速大数据分析</v>
      </c>
      <c r="D443" s="7" t="str">
        <f>"(美) Holden Karau ... [等] 著；王道远译"</f>
        <v>(美) Holden Karau ... [等] 著；王道远译</v>
      </c>
      <c r="E443" s="7" t="str">
        <f>"人民邮电出版社"</f>
        <v>人民邮电出版社</v>
      </c>
      <c r="F443" s="7" t="str">
        <f>"TP274/667"</f>
        <v>TP274/667</v>
      </c>
    </row>
    <row r="444" customHeight="1" spans="1:6">
      <c r="A444" s="6">
        <v>443</v>
      </c>
      <c r="B444" s="7" t="str">
        <f>"978-7-115-40309-4"</f>
        <v>978-7-115-40309-4</v>
      </c>
      <c r="C444" s="7" t="str">
        <f>"Spark快速大数据分析"</f>
        <v>Spark快速大数据分析</v>
      </c>
      <c r="D444" s="7" t="str">
        <f>"(美) Holden Karau ... [等] 著；王道远译"</f>
        <v>(美) Holden Karau ... [等] 著；王道远译</v>
      </c>
      <c r="E444" s="7" t="str">
        <f>"人民邮电出版社"</f>
        <v>人民邮电出版社</v>
      </c>
      <c r="F444" s="7" t="str">
        <f>"TP274/667"</f>
        <v>TP274/667</v>
      </c>
    </row>
    <row r="445" customHeight="1" spans="1:6">
      <c r="A445" s="6">
        <v>444</v>
      </c>
      <c r="B445" s="8" t="s">
        <v>12933</v>
      </c>
      <c r="C445" s="8" t="s">
        <v>12934</v>
      </c>
      <c r="D445" s="8" t="s">
        <v>12935</v>
      </c>
      <c r="E445" s="8" t="s">
        <v>1734</v>
      </c>
      <c r="F445" s="8" t="s">
        <v>12936</v>
      </c>
    </row>
    <row r="446" customHeight="1" spans="1:6">
      <c r="A446" s="6">
        <v>445</v>
      </c>
      <c r="B446" s="8" t="s">
        <v>12933</v>
      </c>
      <c r="C446" s="8" t="s">
        <v>12934</v>
      </c>
      <c r="D446" s="8" t="s">
        <v>12935</v>
      </c>
      <c r="E446" s="8" t="s">
        <v>1734</v>
      </c>
      <c r="F446" s="8" t="s">
        <v>12936</v>
      </c>
    </row>
    <row r="447" customHeight="1" spans="1:6">
      <c r="A447" s="6">
        <v>446</v>
      </c>
      <c r="B447" s="8" t="s">
        <v>12937</v>
      </c>
      <c r="C447" s="8" t="s">
        <v>12938</v>
      </c>
      <c r="D447" s="8" t="s">
        <v>12939</v>
      </c>
      <c r="E447" s="8" t="s">
        <v>12940</v>
      </c>
      <c r="F447" s="8" t="s">
        <v>12941</v>
      </c>
    </row>
    <row r="448" customHeight="1" spans="1:6">
      <c r="A448" s="6">
        <v>447</v>
      </c>
      <c r="B448" s="8" t="s">
        <v>12937</v>
      </c>
      <c r="C448" s="8" t="s">
        <v>12938</v>
      </c>
      <c r="D448" s="8" t="s">
        <v>12939</v>
      </c>
      <c r="E448" s="8" t="s">
        <v>12940</v>
      </c>
      <c r="F448" s="8" t="s">
        <v>12941</v>
      </c>
    </row>
    <row r="449" customHeight="1" spans="1:6">
      <c r="A449" s="6">
        <v>448</v>
      </c>
      <c r="B449" s="8" t="s">
        <v>12942</v>
      </c>
      <c r="C449" s="8" t="s">
        <v>12943</v>
      </c>
      <c r="D449" s="8" t="s">
        <v>12944</v>
      </c>
      <c r="E449" s="8" t="s">
        <v>3146</v>
      </c>
      <c r="F449" s="8" t="s">
        <v>12945</v>
      </c>
    </row>
    <row r="450" customHeight="1" spans="1:6">
      <c r="A450" s="6">
        <v>449</v>
      </c>
      <c r="B450" s="8" t="s">
        <v>12942</v>
      </c>
      <c r="C450" s="8" t="s">
        <v>12943</v>
      </c>
      <c r="D450" s="8" t="s">
        <v>12944</v>
      </c>
      <c r="E450" s="8" t="s">
        <v>3146</v>
      </c>
      <c r="F450" s="8" t="s">
        <v>12945</v>
      </c>
    </row>
    <row r="451" customHeight="1" spans="1:6">
      <c r="A451" s="6">
        <v>450</v>
      </c>
      <c r="B451" s="8" t="s">
        <v>12946</v>
      </c>
      <c r="C451" s="8" t="s">
        <v>12947</v>
      </c>
      <c r="D451" s="8" t="s">
        <v>12948</v>
      </c>
      <c r="E451" s="8" t="s">
        <v>530</v>
      </c>
      <c r="F451" s="8" t="s">
        <v>12949</v>
      </c>
    </row>
    <row r="452" customHeight="1" spans="1:6">
      <c r="A452" s="6">
        <v>451</v>
      </c>
      <c r="B452" s="8" t="s">
        <v>12946</v>
      </c>
      <c r="C452" s="8" t="s">
        <v>12947</v>
      </c>
      <c r="D452" s="8" t="s">
        <v>12948</v>
      </c>
      <c r="E452" s="8" t="s">
        <v>530</v>
      </c>
      <c r="F452" s="8" t="s">
        <v>12949</v>
      </c>
    </row>
    <row r="453" customHeight="1" spans="1:6">
      <c r="A453" s="6">
        <v>452</v>
      </c>
      <c r="B453" s="8" t="s">
        <v>12950</v>
      </c>
      <c r="C453" s="8" t="s">
        <v>12951</v>
      </c>
      <c r="D453" s="8" t="s">
        <v>12952</v>
      </c>
      <c r="E453" s="8" t="s">
        <v>1189</v>
      </c>
      <c r="F453" s="8" t="s">
        <v>12953</v>
      </c>
    </row>
    <row r="454" customHeight="1" spans="1:6">
      <c r="A454" s="6">
        <v>453</v>
      </c>
      <c r="B454" s="8" t="s">
        <v>12950</v>
      </c>
      <c r="C454" s="8" t="s">
        <v>12951</v>
      </c>
      <c r="D454" s="8" t="s">
        <v>12952</v>
      </c>
      <c r="E454" s="8" t="s">
        <v>1189</v>
      </c>
      <c r="F454" s="8" t="s">
        <v>12953</v>
      </c>
    </row>
    <row r="455" customHeight="1" spans="1:6">
      <c r="A455" s="6">
        <v>454</v>
      </c>
      <c r="B455" s="8" t="s">
        <v>12954</v>
      </c>
      <c r="C455" s="8" t="s">
        <v>12955</v>
      </c>
      <c r="D455" s="8" t="s">
        <v>12956</v>
      </c>
      <c r="E455" s="8" t="s">
        <v>311</v>
      </c>
      <c r="F455" s="8" t="s">
        <v>12957</v>
      </c>
    </row>
    <row r="456" customHeight="1" spans="1:6">
      <c r="A456" s="6">
        <v>455</v>
      </c>
      <c r="B456" s="8" t="s">
        <v>12954</v>
      </c>
      <c r="C456" s="8" t="s">
        <v>12955</v>
      </c>
      <c r="D456" s="8" t="s">
        <v>12956</v>
      </c>
      <c r="E456" s="8" t="s">
        <v>311</v>
      </c>
      <c r="F456" s="8" t="s">
        <v>12957</v>
      </c>
    </row>
    <row r="457" customHeight="1" spans="1:6">
      <c r="A457" s="6">
        <v>456</v>
      </c>
      <c r="B457" s="8" t="s">
        <v>12958</v>
      </c>
      <c r="C457" s="8" t="s">
        <v>12959</v>
      </c>
      <c r="D457" s="8" t="s">
        <v>12960</v>
      </c>
      <c r="E457" s="8" t="s">
        <v>4855</v>
      </c>
      <c r="F457" s="8" t="s">
        <v>12961</v>
      </c>
    </row>
    <row r="458" customHeight="1" spans="1:6">
      <c r="A458" s="6">
        <v>457</v>
      </c>
      <c r="B458" s="8" t="s">
        <v>12958</v>
      </c>
      <c r="C458" s="8" t="s">
        <v>12959</v>
      </c>
      <c r="D458" s="8" t="s">
        <v>12960</v>
      </c>
      <c r="E458" s="8" t="s">
        <v>4855</v>
      </c>
      <c r="F458" s="8" t="s">
        <v>12961</v>
      </c>
    </row>
    <row r="459" customHeight="1" spans="1:6">
      <c r="A459" s="6">
        <v>458</v>
      </c>
      <c r="B459" s="8" t="s">
        <v>12962</v>
      </c>
      <c r="C459" s="8" t="s">
        <v>12963</v>
      </c>
      <c r="D459" s="8" t="s">
        <v>12964</v>
      </c>
      <c r="E459" s="8" t="s">
        <v>3146</v>
      </c>
      <c r="F459" s="8" t="s">
        <v>12965</v>
      </c>
    </row>
    <row r="460" customHeight="1" spans="1:6">
      <c r="A460" s="6">
        <v>459</v>
      </c>
      <c r="B460" s="8" t="s">
        <v>12962</v>
      </c>
      <c r="C460" s="8" t="s">
        <v>12963</v>
      </c>
      <c r="D460" s="8" t="s">
        <v>12964</v>
      </c>
      <c r="E460" s="8" t="s">
        <v>3146</v>
      </c>
      <c r="F460" s="8" t="s">
        <v>12965</v>
      </c>
    </row>
    <row r="461" customHeight="1" spans="1:6">
      <c r="A461" s="6">
        <v>460</v>
      </c>
      <c r="B461" s="8" t="s">
        <v>12966</v>
      </c>
      <c r="C461" s="8" t="s">
        <v>12967</v>
      </c>
      <c r="D461" s="8" t="s">
        <v>12968</v>
      </c>
      <c r="E461" s="8" t="s">
        <v>216</v>
      </c>
      <c r="F461" s="8" t="s">
        <v>12969</v>
      </c>
    </row>
    <row r="462" customHeight="1" spans="1:6">
      <c r="A462" s="6">
        <v>461</v>
      </c>
      <c r="B462" s="8" t="s">
        <v>12966</v>
      </c>
      <c r="C462" s="8" t="s">
        <v>12967</v>
      </c>
      <c r="D462" s="8" t="s">
        <v>12968</v>
      </c>
      <c r="E462" s="8" t="s">
        <v>216</v>
      </c>
      <c r="F462" s="8" t="s">
        <v>12969</v>
      </c>
    </row>
    <row r="463" customHeight="1" spans="1:6">
      <c r="A463" s="6">
        <v>462</v>
      </c>
      <c r="B463" s="8" t="s">
        <v>12970</v>
      </c>
      <c r="C463" s="8" t="s">
        <v>12971</v>
      </c>
      <c r="D463" s="8" t="s">
        <v>12972</v>
      </c>
      <c r="E463" s="8" t="s">
        <v>8825</v>
      </c>
      <c r="F463" s="8" t="s">
        <v>12973</v>
      </c>
    </row>
    <row r="464" customHeight="1" spans="1:6">
      <c r="A464" s="6">
        <v>463</v>
      </c>
      <c r="B464" s="8" t="s">
        <v>12970</v>
      </c>
      <c r="C464" s="8" t="s">
        <v>12971</v>
      </c>
      <c r="D464" s="8" t="s">
        <v>12972</v>
      </c>
      <c r="E464" s="8" t="s">
        <v>8825</v>
      </c>
      <c r="F464" s="8" t="s">
        <v>12973</v>
      </c>
    </row>
    <row r="465" customHeight="1" spans="1:6">
      <c r="A465" s="6">
        <v>464</v>
      </c>
      <c r="B465" s="8" t="s">
        <v>12974</v>
      </c>
      <c r="C465" s="8" t="s">
        <v>12975</v>
      </c>
      <c r="D465" s="8" t="s">
        <v>12976</v>
      </c>
      <c r="E465" s="8" t="s">
        <v>216</v>
      </c>
      <c r="F465" s="8" t="s">
        <v>12977</v>
      </c>
    </row>
    <row r="466" customHeight="1" spans="1:6">
      <c r="A466" s="6">
        <v>465</v>
      </c>
      <c r="B466" s="8" t="s">
        <v>12974</v>
      </c>
      <c r="C466" s="8" t="s">
        <v>12975</v>
      </c>
      <c r="D466" s="8" t="s">
        <v>12976</v>
      </c>
      <c r="E466" s="8" t="s">
        <v>216</v>
      </c>
      <c r="F466" s="8" t="s">
        <v>12977</v>
      </c>
    </row>
    <row r="467" customHeight="1" spans="1:6">
      <c r="A467" s="6">
        <v>466</v>
      </c>
      <c r="B467" s="8" t="s">
        <v>12978</v>
      </c>
      <c r="C467" s="8" t="s">
        <v>12979</v>
      </c>
      <c r="D467" s="8" t="s">
        <v>12980</v>
      </c>
      <c r="E467" s="8" t="s">
        <v>256</v>
      </c>
      <c r="F467" s="8" t="s">
        <v>12981</v>
      </c>
    </row>
    <row r="468" customHeight="1" spans="1:6">
      <c r="A468" s="6">
        <v>467</v>
      </c>
      <c r="B468" s="8" t="s">
        <v>12978</v>
      </c>
      <c r="C468" s="8" t="s">
        <v>12979</v>
      </c>
      <c r="D468" s="8" t="s">
        <v>12980</v>
      </c>
      <c r="E468" s="8" t="s">
        <v>256</v>
      </c>
      <c r="F468" s="8" t="s">
        <v>12981</v>
      </c>
    </row>
    <row r="469" customHeight="1" spans="1:6">
      <c r="A469" s="6">
        <v>468</v>
      </c>
      <c r="B469" s="8" t="s">
        <v>12982</v>
      </c>
      <c r="C469" s="8" t="s">
        <v>12983</v>
      </c>
      <c r="D469" s="8" t="s">
        <v>12984</v>
      </c>
      <c r="E469" s="8" t="s">
        <v>1189</v>
      </c>
      <c r="F469" s="8" t="s">
        <v>12985</v>
      </c>
    </row>
    <row r="470" customHeight="1" spans="1:6">
      <c r="A470" s="6">
        <v>469</v>
      </c>
      <c r="B470" s="8" t="s">
        <v>12982</v>
      </c>
      <c r="C470" s="8" t="s">
        <v>12983</v>
      </c>
      <c r="D470" s="8" t="s">
        <v>12984</v>
      </c>
      <c r="E470" s="8" t="s">
        <v>1189</v>
      </c>
      <c r="F470" s="8" t="s">
        <v>12985</v>
      </c>
    </row>
    <row r="471" customHeight="1" spans="1:6">
      <c r="A471" s="6">
        <v>470</v>
      </c>
      <c r="B471" s="8" t="s">
        <v>12986</v>
      </c>
      <c r="C471" s="8" t="s">
        <v>12987</v>
      </c>
      <c r="D471" s="8" t="s">
        <v>12988</v>
      </c>
      <c r="E471" s="8" t="s">
        <v>8</v>
      </c>
      <c r="F471" s="8" t="s">
        <v>12989</v>
      </c>
    </row>
    <row r="472" customHeight="1" spans="1:6">
      <c r="A472" s="6">
        <v>471</v>
      </c>
      <c r="B472" s="8" t="s">
        <v>12986</v>
      </c>
      <c r="C472" s="8" t="s">
        <v>12987</v>
      </c>
      <c r="D472" s="8" t="s">
        <v>12988</v>
      </c>
      <c r="E472" s="8" t="s">
        <v>8</v>
      </c>
      <c r="F472" s="8" t="s">
        <v>12989</v>
      </c>
    </row>
    <row r="473" customHeight="1" spans="1:6">
      <c r="A473" s="6">
        <v>472</v>
      </c>
      <c r="B473" s="8" t="s">
        <v>12990</v>
      </c>
      <c r="C473" s="8" t="s">
        <v>12991</v>
      </c>
      <c r="D473" s="8" t="s">
        <v>10789</v>
      </c>
      <c r="E473" s="8" t="s">
        <v>7717</v>
      </c>
      <c r="F473" s="8" t="s">
        <v>12992</v>
      </c>
    </row>
    <row r="474" customHeight="1" spans="1:6">
      <c r="A474" s="6">
        <v>473</v>
      </c>
      <c r="B474" s="8" t="s">
        <v>12990</v>
      </c>
      <c r="C474" s="8" t="s">
        <v>12991</v>
      </c>
      <c r="D474" s="8" t="s">
        <v>10789</v>
      </c>
      <c r="E474" s="8" t="s">
        <v>7717</v>
      </c>
      <c r="F474" s="8" t="s">
        <v>12992</v>
      </c>
    </row>
    <row r="475" customHeight="1" spans="1:6">
      <c r="A475" s="6">
        <v>474</v>
      </c>
      <c r="B475" s="8" t="s">
        <v>12993</v>
      </c>
      <c r="C475" s="8" t="s">
        <v>12994</v>
      </c>
      <c r="D475" s="8" t="s">
        <v>12995</v>
      </c>
      <c r="E475" s="8" t="s">
        <v>216</v>
      </c>
      <c r="F475" s="8" t="s">
        <v>12996</v>
      </c>
    </row>
    <row r="476" customHeight="1" spans="1:6">
      <c r="A476" s="6">
        <v>475</v>
      </c>
      <c r="B476" s="8" t="s">
        <v>12993</v>
      </c>
      <c r="C476" s="8" t="s">
        <v>12994</v>
      </c>
      <c r="D476" s="8" t="s">
        <v>12995</v>
      </c>
      <c r="E476" s="8" t="s">
        <v>216</v>
      </c>
      <c r="F476" s="8" t="s">
        <v>12996</v>
      </c>
    </row>
    <row r="477" customHeight="1" spans="1:6">
      <c r="A477" s="6">
        <v>476</v>
      </c>
      <c r="B477" s="8" t="s">
        <v>12997</v>
      </c>
      <c r="C477" s="8" t="s">
        <v>12998</v>
      </c>
      <c r="D477" s="8" t="s">
        <v>12999</v>
      </c>
      <c r="E477" s="8" t="s">
        <v>4950</v>
      </c>
      <c r="F477" s="8" t="s">
        <v>13000</v>
      </c>
    </row>
    <row r="478" customHeight="1" spans="1:6">
      <c r="A478" s="6">
        <v>477</v>
      </c>
      <c r="B478" s="8" t="s">
        <v>12997</v>
      </c>
      <c r="C478" s="8" t="s">
        <v>12998</v>
      </c>
      <c r="D478" s="8" t="s">
        <v>12999</v>
      </c>
      <c r="E478" s="8" t="s">
        <v>4950</v>
      </c>
      <c r="F478" s="8" t="s">
        <v>13000</v>
      </c>
    </row>
    <row r="479" customHeight="1" spans="1:6">
      <c r="A479" s="6">
        <v>478</v>
      </c>
      <c r="B479" s="8" t="s">
        <v>13001</v>
      </c>
      <c r="C479" s="8" t="s">
        <v>13002</v>
      </c>
      <c r="D479" s="8" t="s">
        <v>13003</v>
      </c>
      <c r="E479" s="8" t="s">
        <v>288</v>
      </c>
      <c r="F479" s="8" t="s">
        <v>13004</v>
      </c>
    </row>
    <row r="480" customHeight="1" spans="1:6">
      <c r="A480" s="6">
        <v>479</v>
      </c>
      <c r="B480" s="8" t="s">
        <v>13001</v>
      </c>
      <c r="C480" s="8" t="s">
        <v>13002</v>
      </c>
      <c r="D480" s="8" t="s">
        <v>13003</v>
      </c>
      <c r="E480" s="8" t="s">
        <v>288</v>
      </c>
      <c r="F480" s="8" t="s">
        <v>13004</v>
      </c>
    </row>
    <row r="481" customHeight="1" spans="1:6">
      <c r="A481" s="6">
        <v>480</v>
      </c>
      <c r="B481" s="8" t="s">
        <v>13005</v>
      </c>
      <c r="C481" s="8" t="s">
        <v>13006</v>
      </c>
      <c r="D481" s="8" t="s">
        <v>13007</v>
      </c>
      <c r="E481" s="8" t="s">
        <v>7202</v>
      </c>
      <c r="F481" s="8" t="s">
        <v>13008</v>
      </c>
    </row>
    <row r="482" customHeight="1" spans="1:6">
      <c r="A482" s="6">
        <v>481</v>
      </c>
      <c r="B482" s="8" t="s">
        <v>13005</v>
      </c>
      <c r="C482" s="8" t="s">
        <v>13006</v>
      </c>
      <c r="D482" s="8" t="s">
        <v>13007</v>
      </c>
      <c r="E482" s="8" t="s">
        <v>7202</v>
      </c>
      <c r="F482" s="8" t="s">
        <v>13008</v>
      </c>
    </row>
    <row r="483" customHeight="1" spans="1:6">
      <c r="A483" s="6">
        <v>482</v>
      </c>
      <c r="B483" s="8" t="s">
        <v>13009</v>
      </c>
      <c r="C483" s="8" t="s">
        <v>13010</v>
      </c>
      <c r="D483" s="8" t="s">
        <v>13011</v>
      </c>
      <c r="E483" s="8" t="s">
        <v>1734</v>
      </c>
      <c r="F483" s="8" t="s">
        <v>13012</v>
      </c>
    </row>
    <row r="484" customHeight="1" spans="1:6">
      <c r="A484" s="6">
        <v>483</v>
      </c>
      <c r="B484" s="8" t="s">
        <v>13009</v>
      </c>
      <c r="C484" s="8" t="s">
        <v>13010</v>
      </c>
      <c r="D484" s="8" t="s">
        <v>13011</v>
      </c>
      <c r="E484" s="8" t="s">
        <v>1734</v>
      </c>
      <c r="F484" s="8" t="s">
        <v>13012</v>
      </c>
    </row>
    <row r="485" customHeight="1" spans="1:6">
      <c r="A485" s="6">
        <v>484</v>
      </c>
      <c r="B485" s="8" t="s">
        <v>13013</v>
      </c>
      <c r="C485" s="8" t="s">
        <v>13014</v>
      </c>
      <c r="D485" s="8" t="s">
        <v>13015</v>
      </c>
      <c r="E485" s="8" t="s">
        <v>43</v>
      </c>
      <c r="F485" s="8" t="s">
        <v>13016</v>
      </c>
    </row>
    <row r="486" customHeight="1" spans="1:6">
      <c r="A486" s="6">
        <v>485</v>
      </c>
      <c r="B486" s="8" t="s">
        <v>13013</v>
      </c>
      <c r="C486" s="8" t="s">
        <v>13014</v>
      </c>
      <c r="D486" s="8" t="s">
        <v>13015</v>
      </c>
      <c r="E486" s="8" t="s">
        <v>43</v>
      </c>
      <c r="F486" s="8" t="s">
        <v>13016</v>
      </c>
    </row>
    <row r="487" customHeight="1" spans="1:6">
      <c r="A487" s="6">
        <v>486</v>
      </c>
      <c r="B487" s="8" t="s">
        <v>13017</v>
      </c>
      <c r="C487" s="8" t="s">
        <v>13018</v>
      </c>
      <c r="D487" s="8" t="s">
        <v>13019</v>
      </c>
      <c r="E487" s="8" t="s">
        <v>3146</v>
      </c>
      <c r="F487" s="8" t="s">
        <v>13020</v>
      </c>
    </row>
    <row r="488" customHeight="1" spans="1:6">
      <c r="A488" s="6">
        <v>487</v>
      </c>
      <c r="B488" s="8" t="s">
        <v>13017</v>
      </c>
      <c r="C488" s="8" t="s">
        <v>13018</v>
      </c>
      <c r="D488" s="8" t="s">
        <v>13019</v>
      </c>
      <c r="E488" s="8" t="s">
        <v>3146</v>
      </c>
      <c r="F488" s="8" t="s">
        <v>13020</v>
      </c>
    </row>
    <row r="489" customHeight="1" spans="1:6">
      <c r="A489" s="6">
        <v>488</v>
      </c>
      <c r="B489" s="8" t="s">
        <v>13021</v>
      </c>
      <c r="C489" s="8" t="s">
        <v>13022</v>
      </c>
      <c r="D489" s="8" t="s">
        <v>13023</v>
      </c>
      <c r="E489" s="8" t="s">
        <v>216</v>
      </c>
      <c r="F489" s="8" t="s">
        <v>13024</v>
      </c>
    </row>
    <row r="490" customHeight="1" spans="1:6">
      <c r="A490" s="6">
        <v>489</v>
      </c>
      <c r="B490" s="8" t="s">
        <v>13021</v>
      </c>
      <c r="C490" s="8" t="s">
        <v>13022</v>
      </c>
      <c r="D490" s="8" t="s">
        <v>13023</v>
      </c>
      <c r="E490" s="8" t="s">
        <v>216</v>
      </c>
      <c r="F490" s="8" t="s">
        <v>13024</v>
      </c>
    </row>
    <row r="491" customHeight="1" spans="1:6">
      <c r="A491" s="6">
        <v>490</v>
      </c>
      <c r="B491" s="8" t="s">
        <v>13025</v>
      </c>
      <c r="C491" s="8" t="s">
        <v>13026</v>
      </c>
      <c r="D491" s="8" t="s">
        <v>13027</v>
      </c>
      <c r="E491" s="8" t="s">
        <v>4855</v>
      </c>
      <c r="F491" s="8" t="s">
        <v>13028</v>
      </c>
    </row>
    <row r="492" customHeight="1" spans="1:6">
      <c r="A492" s="6">
        <v>491</v>
      </c>
      <c r="B492" s="8" t="s">
        <v>13025</v>
      </c>
      <c r="C492" s="8" t="s">
        <v>13026</v>
      </c>
      <c r="D492" s="8" t="s">
        <v>13027</v>
      </c>
      <c r="E492" s="8" t="s">
        <v>4855</v>
      </c>
      <c r="F492" s="8" t="s">
        <v>13028</v>
      </c>
    </row>
    <row r="493" customHeight="1" spans="1:6">
      <c r="A493" s="6">
        <v>492</v>
      </c>
      <c r="B493" s="8" t="s">
        <v>13029</v>
      </c>
      <c r="C493" s="8" t="s">
        <v>13030</v>
      </c>
      <c r="D493" s="8" t="s">
        <v>13031</v>
      </c>
      <c r="E493" s="8" t="s">
        <v>311</v>
      </c>
      <c r="F493" s="8" t="s">
        <v>13032</v>
      </c>
    </row>
    <row r="494" customHeight="1" spans="1:6">
      <c r="A494" s="6">
        <v>493</v>
      </c>
      <c r="B494" s="8" t="s">
        <v>13029</v>
      </c>
      <c r="C494" s="8" t="s">
        <v>13030</v>
      </c>
      <c r="D494" s="8" t="s">
        <v>13031</v>
      </c>
      <c r="E494" s="8" t="s">
        <v>311</v>
      </c>
      <c r="F494" s="8" t="s">
        <v>13032</v>
      </c>
    </row>
    <row r="495" customHeight="1" spans="1:6">
      <c r="A495" s="6">
        <v>494</v>
      </c>
      <c r="B495" s="8" t="s">
        <v>13033</v>
      </c>
      <c r="C495" s="8" t="s">
        <v>13034</v>
      </c>
      <c r="D495" s="8" t="s">
        <v>13035</v>
      </c>
      <c r="E495" s="8" t="s">
        <v>4950</v>
      </c>
      <c r="F495" s="8" t="s">
        <v>13036</v>
      </c>
    </row>
    <row r="496" customHeight="1" spans="1:6">
      <c r="A496" s="6">
        <v>495</v>
      </c>
      <c r="B496" s="8" t="s">
        <v>13033</v>
      </c>
      <c r="C496" s="8" t="s">
        <v>13034</v>
      </c>
      <c r="D496" s="8" t="s">
        <v>13035</v>
      </c>
      <c r="E496" s="8" t="s">
        <v>4950</v>
      </c>
      <c r="F496" s="8" t="s">
        <v>13036</v>
      </c>
    </row>
    <row r="497" customHeight="1" spans="1:6">
      <c r="A497" s="6">
        <v>496</v>
      </c>
      <c r="B497" s="8" t="s">
        <v>13037</v>
      </c>
      <c r="C497" s="8" t="s">
        <v>13038</v>
      </c>
      <c r="D497" s="8" t="s">
        <v>13039</v>
      </c>
      <c r="E497" s="8" t="s">
        <v>10158</v>
      </c>
      <c r="F497" s="8" t="s">
        <v>13040</v>
      </c>
    </row>
    <row r="498" customHeight="1" spans="1:6">
      <c r="A498" s="6">
        <v>497</v>
      </c>
      <c r="B498" s="8" t="s">
        <v>13037</v>
      </c>
      <c r="C498" s="8" t="s">
        <v>13038</v>
      </c>
      <c r="D498" s="8" t="s">
        <v>13039</v>
      </c>
      <c r="E498" s="8" t="s">
        <v>10158</v>
      </c>
      <c r="F498" s="8" t="s">
        <v>13040</v>
      </c>
    </row>
    <row r="499" customHeight="1" spans="1:6">
      <c r="A499" s="6">
        <v>498</v>
      </c>
      <c r="B499" s="8" t="s">
        <v>13041</v>
      </c>
      <c r="C499" s="8" t="s">
        <v>13042</v>
      </c>
      <c r="D499" s="8" t="s">
        <v>13043</v>
      </c>
      <c r="E499" s="8" t="s">
        <v>415</v>
      </c>
      <c r="F499" s="8" t="s">
        <v>13044</v>
      </c>
    </row>
    <row r="500" customHeight="1" spans="1:6">
      <c r="A500" s="6">
        <v>499</v>
      </c>
      <c r="B500" s="8" t="s">
        <v>13041</v>
      </c>
      <c r="C500" s="8" t="s">
        <v>13042</v>
      </c>
      <c r="D500" s="8" t="s">
        <v>13043</v>
      </c>
      <c r="E500" s="8" t="s">
        <v>415</v>
      </c>
      <c r="F500" s="8" t="s">
        <v>13044</v>
      </c>
    </row>
    <row r="501" customHeight="1" spans="1:6">
      <c r="A501" s="6">
        <v>500</v>
      </c>
      <c r="B501" s="8" t="s">
        <v>13045</v>
      </c>
      <c r="C501" s="8" t="s">
        <v>13046</v>
      </c>
      <c r="D501" s="8" t="s">
        <v>13047</v>
      </c>
      <c r="E501" s="8" t="s">
        <v>23</v>
      </c>
      <c r="F501" s="8" t="s">
        <v>13048</v>
      </c>
    </row>
    <row r="502" customHeight="1" spans="1:6">
      <c r="A502" s="6">
        <v>501</v>
      </c>
      <c r="B502" s="8" t="s">
        <v>13045</v>
      </c>
      <c r="C502" s="8" t="s">
        <v>13046</v>
      </c>
      <c r="D502" s="8" t="s">
        <v>13047</v>
      </c>
      <c r="E502" s="8" t="s">
        <v>23</v>
      </c>
      <c r="F502" s="8" t="s">
        <v>13048</v>
      </c>
    </row>
    <row r="503" customHeight="1" spans="1:6">
      <c r="A503" s="6">
        <v>502</v>
      </c>
      <c r="B503" s="8" t="s">
        <v>13049</v>
      </c>
      <c r="C503" s="8" t="s">
        <v>13050</v>
      </c>
      <c r="D503" s="8" t="s">
        <v>13051</v>
      </c>
      <c r="E503" s="8" t="s">
        <v>1236</v>
      </c>
      <c r="F503" s="8" t="s">
        <v>13052</v>
      </c>
    </row>
    <row r="504" customHeight="1" spans="1:6">
      <c r="A504" s="6">
        <v>503</v>
      </c>
      <c r="B504" s="8" t="s">
        <v>13049</v>
      </c>
      <c r="C504" s="8" t="s">
        <v>13050</v>
      </c>
      <c r="D504" s="8" t="s">
        <v>13051</v>
      </c>
      <c r="E504" s="8" t="s">
        <v>1236</v>
      </c>
      <c r="F504" s="8" t="s">
        <v>13052</v>
      </c>
    </row>
    <row r="505" customHeight="1" spans="1:6">
      <c r="A505" s="6">
        <v>504</v>
      </c>
      <c r="B505" s="8" t="s">
        <v>13053</v>
      </c>
      <c r="C505" s="8" t="s">
        <v>13054</v>
      </c>
      <c r="D505" s="8" t="s">
        <v>13055</v>
      </c>
      <c r="E505" s="8" t="s">
        <v>202</v>
      </c>
      <c r="F505" s="8" t="s">
        <v>13056</v>
      </c>
    </row>
    <row r="506" customHeight="1" spans="1:6">
      <c r="A506" s="6">
        <v>505</v>
      </c>
      <c r="B506" s="8" t="s">
        <v>13053</v>
      </c>
      <c r="C506" s="8" t="s">
        <v>13054</v>
      </c>
      <c r="D506" s="8" t="s">
        <v>13055</v>
      </c>
      <c r="E506" s="8" t="s">
        <v>202</v>
      </c>
      <c r="F506" s="8" t="s">
        <v>13056</v>
      </c>
    </row>
    <row r="507" customHeight="1" spans="1:6">
      <c r="A507" s="6">
        <v>506</v>
      </c>
      <c r="B507" s="8" t="s">
        <v>13057</v>
      </c>
      <c r="C507" s="8" t="s">
        <v>13058</v>
      </c>
      <c r="D507" s="8" t="s">
        <v>13059</v>
      </c>
      <c r="E507" s="8" t="s">
        <v>311</v>
      </c>
      <c r="F507" s="8" t="s">
        <v>13060</v>
      </c>
    </row>
    <row r="508" customHeight="1" spans="1:6">
      <c r="A508" s="6">
        <v>507</v>
      </c>
      <c r="B508" s="8" t="s">
        <v>13057</v>
      </c>
      <c r="C508" s="8" t="s">
        <v>13058</v>
      </c>
      <c r="D508" s="8" t="s">
        <v>13059</v>
      </c>
      <c r="E508" s="8" t="s">
        <v>311</v>
      </c>
      <c r="F508" s="8" t="s">
        <v>13060</v>
      </c>
    </row>
    <row r="509" customHeight="1" spans="1:6">
      <c r="A509" s="6">
        <v>508</v>
      </c>
      <c r="B509" s="8" t="s">
        <v>13061</v>
      </c>
      <c r="C509" s="8" t="s">
        <v>13062</v>
      </c>
      <c r="D509" s="8" t="s">
        <v>13063</v>
      </c>
      <c r="E509" s="8" t="s">
        <v>216</v>
      </c>
      <c r="F509" s="8" t="s">
        <v>13064</v>
      </c>
    </row>
    <row r="510" customHeight="1" spans="1:6">
      <c r="A510" s="6">
        <v>509</v>
      </c>
      <c r="B510" s="8" t="s">
        <v>13061</v>
      </c>
      <c r="C510" s="8" t="s">
        <v>13062</v>
      </c>
      <c r="D510" s="8" t="s">
        <v>13063</v>
      </c>
      <c r="E510" s="8" t="s">
        <v>216</v>
      </c>
      <c r="F510" s="8" t="s">
        <v>13064</v>
      </c>
    </row>
    <row r="511" customHeight="1" spans="1:6">
      <c r="A511" s="6">
        <v>510</v>
      </c>
      <c r="B511" s="8" t="s">
        <v>13065</v>
      </c>
      <c r="C511" s="8" t="s">
        <v>13066</v>
      </c>
      <c r="D511" s="8" t="s">
        <v>13067</v>
      </c>
      <c r="E511" s="8" t="s">
        <v>530</v>
      </c>
      <c r="F511" s="8" t="s">
        <v>13068</v>
      </c>
    </row>
    <row r="512" customHeight="1" spans="1:6">
      <c r="A512" s="6">
        <v>511</v>
      </c>
      <c r="B512" s="8" t="s">
        <v>13065</v>
      </c>
      <c r="C512" s="8" t="s">
        <v>13066</v>
      </c>
      <c r="D512" s="8" t="s">
        <v>13067</v>
      </c>
      <c r="E512" s="8" t="s">
        <v>530</v>
      </c>
      <c r="F512" s="8" t="s">
        <v>13068</v>
      </c>
    </row>
    <row r="513" customHeight="1" spans="1:6">
      <c r="A513" s="6">
        <v>512</v>
      </c>
      <c r="B513" s="8" t="s">
        <v>13069</v>
      </c>
      <c r="C513" s="8" t="s">
        <v>13070</v>
      </c>
      <c r="D513" s="8" t="s">
        <v>13071</v>
      </c>
      <c r="E513" s="8" t="s">
        <v>13072</v>
      </c>
      <c r="F513" s="8" t="s">
        <v>13073</v>
      </c>
    </row>
    <row r="514" customHeight="1" spans="1:6">
      <c r="A514" s="6">
        <v>513</v>
      </c>
      <c r="B514" s="8" t="s">
        <v>13069</v>
      </c>
      <c r="C514" s="8" t="s">
        <v>13070</v>
      </c>
      <c r="D514" s="8" t="s">
        <v>13071</v>
      </c>
      <c r="E514" s="8" t="s">
        <v>13072</v>
      </c>
      <c r="F514" s="8" t="s">
        <v>13073</v>
      </c>
    </row>
    <row r="515" customHeight="1" spans="1:6">
      <c r="A515" s="6">
        <v>514</v>
      </c>
      <c r="B515" s="7" t="str">
        <f t="shared" ref="B515:B517" si="21">"978-7-302-57875-8"</f>
        <v>978-7-302-57875-8</v>
      </c>
      <c r="C515" s="7" t="str">
        <f t="shared" ref="C515:C517" si="22">"大学生计算与信息化素养"</f>
        <v>大学生计算与信息化素养</v>
      </c>
      <c r="D515" s="7" t="str">
        <f t="shared" ref="D515:D517" si="23">"陈志泊主编；蔡娟， 韩慧， 孙俏编著"</f>
        <v>陈志泊主编；蔡娟， 韩慧， 孙俏编著</v>
      </c>
      <c r="E515" s="7" t="str">
        <f t="shared" ref="E515:E517" si="24">"清华大学出版社"</f>
        <v>清华大学出版社</v>
      </c>
      <c r="F515" s="7" t="str">
        <f t="shared" ref="F515:F517" si="25">"TP3/1492"</f>
        <v>TP3/1492</v>
      </c>
    </row>
    <row r="516" customHeight="1" spans="1:6">
      <c r="A516" s="6">
        <v>515</v>
      </c>
      <c r="B516" s="7" t="str">
        <f t="shared" si="21"/>
        <v>978-7-302-57875-8</v>
      </c>
      <c r="C516" s="7" t="str">
        <f t="shared" si="22"/>
        <v>大学生计算与信息化素养</v>
      </c>
      <c r="D516" s="7" t="str">
        <f t="shared" si="23"/>
        <v>陈志泊主编；蔡娟， 韩慧， 孙俏编著</v>
      </c>
      <c r="E516" s="7" t="str">
        <f t="shared" si="24"/>
        <v>清华大学出版社</v>
      </c>
      <c r="F516" s="7" t="str">
        <f t="shared" si="25"/>
        <v>TP3/1492</v>
      </c>
    </row>
    <row r="517" customHeight="1" spans="1:6">
      <c r="A517" s="6">
        <v>516</v>
      </c>
      <c r="B517" s="7" t="str">
        <f t="shared" si="21"/>
        <v>978-7-302-57875-8</v>
      </c>
      <c r="C517" s="7" t="str">
        <f t="shared" si="22"/>
        <v>大学生计算与信息化素养</v>
      </c>
      <c r="D517" s="7" t="str">
        <f t="shared" si="23"/>
        <v>陈志泊主编；蔡娟， 韩慧， 孙俏编著</v>
      </c>
      <c r="E517" s="7" t="str">
        <f t="shared" si="24"/>
        <v>清华大学出版社</v>
      </c>
      <c r="F517" s="7" t="str">
        <f t="shared" si="25"/>
        <v>TP3/1492</v>
      </c>
    </row>
    <row r="518" customHeight="1" spans="1:6">
      <c r="A518" s="6">
        <v>517</v>
      </c>
      <c r="B518" s="8" t="s">
        <v>13074</v>
      </c>
      <c r="C518" s="8" t="s">
        <v>13075</v>
      </c>
      <c r="D518" s="8" t="s">
        <v>13076</v>
      </c>
      <c r="E518" s="8" t="s">
        <v>890</v>
      </c>
      <c r="F518" s="8" t="s">
        <v>13077</v>
      </c>
    </row>
    <row r="519" customHeight="1" spans="1:6">
      <c r="A519" s="6">
        <v>518</v>
      </c>
      <c r="B519" s="8" t="s">
        <v>13074</v>
      </c>
      <c r="C519" s="8" t="s">
        <v>13075</v>
      </c>
      <c r="D519" s="8" t="s">
        <v>13076</v>
      </c>
      <c r="E519" s="8" t="s">
        <v>890</v>
      </c>
      <c r="F519" s="8" t="s">
        <v>13077</v>
      </c>
    </row>
    <row r="520" customHeight="1" spans="1:6">
      <c r="A520" s="6">
        <v>519</v>
      </c>
      <c r="B520" s="8" t="s">
        <v>13078</v>
      </c>
      <c r="C520" s="8" t="s">
        <v>13079</v>
      </c>
      <c r="D520" s="8" t="s">
        <v>13080</v>
      </c>
      <c r="E520" s="8" t="s">
        <v>1306</v>
      </c>
      <c r="F520" s="8" t="s">
        <v>13081</v>
      </c>
    </row>
    <row r="521" customHeight="1" spans="1:6">
      <c r="A521" s="6">
        <v>520</v>
      </c>
      <c r="B521" s="8" t="s">
        <v>13078</v>
      </c>
      <c r="C521" s="8" t="s">
        <v>13079</v>
      </c>
      <c r="D521" s="8" t="s">
        <v>13080</v>
      </c>
      <c r="E521" s="8" t="s">
        <v>1306</v>
      </c>
      <c r="F521" s="8" t="s">
        <v>13081</v>
      </c>
    </row>
    <row r="522" customHeight="1" spans="1:6">
      <c r="A522" s="6">
        <v>521</v>
      </c>
      <c r="B522" s="8" t="s">
        <v>13082</v>
      </c>
      <c r="C522" s="8" t="s">
        <v>13083</v>
      </c>
      <c r="D522" s="8" t="s">
        <v>13084</v>
      </c>
      <c r="E522" s="8" t="s">
        <v>2566</v>
      </c>
      <c r="F522" s="8" t="s">
        <v>13085</v>
      </c>
    </row>
    <row r="523" customHeight="1" spans="1:6">
      <c r="A523" s="6">
        <v>522</v>
      </c>
      <c r="B523" s="8" t="s">
        <v>13082</v>
      </c>
      <c r="C523" s="8" t="s">
        <v>13083</v>
      </c>
      <c r="D523" s="8" t="s">
        <v>13084</v>
      </c>
      <c r="E523" s="8" t="s">
        <v>2566</v>
      </c>
      <c r="F523" s="8" t="s">
        <v>13085</v>
      </c>
    </row>
    <row r="524" customHeight="1" spans="1:6">
      <c r="A524" s="6">
        <v>523</v>
      </c>
      <c r="B524" s="8" t="s">
        <v>13086</v>
      </c>
      <c r="C524" s="8" t="s">
        <v>13087</v>
      </c>
      <c r="D524" s="8" t="s">
        <v>13088</v>
      </c>
      <c r="E524" s="8" t="s">
        <v>530</v>
      </c>
      <c r="F524" s="8" t="s">
        <v>13089</v>
      </c>
    </row>
    <row r="525" customHeight="1" spans="1:6">
      <c r="A525" s="6">
        <v>524</v>
      </c>
      <c r="B525" s="8" t="s">
        <v>13086</v>
      </c>
      <c r="C525" s="8" t="s">
        <v>13087</v>
      </c>
      <c r="D525" s="8" t="s">
        <v>13088</v>
      </c>
      <c r="E525" s="8" t="s">
        <v>530</v>
      </c>
      <c r="F525" s="8" t="s">
        <v>13089</v>
      </c>
    </row>
    <row r="526" customHeight="1" spans="1:6">
      <c r="A526" s="6">
        <v>525</v>
      </c>
      <c r="B526" s="8" t="s">
        <v>13090</v>
      </c>
      <c r="C526" s="8" t="s">
        <v>13091</v>
      </c>
      <c r="D526" s="8" t="s">
        <v>13092</v>
      </c>
      <c r="E526" s="8" t="s">
        <v>256</v>
      </c>
      <c r="F526" s="8" t="s">
        <v>13093</v>
      </c>
    </row>
    <row r="527" customHeight="1" spans="1:6">
      <c r="A527" s="6">
        <v>526</v>
      </c>
      <c r="B527" s="8" t="s">
        <v>13090</v>
      </c>
      <c r="C527" s="8" t="s">
        <v>13091</v>
      </c>
      <c r="D527" s="8" t="s">
        <v>13092</v>
      </c>
      <c r="E527" s="8" t="s">
        <v>256</v>
      </c>
      <c r="F527" s="8" t="s">
        <v>13093</v>
      </c>
    </row>
    <row r="528" customHeight="1" spans="1:6">
      <c r="A528" s="6">
        <v>527</v>
      </c>
      <c r="B528" s="8" t="s">
        <v>13094</v>
      </c>
      <c r="C528" s="8" t="s">
        <v>13095</v>
      </c>
      <c r="D528" s="8" t="s">
        <v>13096</v>
      </c>
      <c r="E528" s="8" t="s">
        <v>13072</v>
      </c>
      <c r="F528" s="8" t="s">
        <v>13097</v>
      </c>
    </row>
    <row r="529" customHeight="1" spans="1:6">
      <c r="A529" s="6">
        <v>528</v>
      </c>
      <c r="B529" s="8" t="s">
        <v>13094</v>
      </c>
      <c r="C529" s="8" t="s">
        <v>13095</v>
      </c>
      <c r="D529" s="8" t="s">
        <v>13096</v>
      </c>
      <c r="E529" s="8" t="s">
        <v>13072</v>
      </c>
      <c r="F529" s="8" t="s">
        <v>13097</v>
      </c>
    </row>
    <row r="530" customHeight="1" spans="1:6">
      <c r="A530" s="6">
        <v>529</v>
      </c>
      <c r="B530" s="8" t="s">
        <v>13098</v>
      </c>
      <c r="C530" s="8" t="s">
        <v>13099</v>
      </c>
      <c r="D530" s="8" t="s">
        <v>13096</v>
      </c>
      <c r="E530" s="8" t="s">
        <v>13072</v>
      </c>
      <c r="F530" s="8" t="s">
        <v>13100</v>
      </c>
    </row>
    <row r="531" customHeight="1" spans="1:6">
      <c r="A531" s="6">
        <v>530</v>
      </c>
      <c r="B531" s="8" t="s">
        <v>13098</v>
      </c>
      <c r="C531" s="8" t="s">
        <v>13099</v>
      </c>
      <c r="D531" s="8" t="s">
        <v>13096</v>
      </c>
      <c r="E531" s="8" t="s">
        <v>13072</v>
      </c>
      <c r="F531" s="8" t="s">
        <v>13100</v>
      </c>
    </row>
    <row r="532" customHeight="1" spans="1:6">
      <c r="A532" s="6">
        <v>531</v>
      </c>
      <c r="B532" s="8" t="s">
        <v>13101</v>
      </c>
      <c r="C532" s="8" t="s">
        <v>13102</v>
      </c>
      <c r="D532" s="8" t="s">
        <v>13103</v>
      </c>
      <c r="E532" s="8" t="s">
        <v>13072</v>
      </c>
      <c r="F532" s="8" t="s">
        <v>13104</v>
      </c>
    </row>
    <row r="533" customHeight="1" spans="1:6">
      <c r="A533" s="6">
        <v>532</v>
      </c>
      <c r="B533" s="8" t="s">
        <v>13101</v>
      </c>
      <c r="C533" s="8" t="s">
        <v>13102</v>
      </c>
      <c r="D533" s="8" t="s">
        <v>13103</v>
      </c>
      <c r="E533" s="8" t="s">
        <v>13072</v>
      </c>
      <c r="F533" s="8" t="s">
        <v>13104</v>
      </c>
    </row>
    <row r="534" customHeight="1" spans="1:6">
      <c r="A534" s="6">
        <v>533</v>
      </c>
      <c r="B534" s="8" t="s">
        <v>13105</v>
      </c>
      <c r="C534" s="8" t="s">
        <v>13106</v>
      </c>
      <c r="D534" s="8" t="s">
        <v>13107</v>
      </c>
      <c r="E534" s="8" t="s">
        <v>415</v>
      </c>
      <c r="F534" s="8" t="s">
        <v>13108</v>
      </c>
    </row>
    <row r="535" customHeight="1" spans="1:6">
      <c r="A535" s="6">
        <v>534</v>
      </c>
      <c r="B535" s="8" t="s">
        <v>13105</v>
      </c>
      <c r="C535" s="8" t="s">
        <v>13106</v>
      </c>
      <c r="D535" s="8" t="s">
        <v>13107</v>
      </c>
      <c r="E535" s="8" t="s">
        <v>415</v>
      </c>
      <c r="F535" s="8" t="s">
        <v>13108</v>
      </c>
    </row>
    <row r="536" customHeight="1" spans="1:6">
      <c r="A536" s="6">
        <v>535</v>
      </c>
      <c r="B536" s="8" t="s">
        <v>13109</v>
      </c>
      <c r="C536" s="8" t="s">
        <v>13110</v>
      </c>
      <c r="D536" s="8" t="s">
        <v>13111</v>
      </c>
      <c r="E536" s="8" t="s">
        <v>13072</v>
      </c>
      <c r="F536" s="8" t="s">
        <v>13112</v>
      </c>
    </row>
    <row r="537" customHeight="1" spans="1:6">
      <c r="A537" s="6">
        <v>536</v>
      </c>
      <c r="B537" s="8" t="s">
        <v>13109</v>
      </c>
      <c r="C537" s="8" t="s">
        <v>13110</v>
      </c>
      <c r="D537" s="8" t="s">
        <v>13111</v>
      </c>
      <c r="E537" s="8" t="s">
        <v>13072</v>
      </c>
      <c r="F537" s="8" t="s">
        <v>13112</v>
      </c>
    </row>
    <row r="538" customHeight="1" spans="1:6">
      <c r="A538" s="6">
        <v>537</v>
      </c>
      <c r="B538" s="8" t="s">
        <v>13113</v>
      </c>
      <c r="C538" s="8" t="s">
        <v>13114</v>
      </c>
      <c r="D538" s="8" t="s">
        <v>1717</v>
      </c>
      <c r="E538" s="8" t="s">
        <v>2566</v>
      </c>
      <c r="F538" s="8" t="s">
        <v>13115</v>
      </c>
    </row>
    <row r="539" customHeight="1" spans="1:6">
      <c r="A539" s="6">
        <v>538</v>
      </c>
      <c r="B539" s="8" t="s">
        <v>13113</v>
      </c>
      <c r="C539" s="8" t="s">
        <v>13114</v>
      </c>
      <c r="D539" s="8" t="s">
        <v>1717</v>
      </c>
      <c r="E539" s="8" t="s">
        <v>2566</v>
      </c>
      <c r="F539" s="8" t="s">
        <v>13115</v>
      </c>
    </row>
    <row r="540" customHeight="1" spans="1:6">
      <c r="A540" s="6">
        <v>539</v>
      </c>
      <c r="B540" s="8" t="s">
        <v>13116</v>
      </c>
      <c r="C540" s="8" t="s">
        <v>13117</v>
      </c>
      <c r="D540" s="8" t="s">
        <v>13118</v>
      </c>
      <c r="E540" s="8" t="s">
        <v>2566</v>
      </c>
      <c r="F540" s="8" t="s">
        <v>13119</v>
      </c>
    </row>
    <row r="541" customHeight="1" spans="1:6">
      <c r="A541" s="6">
        <v>540</v>
      </c>
      <c r="B541" s="8" t="s">
        <v>13116</v>
      </c>
      <c r="C541" s="8" t="s">
        <v>13117</v>
      </c>
      <c r="D541" s="8" t="s">
        <v>13118</v>
      </c>
      <c r="E541" s="8" t="s">
        <v>2566</v>
      </c>
      <c r="F541" s="8" t="s">
        <v>13119</v>
      </c>
    </row>
    <row r="542" customHeight="1" spans="1:6">
      <c r="A542" s="6">
        <v>541</v>
      </c>
      <c r="B542" s="8" t="s">
        <v>13120</v>
      </c>
      <c r="C542" s="8" t="s">
        <v>13121</v>
      </c>
      <c r="D542" s="8" t="s">
        <v>13122</v>
      </c>
      <c r="E542" s="8" t="s">
        <v>890</v>
      </c>
      <c r="F542" s="8" t="s">
        <v>13123</v>
      </c>
    </row>
    <row r="543" customHeight="1" spans="1:6">
      <c r="A543" s="6">
        <v>542</v>
      </c>
      <c r="B543" s="8" t="s">
        <v>13120</v>
      </c>
      <c r="C543" s="8" t="s">
        <v>13121</v>
      </c>
      <c r="D543" s="8" t="s">
        <v>13122</v>
      </c>
      <c r="E543" s="8" t="s">
        <v>890</v>
      </c>
      <c r="F543" s="8" t="s">
        <v>13123</v>
      </c>
    </row>
    <row r="544" customHeight="1" spans="1:6">
      <c r="A544" s="6">
        <v>543</v>
      </c>
      <c r="B544" s="8" t="s">
        <v>13124</v>
      </c>
      <c r="C544" s="8" t="s">
        <v>13125</v>
      </c>
      <c r="D544" s="8" t="s">
        <v>12867</v>
      </c>
      <c r="E544" s="8" t="s">
        <v>3371</v>
      </c>
      <c r="F544" s="8" t="s">
        <v>13126</v>
      </c>
    </row>
    <row r="545" customHeight="1" spans="1:6">
      <c r="A545" s="6">
        <v>544</v>
      </c>
      <c r="B545" s="8" t="s">
        <v>13124</v>
      </c>
      <c r="C545" s="8" t="s">
        <v>13125</v>
      </c>
      <c r="D545" s="8" t="s">
        <v>12867</v>
      </c>
      <c r="E545" s="8" t="s">
        <v>3371</v>
      </c>
      <c r="F545" s="8" t="s">
        <v>13126</v>
      </c>
    </row>
    <row r="546" customHeight="1" spans="1:6">
      <c r="A546" s="6">
        <v>545</v>
      </c>
      <c r="B546" s="8" t="s">
        <v>13127</v>
      </c>
      <c r="C546" s="8" t="s">
        <v>13128</v>
      </c>
      <c r="D546" s="8" t="s">
        <v>13129</v>
      </c>
      <c r="E546" s="8" t="s">
        <v>530</v>
      </c>
      <c r="F546" s="8" t="s">
        <v>13130</v>
      </c>
    </row>
    <row r="547" customHeight="1" spans="1:6">
      <c r="A547" s="6">
        <v>546</v>
      </c>
      <c r="B547" s="8" t="s">
        <v>13127</v>
      </c>
      <c r="C547" s="8" t="s">
        <v>13128</v>
      </c>
      <c r="D547" s="8" t="s">
        <v>13129</v>
      </c>
      <c r="E547" s="8" t="s">
        <v>530</v>
      </c>
      <c r="F547" s="8" t="s">
        <v>13130</v>
      </c>
    </row>
    <row r="548" customHeight="1" spans="1:6">
      <c r="A548" s="6">
        <v>547</v>
      </c>
      <c r="B548" s="8" t="s">
        <v>13131</v>
      </c>
      <c r="C548" s="8" t="s">
        <v>13132</v>
      </c>
      <c r="D548" s="8" t="s">
        <v>13133</v>
      </c>
      <c r="E548" s="8" t="s">
        <v>530</v>
      </c>
      <c r="F548" s="8" t="s">
        <v>13134</v>
      </c>
    </row>
    <row r="549" customHeight="1" spans="1:6">
      <c r="A549" s="6">
        <v>548</v>
      </c>
      <c r="B549" s="8" t="s">
        <v>13131</v>
      </c>
      <c r="C549" s="8" t="s">
        <v>13132</v>
      </c>
      <c r="D549" s="8" t="s">
        <v>13133</v>
      </c>
      <c r="E549" s="8" t="s">
        <v>530</v>
      </c>
      <c r="F549" s="8" t="s">
        <v>13134</v>
      </c>
    </row>
    <row r="550" customHeight="1" spans="1:6">
      <c r="A550" s="6">
        <v>549</v>
      </c>
      <c r="B550" s="8" t="s">
        <v>13135</v>
      </c>
      <c r="C550" s="8" t="s">
        <v>13136</v>
      </c>
      <c r="D550" s="8" t="s">
        <v>13137</v>
      </c>
      <c r="E550" s="8" t="s">
        <v>6053</v>
      </c>
      <c r="F550" s="8" t="s">
        <v>13138</v>
      </c>
    </row>
    <row r="551" customHeight="1" spans="1:6">
      <c r="A551" s="6">
        <v>550</v>
      </c>
      <c r="B551" s="8" t="s">
        <v>13135</v>
      </c>
      <c r="C551" s="8" t="s">
        <v>13136</v>
      </c>
      <c r="D551" s="8" t="s">
        <v>13137</v>
      </c>
      <c r="E551" s="8" t="s">
        <v>6053</v>
      </c>
      <c r="F551" s="8" t="s">
        <v>13138</v>
      </c>
    </row>
    <row r="552" customHeight="1" spans="1:6">
      <c r="A552" s="6">
        <v>551</v>
      </c>
      <c r="B552" s="8" t="s">
        <v>13139</v>
      </c>
      <c r="C552" s="8" t="s">
        <v>13140</v>
      </c>
      <c r="D552" s="8" t="s">
        <v>13141</v>
      </c>
      <c r="E552" s="8" t="s">
        <v>6053</v>
      </c>
      <c r="F552" s="8" t="s">
        <v>13142</v>
      </c>
    </row>
    <row r="553" customHeight="1" spans="1:6">
      <c r="A553" s="6">
        <v>552</v>
      </c>
      <c r="B553" s="8" t="s">
        <v>13139</v>
      </c>
      <c r="C553" s="8" t="s">
        <v>13140</v>
      </c>
      <c r="D553" s="8" t="s">
        <v>13141</v>
      </c>
      <c r="E553" s="8" t="s">
        <v>6053</v>
      </c>
      <c r="F553" s="8" t="s">
        <v>13142</v>
      </c>
    </row>
    <row r="554" customHeight="1" spans="1:6">
      <c r="A554" s="6">
        <v>553</v>
      </c>
      <c r="B554" s="8" t="s">
        <v>13143</v>
      </c>
      <c r="C554" s="8" t="s">
        <v>13144</v>
      </c>
      <c r="D554" s="8" t="s">
        <v>13145</v>
      </c>
      <c r="E554" s="8" t="s">
        <v>1948</v>
      </c>
      <c r="F554" s="8" t="s">
        <v>13146</v>
      </c>
    </row>
    <row r="555" customHeight="1" spans="1:6">
      <c r="A555" s="6">
        <v>554</v>
      </c>
      <c r="B555" s="8" t="s">
        <v>13143</v>
      </c>
      <c r="C555" s="8" t="s">
        <v>13144</v>
      </c>
      <c r="D555" s="8" t="s">
        <v>13145</v>
      </c>
      <c r="E555" s="8" t="s">
        <v>1948</v>
      </c>
      <c r="F555" s="8" t="s">
        <v>13146</v>
      </c>
    </row>
    <row r="556" customHeight="1" spans="1:6">
      <c r="A556" s="6">
        <v>555</v>
      </c>
      <c r="B556" s="8" t="s">
        <v>13147</v>
      </c>
      <c r="C556" s="8" t="s">
        <v>13148</v>
      </c>
      <c r="D556" s="8" t="s">
        <v>13149</v>
      </c>
      <c r="E556" s="8" t="s">
        <v>1189</v>
      </c>
      <c r="F556" s="8" t="s">
        <v>13150</v>
      </c>
    </row>
    <row r="557" customHeight="1" spans="1:6">
      <c r="A557" s="6">
        <v>556</v>
      </c>
      <c r="B557" s="8" t="s">
        <v>13147</v>
      </c>
      <c r="C557" s="8" t="s">
        <v>13148</v>
      </c>
      <c r="D557" s="8" t="s">
        <v>13149</v>
      </c>
      <c r="E557" s="8" t="s">
        <v>1189</v>
      </c>
      <c r="F557" s="8" t="s">
        <v>13150</v>
      </c>
    </row>
    <row r="558" customHeight="1" spans="1:6">
      <c r="A558" s="6">
        <v>557</v>
      </c>
      <c r="B558" s="8" t="s">
        <v>13151</v>
      </c>
      <c r="C558" s="8" t="s">
        <v>13152</v>
      </c>
      <c r="D558" s="8" t="s">
        <v>13153</v>
      </c>
      <c r="E558" s="8" t="s">
        <v>1189</v>
      </c>
      <c r="F558" s="8" t="s">
        <v>13154</v>
      </c>
    </row>
    <row r="559" customHeight="1" spans="1:6">
      <c r="A559" s="6">
        <v>558</v>
      </c>
      <c r="B559" s="8" t="s">
        <v>13151</v>
      </c>
      <c r="C559" s="8" t="s">
        <v>13152</v>
      </c>
      <c r="D559" s="8" t="s">
        <v>13153</v>
      </c>
      <c r="E559" s="8" t="s">
        <v>1189</v>
      </c>
      <c r="F559" s="8" t="s">
        <v>13154</v>
      </c>
    </row>
    <row r="560" customHeight="1" spans="1:6">
      <c r="A560" s="6">
        <v>559</v>
      </c>
      <c r="B560" s="8" t="s">
        <v>13155</v>
      </c>
      <c r="C560" s="8" t="s">
        <v>13156</v>
      </c>
      <c r="D560" s="8" t="s">
        <v>13157</v>
      </c>
      <c r="E560" s="8" t="s">
        <v>549</v>
      </c>
      <c r="F560" s="8" t="s">
        <v>13158</v>
      </c>
    </row>
    <row r="561" customHeight="1" spans="1:6">
      <c r="A561" s="6">
        <v>560</v>
      </c>
      <c r="B561" s="8" t="s">
        <v>13155</v>
      </c>
      <c r="C561" s="8" t="s">
        <v>13156</v>
      </c>
      <c r="D561" s="8" t="s">
        <v>13157</v>
      </c>
      <c r="E561" s="8" t="s">
        <v>549</v>
      </c>
      <c r="F561" s="8" t="s">
        <v>13158</v>
      </c>
    </row>
    <row r="562" customHeight="1" spans="1:6">
      <c r="A562" s="6">
        <v>561</v>
      </c>
      <c r="B562" s="8" t="s">
        <v>13159</v>
      </c>
      <c r="C562" s="8" t="s">
        <v>13160</v>
      </c>
      <c r="D562" s="8" t="s">
        <v>13161</v>
      </c>
      <c r="E562" s="8" t="s">
        <v>375</v>
      </c>
      <c r="F562" s="8" t="s">
        <v>13162</v>
      </c>
    </row>
    <row r="563" customHeight="1" spans="1:6">
      <c r="A563" s="6">
        <v>562</v>
      </c>
      <c r="B563" s="8" t="s">
        <v>13159</v>
      </c>
      <c r="C563" s="8" t="s">
        <v>13160</v>
      </c>
      <c r="D563" s="8" t="s">
        <v>13161</v>
      </c>
      <c r="E563" s="8" t="s">
        <v>375</v>
      </c>
      <c r="F563" s="8" t="s">
        <v>13162</v>
      </c>
    </row>
    <row r="564" customHeight="1" spans="1:6">
      <c r="A564" s="6">
        <v>563</v>
      </c>
      <c r="B564" s="8" t="s">
        <v>13163</v>
      </c>
      <c r="C564" s="8" t="s">
        <v>13164</v>
      </c>
      <c r="D564" s="8" t="s">
        <v>13165</v>
      </c>
      <c r="E564" s="8" t="s">
        <v>2207</v>
      </c>
      <c r="F564" s="8" t="s">
        <v>13166</v>
      </c>
    </row>
    <row r="565" customHeight="1" spans="1:6">
      <c r="A565" s="6">
        <v>564</v>
      </c>
      <c r="B565" s="8" t="s">
        <v>13163</v>
      </c>
      <c r="C565" s="8" t="s">
        <v>13164</v>
      </c>
      <c r="D565" s="8" t="s">
        <v>13165</v>
      </c>
      <c r="E565" s="8" t="s">
        <v>2207</v>
      </c>
      <c r="F565" s="8" t="s">
        <v>13166</v>
      </c>
    </row>
    <row r="566" customHeight="1" spans="1:6">
      <c r="A566" s="6">
        <v>565</v>
      </c>
      <c r="B566" s="8" t="s">
        <v>13167</v>
      </c>
      <c r="C566" s="8" t="s">
        <v>13168</v>
      </c>
      <c r="D566" s="8" t="s">
        <v>13169</v>
      </c>
      <c r="E566" s="8" t="s">
        <v>13072</v>
      </c>
      <c r="F566" s="8" t="s">
        <v>13170</v>
      </c>
    </row>
    <row r="567" customHeight="1" spans="1:6">
      <c r="A567" s="6">
        <v>566</v>
      </c>
      <c r="B567" s="8" t="s">
        <v>13167</v>
      </c>
      <c r="C567" s="8" t="s">
        <v>13168</v>
      </c>
      <c r="D567" s="8" t="s">
        <v>13169</v>
      </c>
      <c r="E567" s="8" t="s">
        <v>13072</v>
      </c>
      <c r="F567" s="8" t="s">
        <v>13170</v>
      </c>
    </row>
    <row r="568" customHeight="1" spans="1:6">
      <c r="A568" s="6">
        <v>567</v>
      </c>
      <c r="B568" s="8" t="s">
        <v>13171</v>
      </c>
      <c r="C568" s="8" t="s">
        <v>13172</v>
      </c>
      <c r="D568" s="8" t="s">
        <v>13173</v>
      </c>
      <c r="E568" s="8" t="s">
        <v>13072</v>
      </c>
      <c r="F568" s="8" t="s">
        <v>13174</v>
      </c>
    </row>
    <row r="569" customHeight="1" spans="1:6">
      <c r="A569" s="6">
        <v>568</v>
      </c>
      <c r="B569" s="8" t="s">
        <v>13171</v>
      </c>
      <c r="C569" s="8" t="s">
        <v>13172</v>
      </c>
      <c r="D569" s="8" t="s">
        <v>13173</v>
      </c>
      <c r="E569" s="8" t="s">
        <v>13072</v>
      </c>
      <c r="F569" s="8" t="s">
        <v>13174</v>
      </c>
    </row>
    <row r="570" customHeight="1" spans="1:6">
      <c r="A570" s="6">
        <v>569</v>
      </c>
      <c r="B570" s="8" t="s">
        <v>13175</v>
      </c>
      <c r="C570" s="8" t="s">
        <v>13176</v>
      </c>
      <c r="D570" s="8" t="s">
        <v>13177</v>
      </c>
      <c r="E570" s="8" t="s">
        <v>216</v>
      </c>
      <c r="F570" s="8" t="s">
        <v>13178</v>
      </c>
    </row>
    <row r="571" customHeight="1" spans="1:6">
      <c r="A571" s="6">
        <v>570</v>
      </c>
      <c r="B571" s="8" t="s">
        <v>13175</v>
      </c>
      <c r="C571" s="8" t="s">
        <v>13176</v>
      </c>
      <c r="D571" s="8" t="s">
        <v>13177</v>
      </c>
      <c r="E571" s="8" t="s">
        <v>216</v>
      </c>
      <c r="F571" s="8" t="s">
        <v>13178</v>
      </c>
    </row>
    <row r="572" customHeight="1" spans="1:6">
      <c r="A572" s="6">
        <v>571</v>
      </c>
      <c r="B572" s="7" t="str">
        <f>"978-7-111-68715-3"</f>
        <v>978-7-111-68715-3</v>
      </c>
      <c r="C572" s="7" t="str">
        <f>"算法漫步：乐在其中的计算思维"</f>
        <v>算法漫步：乐在其中的计算思维</v>
      </c>
      <c r="D572" s="7" t="str">
        <f>"陈道蓄， 李晓明编著"</f>
        <v>陈道蓄， 李晓明编著</v>
      </c>
      <c r="E572" s="7" t="str">
        <f>"机械工业出版社"</f>
        <v>机械工业出版社</v>
      </c>
      <c r="F572" s="7" t="str">
        <f>"TP301.6/122"</f>
        <v>TP301.6/122</v>
      </c>
    </row>
    <row r="573" customHeight="1" spans="1:6">
      <c r="A573" s="6">
        <v>572</v>
      </c>
      <c r="B573" s="7" t="str">
        <f>"978-7-111-68715-3"</f>
        <v>978-7-111-68715-3</v>
      </c>
      <c r="C573" s="7" t="str">
        <f>"算法漫步：乐在其中的计算思维"</f>
        <v>算法漫步：乐在其中的计算思维</v>
      </c>
      <c r="D573" s="7" t="str">
        <f>"陈道蓄， 李晓明编著"</f>
        <v>陈道蓄， 李晓明编著</v>
      </c>
      <c r="E573" s="7" t="str">
        <f>"机械工业出版社"</f>
        <v>机械工业出版社</v>
      </c>
      <c r="F573" s="7" t="str">
        <f>"TP301.6/122"</f>
        <v>TP301.6/122</v>
      </c>
    </row>
    <row r="574" customHeight="1" spans="1:6">
      <c r="A574" s="6">
        <v>573</v>
      </c>
      <c r="B574" s="8" t="s">
        <v>13179</v>
      </c>
      <c r="C574" s="8" t="s">
        <v>13180</v>
      </c>
      <c r="D574" s="8" t="s">
        <v>13181</v>
      </c>
      <c r="E574" s="8" t="s">
        <v>1734</v>
      </c>
      <c r="F574" s="8" t="s">
        <v>13182</v>
      </c>
    </row>
    <row r="575" customHeight="1" spans="1:6">
      <c r="A575" s="6">
        <v>574</v>
      </c>
      <c r="B575" s="8" t="s">
        <v>13179</v>
      </c>
      <c r="C575" s="8" t="s">
        <v>13180</v>
      </c>
      <c r="D575" s="8" t="s">
        <v>13181</v>
      </c>
      <c r="E575" s="8" t="s">
        <v>1734</v>
      </c>
      <c r="F575" s="8" t="s">
        <v>13182</v>
      </c>
    </row>
    <row r="576" customHeight="1" spans="1:6">
      <c r="A576" s="6">
        <v>575</v>
      </c>
      <c r="B576" s="8" t="s">
        <v>13183</v>
      </c>
      <c r="C576" s="8" t="s">
        <v>13184</v>
      </c>
      <c r="D576" s="8" t="s">
        <v>13185</v>
      </c>
      <c r="E576" s="8" t="s">
        <v>216</v>
      </c>
      <c r="F576" s="8" t="s">
        <v>13186</v>
      </c>
    </row>
    <row r="577" customHeight="1" spans="1:6">
      <c r="A577" s="6">
        <v>576</v>
      </c>
      <c r="B577" s="8" t="s">
        <v>13183</v>
      </c>
      <c r="C577" s="8" t="s">
        <v>13184</v>
      </c>
      <c r="D577" s="8" t="s">
        <v>13185</v>
      </c>
      <c r="E577" s="8" t="s">
        <v>216</v>
      </c>
      <c r="F577" s="8" t="s">
        <v>13186</v>
      </c>
    </row>
    <row r="578" customHeight="1" spans="1:6">
      <c r="A578" s="6">
        <v>577</v>
      </c>
      <c r="B578" s="8" t="s">
        <v>13187</v>
      </c>
      <c r="C578" s="8" t="s">
        <v>13188</v>
      </c>
      <c r="D578" s="8" t="s">
        <v>13189</v>
      </c>
      <c r="E578" s="8" t="s">
        <v>2068</v>
      </c>
      <c r="F578" s="8" t="s">
        <v>13190</v>
      </c>
    </row>
    <row r="579" customHeight="1" spans="1:6">
      <c r="A579" s="6">
        <v>578</v>
      </c>
      <c r="B579" s="8" t="s">
        <v>13187</v>
      </c>
      <c r="C579" s="8" t="s">
        <v>13188</v>
      </c>
      <c r="D579" s="8" t="s">
        <v>13189</v>
      </c>
      <c r="E579" s="8" t="s">
        <v>2068</v>
      </c>
      <c r="F579" s="8" t="s">
        <v>13190</v>
      </c>
    </row>
    <row r="580" customHeight="1" spans="1:6">
      <c r="A580" s="6">
        <v>579</v>
      </c>
      <c r="B580" s="8" t="s">
        <v>13191</v>
      </c>
      <c r="C580" s="8" t="s">
        <v>13192</v>
      </c>
      <c r="D580" s="8" t="s">
        <v>13193</v>
      </c>
      <c r="E580" s="8" t="s">
        <v>5152</v>
      </c>
      <c r="F580" s="8" t="s">
        <v>13194</v>
      </c>
    </row>
    <row r="581" customHeight="1" spans="1:6">
      <c r="A581" s="6">
        <v>580</v>
      </c>
      <c r="B581" s="8" t="s">
        <v>13191</v>
      </c>
      <c r="C581" s="8" t="s">
        <v>13192</v>
      </c>
      <c r="D581" s="8" t="s">
        <v>13193</v>
      </c>
      <c r="E581" s="8" t="s">
        <v>5152</v>
      </c>
      <c r="F581" s="8" t="s">
        <v>13194</v>
      </c>
    </row>
    <row r="582" customHeight="1" spans="1:6">
      <c r="A582" s="6">
        <v>581</v>
      </c>
      <c r="B582" s="8" t="s">
        <v>13195</v>
      </c>
      <c r="C582" s="8" t="s">
        <v>13196</v>
      </c>
      <c r="D582" s="8" t="s">
        <v>13197</v>
      </c>
      <c r="E582" s="8" t="s">
        <v>216</v>
      </c>
      <c r="F582" s="8" t="s">
        <v>13198</v>
      </c>
    </row>
    <row r="583" customHeight="1" spans="1:6">
      <c r="A583" s="6">
        <v>582</v>
      </c>
      <c r="B583" s="8" t="s">
        <v>13195</v>
      </c>
      <c r="C583" s="8" t="s">
        <v>13196</v>
      </c>
      <c r="D583" s="8" t="s">
        <v>13197</v>
      </c>
      <c r="E583" s="8" t="s">
        <v>216</v>
      </c>
      <c r="F583" s="8" t="s">
        <v>13198</v>
      </c>
    </row>
    <row r="584" customHeight="1" spans="1:6">
      <c r="A584" s="6">
        <v>583</v>
      </c>
      <c r="B584" s="8" t="s">
        <v>13199</v>
      </c>
      <c r="C584" s="8" t="s">
        <v>13200</v>
      </c>
      <c r="D584" s="8" t="s">
        <v>13201</v>
      </c>
      <c r="E584" s="8" t="s">
        <v>1734</v>
      </c>
      <c r="F584" s="8" t="s">
        <v>13202</v>
      </c>
    </row>
    <row r="585" customHeight="1" spans="1:6">
      <c r="A585" s="6">
        <v>584</v>
      </c>
      <c r="B585" s="8" t="s">
        <v>13199</v>
      </c>
      <c r="C585" s="8" t="s">
        <v>13200</v>
      </c>
      <c r="D585" s="8" t="s">
        <v>13201</v>
      </c>
      <c r="E585" s="8" t="s">
        <v>1734</v>
      </c>
      <c r="F585" s="8" t="s">
        <v>13202</v>
      </c>
    </row>
    <row r="586" customHeight="1" spans="1:6">
      <c r="A586" s="6">
        <v>585</v>
      </c>
      <c r="B586" s="8" t="s">
        <v>13203</v>
      </c>
      <c r="C586" s="8" t="s">
        <v>13204</v>
      </c>
      <c r="D586" s="8" t="s">
        <v>13205</v>
      </c>
      <c r="E586" s="8" t="s">
        <v>6669</v>
      </c>
      <c r="F586" s="8" t="s">
        <v>13206</v>
      </c>
    </row>
    <row r="587" customHeight="1" spans="1:6">
      <c r="A587" s="6">
        <v>586</v>
      </c>
      <c r="B587" s="8" t="s">
        <v>13203</v>
      </c>
      <c r="C587" s="8" t="s">
        <v>13204</v>
      </c>
      <c r="D587" s="8" t="s">
        <v>13205</v>
      </c>
      <c r="E587" s="8" t="s">
        <v>6669</v>
      </c>
      <c r="F587" s="8" t="s">
        <v>13206</v>
      </c>
    </row>
    <row r="588" customHeight="1" spans="1:6">
      <c r="A588" s="6">
        <v>587</v>
      </c>
      <c r="B588" s="8" t="s">
        <v>13207</v>
      </c>
      <c r="C588" s="8" t="s">
        <v>13208</v>
      </c>
      <c r="D588" s="8" t="s">
        <v>13209</v>
      </c>
      <c r="E588" s="8" t="s">
        <v>7676</v>
      </c>
      <c r="F588" s="8" t="s">
        <v>13210</v>
      </c>
    </row>
    <row r="589" customHeight="1" spans="1:6">
      <c r="A589" s="6">
        <v>588</v>
      </c>
      <c r="B589" s="8" t="s">
        <v>13207</v>
      </c>
      <c r="C589" s="8" t="s">
        <v>13208</v>
      </c>
      <c r="D589" s="8" t="s">
        <v>13209</v>
      </c>
      <c r="E589" s="8" t="s">
        <v>7676</v>
      </c>
      <c r="F589" s="8" t="s">
        <v>13210</v>
      </c>
    </row>
    <row r="590" customHeight="1" spans="1:6">
      <c r="A590" s="6">
        <v>589</v>
      </c>
      <c r="B590" s="7" t="str">
        <f>"978-7-111-68686-6"</f>
        <v>978-7-111-68686-6</v>
      </c>
      <c r="C590" s="7" t="str">
        <f>"机器视觉与应用"</f>
        <v>机器视觉与应用</v>
      </c>
      <c r="D590" s="7" t="str">
        <f>"曹其新， 庄春刚等编著"</f>
        <v>曹其新， 庄春刚等编著</v>
      </c>
      <c r="E590" s="7" t="str">
        <f>"机械工业出版社"</f>
        <v>机械工业出版社</v>
      </c>
      <c r="F590" s="7" t="str">
        <f>"TP302.7/26"</f>
        <v>TP302.7/26</v>
      </c>
    </row>
    <row r="591" customHeight="1" spans="1:6">
      <c r="A591" s="6">
        <v>590</v>
      </c>
      <c r="B591" s="7" t="str">
        <f>"978-7-111-68686-6"</f>
        <v>978-7-111-68686-6</v>
      </c>
      <c r="C591" s="7" t="str">
        <f>"机器视觉与应用"</f>
        <v>机器视觉与应用</v>
      </c>
      <c r="D591" s="7" t="str">
        <f>"曹其新， 庄春刚等编著"</f>
        <v>曹其新， 庄春刚等编著</v>
      </c>
      <c r="E591" s="7" t="str">
        <f>"机械工业出版社"</f>
        <v>机械工业出版社</v>
      </c>
      <c r="F591" s="7" t="str">
        <f>"TP302.7/26"</f>
        <v>TP302.7/26</v>
      </c>
    </row>
    <row r="592" customHeight="1" spans="1:6">
      <c r="A592" s="6">
        <v>591</v>
      </c>
      <c r="B592" s="7" t="str">
        <f>"978-7-121-41950-8"</f>
        <v>978-7-121-41950-8</v>
      </c>
      <c r="C592" s="7" t="str">
        <f>"3D计算机视觉：原理、算法及应用"</f>
        <v>3D计算机视觉：原理、算法及应用</v>
      </c>
      <c r="D592" s="7" t="str">
        <f t="shared" ref="D592:D595" si="26">"章毓晋编著"</f>
        <v>章毓晋编著</v>
      </c>
      <c r="E592" s="7" t="str">
        <f t="shared" ref="E592:E595" si="27">"电子工业出版社"</f>
        <v>电子工业出版社</v>
      </c>
      <c r="F592" s="7" t="str">
        <f>"TP302.7/27"</f>
        <v>TP302.7/27</v>
      </c>
    </row>
    <row r="593" customHeight="1" spans="1:6">
      <c r="A593" s="6">
        <v>592</v>
      </c>
      <c r="B593" s="7" t="str">
        <f>"978-7-121-41950-8"</f>
        <v>978-7-121-41950-8</v>
      </c>
      <c r="C593" s="7" t="str">
        <f>"3D计算机视觉：原理、算法及应用"</f>
        <v>3D计算机视觉：原理、算法及应用</v>
      </c>
      <c r="D593" s="7" t="str">
        <f t="shared" si="26"/>
        <v>章毓晋编著</v>
      </c>
      <c r="E593" s="7" t="str">
        <f t="shared" si="27"/>
        <v>电子工业出版社</v>
      </c>
      <c r="F593" s="7" t="str">
        <f>"TP302.7/27"</f>
        <v>TP302.7/27</v>
      </c>
    </row>
    <row r="594" customHeight="1" spans="1:6">
      <c r="A594" s="6">
        <v>593</v>
      </c>
      <c r="B594" s="7" t="str">
        <f>"978-7-121-41868-6"</f>
        <v>978-7-121-41868-6</v>
      </c>
      <c r="C594" s="7" t="str">
        <f>"2D计算机视觉：原理、算法及应用"</f>
        <v>2D计算机视觉：原理、算法及应用</v>
      </c>
      <c r="D594" s="7" t="str">
        <f t="shared" si="26"/>
        <v>章毓晋编著</v>
      </c>
      <c r="E594" s="7" t="str">
        <f t="shared" si="27"/>
        <v>电子工业出版社</v>
      </c>
      <c r="F594" s="7" t="str">
        <f>"TP302.7/28"</f>
        <v>TP302.7/28</v>
      </c>
    </row>
    <row r="595" customHeight="1" spans="1:6">
      <c r="A595" s="6">
        <v>594</v>
      </c>
      <c r="B595" s="7" t="str">
        <f>"978-7-121-41868-6"</f>
        <v>978-7-121-41868-6</v>
      </c>
      <c r="C595" s="7" t="str">
        <f>"2D计算机视觉：原理、算法及应用"</f>
        <v>2D计算机视觉：原理、算法及应用</v>
      </c>
      <c r="D595" s="7" t="str">
        <f t="shared" si="26"/>
        <v>章毓晋编著</v>
      </c>
      <c r="E595" s="7" t="str">
        <f t="shared" si="27"/>
        <v>电子工业出版社</v>
      </c>
      <c r="F595" s="7" t="str">
        <f>"TP302.7/28"</f>
        <v>TP302.7/28</v>
      </c>
    </row>
    <row r="596" customHeight="1" spans="1:6">
      <c r="A596" s="6">
        <v>595</v>
      </c>
      <c r="B596" s="8" t="s">
        <v>13211</v>
      </c>
      <c r="C596" s="8" t="s">
        <v>13212</v>
      </c>
      <c r="D596" s="8" t="s">
        <v>13213</v>
      </c>
      <c r="E596" s="8" t="s">
        <v>3146</v>
      </c>
      <c r="F596" s="8" t="s">
        <v>13214</v>
      </c>
    </row>
    <row r="597" customHeight="1" spans="1:6">
      <c r="A597" s="6">
        <v>596</v>
      </c>
      <c r="B597" s="8" t="s">
        <v>13211</v>
      </c>
      <c r="C597" s="8" t="s">
        <v>13212</v>
      </c>
      <c r="D597" s="8" t="s">
        <v>13213</v>
      </c>
      <c r="E597" s="8" t="s">
        <v>3146</v>
      </c>
      <c r="F597" s="8" t="s">
        <v>13214</v>
      </c>
    </row>
    <row r="598" customHeight="1" spans="1:6">
      <c r="A598" s="6">
        <v>597</v>
      </c>
      <c r="B598" s="8" t="s">
        <v>13215</v>
      </c>
      <c r="C598" s="8" t="s">
        <v>13216</v>
      </c>
      <c r="D598" s="8" t="s">
        <v>13217</v>
      </c>
      <c r="E598" s="8" t="s">
        <v>2566</v>
      </c>
      <c r="F598" s="8" t="s">
        <v>13218</v>
      </c>
    </row>
    <row r="599" customHeight="1" spans="1:6">
      <c r="A599" s="6">
        <v>598</v>
      </c>
      <c r="B599" s="8" t="s">
        <v>13215</v>
      </c>
      <c r="C599" s="8" t="s">
        <v>13216</v>
      </c>
      <c r="D599" s="8" t="s">
        <v>13217</v>
      </c>
      <c r="E599" s="8" t="s">
        <v>2566</v>
      </c>
      <c r="F599" s="8" t="s">
        <v>13218</v>
      </c>
    </row>
    <row r="600" customHeight="1" spans="1:6">
      <c r="A600" s="6">
        <v>599</v>
      </c>
      <c r="B600" s="8" t="s">
        <v>13219</v>
      </c>
      <c r="C600" s="8" t="s">
        <v>13220</v>
      </c>
      <c r="D600" s="8" t="s">
        <v>13221</v>
      </c>
      <c r="E600" s="8" t="s">
        <v>256</v>
      </c>
      <c r="F600" s="8" t="s">
        <v>13222</v>
      </c>
    </row>
    <row r="601" customHeight="1" spans="1:6">
      <c r="A601" s="6">
        <v>600</v>
      </c>
      <c r="B601" s="8" t="s">
        <v>13223</v>
      </c>
      <c r="C601" s="8" t="s">
        <v>13224</v>
      </c>
      <c r="D601" s="8" t="s">
        <v>13225</v>
      </c>
      <c r="E601" s="8" t="s">
        <v>288</v>
      </c>
      <c r="F601" s="8" t="s">
        <v>13226</v>
      </c>
    </row>
    <row r="602" customHeight="1" spans="1:6">
      <c r="A602" s="6">
        <v>601</v>
      </c>
      <c r="B602" s="8" t="s">
        <v>13223</v>
      </c>
      <c r="C602" s="8" t="s">
        <v>13224</v>
      </c>
      <c r="D602" s="8" t="s">
        <v>13225</v>
      </c>
      <c r="E602" s="8" t="s">
        <v>288</v>
      </c>
      <c r="F602" s="8" t="s">
        <v>13226</v>
      </c>
    </row>
    <row r="603" customHeight="1" spans="1:6">
      <c r="A603" s="6">
        <v>602</v>
      </c>
      <c r="B603" s="8" t="s">
        <v>13227</v>
      </c>
      <c r="C603" s="8" t="s">
        <v>13228</v>
      </c>
      <c r="D603" s="8" t="s">
        <v>13229</v>
      </c>
      <c r="E603" s="8" t="s">
        <v>1734</v>
      </c>
      <c r="F603" s="8" t="s">
        <v>13230</v>
      </c>
    </row>
    <row r="604" customHeight="1" spans="1:6">
      <c r="A604" s="6">
        <v>603</v>
      </c>
      <c r="B604" s="8" t="s">
        <v>13227</v>
      </c>
      <c r="C604" s="8" t="s">
        <v>13228</v>
      </c>
      <c r="D604" s="8" t="s">
        <v>13229</v>
      </c>
      <c r="E604" s="8" t="s">
        <v>1734</v>
      </c>
      <c r="F604" s="8" t="s">
        <v>13230</v>
      </c>
    </row>
    <row r="605" customHeight="1" spans="1:6">
      <c r="A605" s="6">
        <v>604</v>
      </c>
      <c r="B605" s="8" t="s">
        <v>13231</v>
      </c>
      <c r="C605" s="8" t="s">
        <v>13232</v>
      </c>
      <c r="D605" s="8" t="s">
        <v>13233</v>
      </c>
      <c r="E605" s="8" t="s">
        <v>4855</v>
      </c>
      <c r="F605" s="8" t="s">
        <v>13234</v>
      </c>
    </row>
    <row r="606" customHeight="1" spans="1:6">
      <c r="A606" s="6">
        <v>605</v>
      </c>
      <c r="B606" s="8" t="s">
        <v>13231</v>
      </c>
      <c r="C606" s="8" t="s">
        <v>13232</v>
      </c>
      <c r="D606" s="8" t="s">
        <v>13233</v>
      </c>
      <c r="E606" s="8" t="s">
        <v>4855</v>
      </c>
      <c r="F606" s="8" t="s">
        <v>13234</v>
      </c>
    </row>
    <row r="607" customHeight="1" spans="1:6">
      <c r="A607" s="6">
        <v>606</v>
      </c>
      <c r="B607" s="8" t="s">
        <v>13235</v>
      </c>
      <c r="C607" s="8" t="s">
        <v>13236</v>
      </c>
      <c r="D607" s="8" t="s">
        <v>13237</v>
      </c>
      <c r="E607" s="8" t="s">
        <v>216</v>
      </c>
      <c r="F607" s="8" t="s">
        <v>13238</v>
      </c>
    </row>
    <row r="608" customHeight="1" spans="1:6">
      <c r="A608" s="6">
        <v>607</v>
      </c>
      <c r="B608" s="8" t="s">
        <v>13235</v>
      </c>
      <c r="C608" s="8" t="s">
        <v>13236</v>
      </c>
      <c r="D608" s="8" t="s">
        <v>13237</v>
      </c>
      <c r="E608" s="8" t="s">
        <v>216</v>
      </c>
      <c r="F608" s="8" t="s">
        <v>13238</v>
      </c>
    </row>
    <row r="609" customHeight="1" spans="1:6">
      <c r="A609" s="6">
        <v>608</v>
      </c>
      <c r="B609" s="7" t="str">
        <f>"978-7-302-50696-6"</f>
        <v>978-7-302-50696-6</v>
      </c>
      <c r="C609" s="7" t="str">
        <f>"程序员考试同步辅导：考点串讲、真题详解与强化训练"</f>
        <v>程序员考试同步辅导：考点串讲、真题详解与强化训练</v>
      </c>
      <c r="D609" s="7" t="str">
        <f>"初耀军， 袁琴主编"</f>
        <v>初耀军， 袁琴主编</v>
      </c>
      <c r="E609" s="7" t="str">
        <f>"清华大学出版社"</f>
        <v>清华大学出版社</v>
      </c>
      <c r="F609" s="7" t="str">
        <f>"TP311.1/271=3D"</f>
        <v>TP311.1/271=3D</v>
      </c>
    </row>
    <row r="610" customHeight="1" spans="1:6">
      <c r="A610" s="6">
        <v>609</v>
      </c>
      <c r="B610" s="7" t="str">
        <f>"978-7-302-50696-6"</f>
        <v>978-7-302-50696-6</v>
      </c>
      <c r="C610" s="7" t="str">
        <f>"程序员考试同步辅导：考点串讲、真题详解与强化训练"</f>
        <v>程序员考试同步辅导：考点串讲、真题详解与强化训练</v>
      </c>
      <c r="D610" s="7" t="str">
        <f>"初耀军， 袁琴主编"</f>
        <v>初耀军， 袁琴主编</v>
      </c>
      <c r="E610" s="7" t="str">
        <f>"清华大学出版社"</f>
        <v>清华大学出版社</v>
      </c>
      <c r="F610" s="7" t="str">
        <f>"TP311.1/271=3D"</f>
        <v>TP311.1/271=3D</v>
      </c>
    </row>
    <row r="611" customHeight="1" spans="1:6">
      <c r="A611" s="6">
        <v>610</v>
      </c>
      <c r="B611" s="7" t="str">
        <f>"978-7-115-36410-4"</f>
        <v>978-7-115-36410-4</v>
      </c>
      <c r="C611" s="7" t="str">
        <f>"认知与设计：理解UI设计准则：simple guide to understanding user interface design guidelines"</f>
        <v>认知与设计：理解UI设计准则：simple guide to understanding user interface design guidelines</v>
      </c>
      <c r="D611" s="7" t="str">
        <f>"(美) Jeff Johnson著；张一宁， 王军锋译"</f>
        <v>(美) Jeff Johnson著；张一宁， 王军锋译</v>
      </c>
      <c r="E611" s="7" t="str">
        <f>"人民邮电出版社"</f>
        <v>人民邮电出版社</v>
      </c>
      <c r="F611" s="7" t="str">
        <f>"TP311.1/272=2D"</f>
        <v>TP311.1/272=2D</v>
      </c>
    </row>
    <row r="612" customHeight="1" spans="1:6">
      <c r="A612" s="6">
        <v>611</v>
      </c>
      <c r="B612" s="7" t="str">
        <f>"978-7-115-36410-4"</f>
        <v>978-7-115-36410-4</v>
      </c>
      <c r="C612" s="7" t="str">
        <f>"认知与设计：理解UI设计准则：simple guide to understanding user interface design guidelines"</f>
        <v>认知与设计：理解UI设计准则：simple guide to understanding user interface design guidelines</v>
      </c>
      <c r="D612" s="7" t="str">
        <f>"(美) Jeff Johnson著；张一宁， 王军锋译"</f>
        <v>(美) Jeff Johnson著；张一宁， 王军锋译</v>
      </c>
      <c r="E612" s="7" t="str">
        <f>"人民邮电出版社"</f>
        <v>人民邮电出版社</v>
      </c>
      <c r="F612" s="7" t="str">
        <f>"TP311.1/272=2D"</f>
        <v>TP311.1/272=2D</v>
      </c>
    </row>
    <row r="613" customHeight="1" spans="1:6">
      <c r="A613" s="6">
        <v>612</v>
      </c>
      <c r="B613" s="8" t="s">
        <v>13239</v>
      </c>
      <c r="C613" s="8" t="s">
        <v>13240</v>
      </c>
      <c r="D613" s="8" t="s">
        <v>13241</v>
      </c>
      <c r="E613" s="8" t="s">
        <v>8825</v>
      </c>
      <c r="F613" s="8" t="s">
        <v>13242</v>
      </c>
    </row>
    <row r="614" customHeight="1" spans="1:6">
      <c r="A614" s="6">
        <v>613</v>
      </c>
      <c r="B614" s="8" t="s">
        <v>13239</v>
      </c>
      <c r="C614" s="8" t="s">
        <v>13240</v>
      </c>
      <c r="D614" s="8" t="s">
        <v>13241</v>
      </c>
      <c r="E614" s="8" t="s">
        <v>8825</v>
      </c>
      <c r="F614" s="8" t="s">
        <v>13242</v>
      </c>
    </row>
    <row r="615" customHeight="1" spans="1:6">
      <c r="A615" s="6">
        <v>614</v>
      </c>
      <c r="B615" s="8" t="s">
        <v>13243</v>
      </c>
      <c r="C615" s="8" t="s">
        <v>13244</v>
      </c>
      <c r="D615" s="8" t="s">
        <v>13245</v>
      </c>
      <c r="E615" s="8" t="s">
        <v>1818</v>
      </c>
      <c r="F615" s="8" t="s">
        <v>13246</v>
      </c>
    </row>
    <row r="616" customHeight="1" spans="1:6">
      <c r="A616" s="6">
        <v>615</v>
      </c>
      <c r="B616" s="8" t="s">
        <v>13243</v>
      </c>
      <c r="C616" s="8" t="s">
        <v>13244</v>
      </c>
      <c r="D616" s="8" t="s">
        <v>13245</v>
      </c>
      <c r="E616" s="8" t="s">
        <v>1818</v>
      </c>
      <c r="F616" s="8" t="s">
        <v>13246</v>
      </c>
    </row>
    <row r="617" customHeight="1" spans="1:6">
      <c r="A617" s="6">
        <v>616</v>
      </c>
      <c r="B617" s="8" t="s">
        <v>13247</v>
      </c>
      <c r="C617" s="8" t="s">
        <v>13248</v>
      </c>
      <c r="D617" s="8" t="s">
        <v>13249</v>
      </c>
      <c r="E617" s="8" t="s">
        <v>1189</v>
      </c>
      <c r="F617" s="8" t="s">
        <v>13250</v>
      </c>
    </row>
    <row r="618" customHeight="1" spans="1:6">
      <c r="A618" s="6">
        <v>617</v>
      </c>
      <c r="B618" s="8" t="s">
        <v>13247</v>
      </c>
      <c r="C618" s="8" t="s">
        <v>13248</v>
      </c>
      <c r="D618" s="8" t="s">
        <v>13249</v>
      </c>
      <c r="E618" s="8" t="s">
        <v>1189</v>
      </c>
      <c r="F618" s="8" t="s">
        <v>13250</v>
      </c>
    </row>
    <row r="619" customHeight="1" spans="1:6">
      <c r="A619" s="6">
        <v>618</v>
      </c>
      <c r="B619" s="8" t="s">
        <v>13251</v>
      </c>
      <c r="C619" s="8" t="s">
        <v>13252</v>
      </c>
      <c r="D619" s="8" t="s">
        <v>13253</v>
      </c>
      <c r="E619" s="8" t="s">
        <v>744</v>
      </c>
      <c r="F619" s="8" t="s">
        <v>13254</v>
      </c>
    </row>
    <row r="620" customHeight="1" spans="1:6">
      <c r="A620" s="6">
        <v>619</v>
      </c>
      <c r="B620" s="8" t="s">
        <v>13251</v>
      </c>
      <c r="C620" s="8" t="s">
        <v>13252</v>
      </c>
      <c r="D620" s="8" t="s">
        <v>13253</v>
      </c>
      <c r="E620" s="8" t="s">
        <v>744</v>
      </c>
      <c r="F620" s="8" t="s">
        <v>13254</v>
      </c>
    </row>
    <row r="621" customHeight="1" spans="1:6">
      <c r="A621" s="6">
        <v>620</v>
      </c>
      <c r="B621" s="8" t="s">
        <v>13255</v>
      </c>
      <c r="C621" s="8" t="s">
        <v>13256</v>
      </c>
      <c r="D621" s="8" t="s">
        <v>13257</v>
      </c>
      <c r="E621" s="8" t="s">
        <v>256</v>
      </c>
      <c r="F621" s="8" t="s">
        <v>13258</v>
      </c>
    </row>
    <row r="622" customHeight="1" spans="1:6">
      <c r="A622" s="6">
        <v>621</v>
      </c>
      <c r="B622" s="8" t="s">
        <v>13255</v>
      </c>
      <c r="C622" s="8" t="s">
        <v>13256</v>
      </c>
      <c r="D622" s="8" t="s">
        <v>13257</v>
      </c>
      <c r="E622" s="8" t="s">
        <v>256</v>
      </c>
      <c r="F622" s="8" t="s">
        <v>13258</v>
      </c>
    </row>
    <row r="623" customHeight="1" spans="1:6">
      <c r="A623" s="6">
        <v>622</v>
      </c>
      <c r="B623" s="7" t="str">
        <f>"978-7-04-051550-3"</f>
        <v>978-7-04-051550-3</v>
      </c>
      <c r="C623" s="7" t="str">
        <f>"数据结构学习与实验指导"</f>
        <v>数据结构学习与实验指导</v>
      </c>
      <c r="D623" s="7" t="str">
        <f>"主编陈越；编著何钦铭 ... [等]"</f>
        <v>主编陈越；编著何钦铭 ... [等]</v>
      </c>
      <c r="E623" s="7" t="str">
        <f>"高等教育出版社"</f>
        <v>高等教育出版社</v>
      </c>
      <c r="F623" s="7" t="str">
        <f>"TP311.12/154=2D"</f>
        <v>TP311.12/154=2D</v>
      </c>
    </row>
    <row r="624" customHeight="1" spans="1:6">
      <c r="A624" s="6">
        <v>623</v>
      </c>
      <c r="B624" s="7" t="str">
        <f>"978-7-04-051550-3"</f>
        <v>978-7-04-051550-3</v>
      </c>
      <c r="C624" s="7" t="str">
        <f>"数据结构学习与实验指导"</f>
        <v>数据结构学习与实验指导</v>
      </c>
      <c r="D624" s="7" t="str">
        <f>"主编陈越；编著何钦铭 ... [等]"</f>
        <v>主编陈越；编著何钦铭 ... [等]</v>
      </c>
      <c r="E624" s="7" t="str">
        <f>"高等教育出版社"</f>
        <v>高等教育出版社</v>
      </c>
      <c r="F624" s="7" t="str">
        <f>"TP311.12/154=2D"</f>
        <v>TP311.12/154=2D</v>
      </c>
    </row>
    <row r="625" customHeight="1" spans="1:6">
      <c r="A625" s="6">
        <v>624</v>
      </c>
      <c r="B625" s="7" t="str">
        <f>"978-7-302-44734-4"</f>
        <v>978-7-302-44734-4</v>
      </c>
      <c r="C625" s="7" t="str">
        <f>"数据结构实验指导与习题解析"</f>
        <v>数据结构实验指导与习题解析</v>
      </c>
      <c r="D625" s="7" t="str">
        <f>"李宗璞 ... [等] 编著"</f>
        <v>李宗璞 ... [等] 编著</v>
      </c>
      <c r="E625" s="7" t="str">
        <f>"清华大学出版社"</f>
        <v>清华大学出版社</v>
      </c>
      <c r="F625" s="7" t="str">
        <f>"TP311.12/155"</f>
        <v>TP311.12/155</v>
      </c>
    </row>
    <row r="626" customHeight="1" spans="1:6">
      <c r="A626" s="6">
        <v>625</v>
      </c>
      <c r="B626" s="7" t="str">
        <f>"978-7-302-44734-4"</f>
        <v>978-7-302-44734-4</v>
      </c>
      <c r="C626" s="7" t="str">
        <f>"数据结构实验指导与习题解析"</f>
        <v>数据结构实验指导与习题解析</v>
      </c>
      <c r="D626" s="7" t="str">
        <f>"李宗璞 ... [等] 编著"</f>
        <v>李宗璞 ... [等] 编著</v>
      </c>
      <c r="E626" s="7" t="str">
        <f>"清华大学出版社"</f>
        <v>清华大学出版社</v>
      </c>
      <c r="F626" s="7" t="str">
        <f>"TP311.12/155"</f>
        <v>TP311.12/155</v>
      </c>
    </row>
    <row r="627" customHeight="1" spans="1:6">
      <c r="A627" s="6">
        <v>626</v>
      </c>
      <c r="B627" s="8" t="s">
        <v>13259</v>
      </c>
      <c r="C627" s="8" t="s">
        <v>13260</v>
      </c>
      <c r="D627" s="8" t="s">
        <v>13261</v>
      </c>
      <c r="E627" s="8" t="s">
        <v>216</v>
      </c>
      <c r="F627" s="8" t="s">
        <v>13262</v>
      </c>
    </row>
    <row r="628" customHeight="1" spans="1:6">
      <c r="A628" s="6">
        <v>627</v>
      </c>
      <c r="B628" s="8" t="s">
        <v>13259</v>
      </c>
      <c r="C628" s="8" t="s">
        <v>13260</v>
      </c>
      <c r="D628" s="8" t="s">
        <v>13261</v>
      </c>
      <c r="E628" s="8" t="s">
        <v>216</v>
      </c>
      <c r="F628" s="8" t="s">
        <v>13262</v>
      </c>
    </row>
    <row r="629" customHeight="1" spans="1:6">
      <c r="A629" s="6">
        <v>628</v>
      </c>
      <c r="B629" s="8" t="s">
        <v>13263</v>
      </c>
      <c r="C629" s="8" t="s">
        <v>13264</v>
      </c>
      <c r="D629" s="8" t="s">
        <v>13265</v>
      </c>
      <c r="E629" s="8" t="s">
        <v>12449</v>
      </c>
      <c r="F629" s="8" t="s">
        <v>13266</v>
      </c>
    </row>
    <row r="630" customHeight="1" spans="1:6">
      <c r="A630" s="6">
        <v>629</v>
      </c>
      <c r="B630" s="8" t="s">
        <v>13263</v>
      </c>
      <c r="C630" s="8" t="s">
        <v>13264</v>
      </c>
      <c r="D630" s="8" t="s">
        <v>13265</v>
      </c>
      <c r="E630" s="8" t="s">
        <v>12449</v>
      </c>
      <c r="F630" s="8" t="s">
        <v>13266</v>
      </c>
    </row>
    <row r="631" customHeight="1" spans="1:6">
      <c r="A631" s="6">
        <v>630</v>
      </c>
      <c r="B631" s="8" t="s">
        <v>13267</v>
      </c>
      <c r="C631" s="8" t="s">
        <v>13268</v>
      </c>
      <c r="D631" s="8" t="s">
        <v>13269</v>
      </c>
      <c r="E631" s="8" t="s">
        <v>530</v>
      </c>
      <c r="F631" s="8" t="s">
        <v>13270</v>
      </c>
    </row>
    <row r="632" customHeight="1" spans="1:6">
      <c r="A632" s="6">
        <v>631</v>
      </c>
      <c r="B632" s="8" t="s">
        <v>13267</v>
      </c>
      <c r="C632" s="8" t="s">
        <v>13268</v>
      </c>
      <c r="D632" s="8" t="s">
        <v>13269</v>
      </c>
      <c r="E632" s="8" t="s">
        <v>530</v>
      </c>
      <c r="F632" s="8" t="s">
        <v>13270</v>
      </c>
    </row>
    <row r="633" customHeight="1" spans="1:6">
      <c r="A633" s="6">
        <v>632</v>
      </c>
      <c r="B633" s="8" t="s">
        <v>13271</v>
      </c>
      <c r="C633" s="8" t="s">
        <v>13272</v>
      </c>
      <c r="D633" s="8" t="s">
        <v>13273</v>
      </c>
      <c r="E633" s="8" t="s">
        <v>1306</v>
      </c>
      <c r="F633" s="8" t="s">
        <v>13274</v>
      </c>
    </row>
    <row r="634" customHeight="1" spans="1:6">
      <c r="A634" s="6">
        <v>633</v>
      </c>
      <c r="B634" s="8" t="s">
        <v>13271</v>
      </c>
      <c r="C634" s="8" t="s">
        <v>13272</v>
      </c>
      <c r="D634" s="8" t="s">
        <v>13273</v>
      </c>
      <c r="E634" s="8" t="s">
        <v>1306</v>
      </c>
      <c r="F634" s="8" t="s">
        <v>13274</v>
      </c>
    </row>
    <row r="635" customHeight="1" spans="1:6">
      <c r="A635" s="6">
        <v>634</v>
      </c>
      <c r="B635" s="8" t="s">
        <v>13275</v>
      </c>
      <c r="C635" s="8" t="s">
        <v>13276</v>
      </c>
      <c r="D635" s="8" t="s">
        <v>13277</v>
      </c>
      <c r="E635" s="8" t="s">
        <v>216</v>
      </c>
      <c r="F635" s="8" t="s">
        <v>13278</v>
      </c>
    </row>
    <row r="636" customHeight="1" spans="1:6">
      <c r="A636" s="6">
        <v>635</v>
      </c>
      <c r="B636" s="8" t="s">
        <v>13275</v>
      </c>
      <c r="C636" s="8" t="s">
        <v>13276</v>
      </c>
      <c r="D636" s="8" t="s">
        <v>13277</v>
      </c>
      <c r="E636" s="8" t="s">
        <v>216</v>
      </c>
      <c r="F636" s="8" t="s">
        <v>13278</v>
      </c>
    </row>
    <row r="637" customHeight="1" spans="1:6">
      <c r="A637" s="6">
        <v>636</v>
      </c>
      <c r="B637" s="8" t="s">
        <v>13279</v>
      </c>
      <c r="C637" s="8" t="s">
        <v>13280</v>
      </c>
      <c r="D637" s="8" t="s">
        <v>13281</v>
      </c>
      <c r="E637" s="8" t="s">
        <v>1189</v>
      </c>
      <c r="F637" s="8" t="s">
        <v>13282</v>
      </c>
    </row>
    <row r="638" customHeight="1" spans="1:6">
      <c r="A638" s="6">
        <v>637</v>
      </c>
      <c r="B638" s="8" t="s">
        <v>13279</v>
      </c>
      <c r="C638" s="8" t="s">
        <v>13280</v>
      </c>
      <c r="D638" s="8" t="s">
        <v>13281</v>
      </c>
      <c r="E638" s="8" t="s">
        <v>1189</v>
      </c>
      <c r="F638" s="8" t="s">
        <v>13282</v>
      </c>
    </row>
    <row r="639" customHeight="1" spans="1:6">
      <c r="A639" s="6">
        <v>638</v>
      </c>
      <c r="B639" s="8" t="s">
        <v>13283</v>
      </c>
      <c r="C639" s="8" t="s">
        <v>13284</v>
      </c>
      <c r="D639" s="8" t="s">
        <v>13285</v>
      </c>
      <c r="E639" s="8" t="s">
        <v>8002</v>
      </c>
      <c r="F639" s="8" t="s">
        <v>13286</v>
      </c>
    </row>
    <row r="640" customHeight="1" spans="1:6">
      <c r="A640" s="6">
        <v>639</v>
      </c>
      <c r="B640" s="8" t="s">
        <v>13283</v>
      </c>
      <c r="C640" s="8" t="s">
        <v>13284</v>
      </c>
      <c r="D640" s="8" t="s">
        <v>13285</v>
      </c>
      <c r="E640" s="8" t="s">
        <v>8002</v>
      </c>
      <c r="F640" s="8" t="s">
        <v>13286</v>
      </c>
    </row>
    <row r="641" customHeight="1" spans="1:6">
      <c r="A641" s="6">
        <v>640</v>
      </c>
      <c r="B641" s="8" t="s">
        <v>13287</v>
      </c>
      <c r="C641" s="8" t="s">
        <v>13288</v>
      </c>
      <c r="D641" s="8" t="s">
        <v>13289</v>
      </c>
      <c r="E641" s="8" t="s">
        <v>530</v>
      </c>
      <c r="F641" s="8" t="s">
        <v>13290</v>
      </c>
    </row>
    <row r="642" customHeight="1" spans="1:6">
      <c r="A642" s="6">
        <v>641</v>
      </c>
      <c r="B642" s="8" t="s">
        <v>13287</v>
      </c>
      <c r="C642" s="8" t="s">
        <v>13288</v>
      </c>
      <c r="D642" s="8" t="s">
        <v>13289</v>
      </c>
      <c r="E642" s="8" t="s">
        <v>530</v>
      </c>
      <c r="F642" s="8" t="s">
        <v>13290</v>
      </c>
    </row>
    <row r="643" customHeight="1" spans="1:6">
      <c r="A643" s="6">
        <v>642</v>
      </c>
      <c r="B643" s="8" t="s">
        <v>13291</v>
      </c>
      <c r="C643" s="8" t="s">
        <v>13292</v>
      </c>
      <c r="D643" s="8" t="s">
        <v>13293</v>
      </c>
      <c r="E643" s="8" t="s">
        <v>4855</v>
      </c>
      <c r="F643" s="8" t="s">
        <v>13294</v>
      </c>
    </row>
    <row r="644" customHeight="1" spans="1:6">
      <c r="A644" s="6">
        <v>643</v>
      </c>
      <c r="B644" s="8" t="s">
        <v>13291</v>
      </c>
      <c r="C644" s="8" t="s">
        <v>13292</v>
      </c>
      <c r="D644" s="8" t="s">
        <v>13293</v>
      </c>
      <c r="E644" s="8" t="s">
        <v>4855</v>
      </c>
      <c r="F644" s="8" t="s">
        <v>13294</v>
      </c>
    </row>
    <row r="645" customHeight="1" spans="1:6">
      <c r="A645" s="6">
        <v>644</v>
      </c>
      <c r="B645" s="8" t="s">
        <v>13295</v>
      </c>
      <c r="C645" s="8" t="s">
        <v>13296</v>
      </c>
      <c r="D645" s="8" t="s">
        <v>13297</v>
      </c>
      <c r="E645" s="8" t="s">
        <v>256</v>
      </c>
      <c r="F645" s="8" t="s">
        <v>13298</v>
      </c>
    </row>
    <row r="646" customHeight="1" spans="1:6">
      <c r="A646" s="6">
        <v>645</v>
      </c>
      <c r="B646" s="8" t="s">
        <v>13295</v>
      </c>
      <c r="C646" s="8" t="s">
        <v>13296</v>
      </c>
      <c r="D646" s="8" t="s">
        <v>13297</v>
      </c>
      <c r="E646" s="8" t="s">
        <v>256</v>
      </c>
      <c r="F646" s="8" t="s">
        <v>13298</v>
      </c>
    </row>
    <row r="647" customHeight="1" spans="1:6">
      <c r="A647" s="6">
        <v>646</v>
      </c>
      <c r="B647" s="8" t="s">
        <v>13299</v>
      </c>
      <c r="C647" s="8" t="s">
        <v>13300</v>
      </c>
      <c r="D647" s="8" t="s">
        <v>13301</v>
      </c>
      <c r="E647" s="8" t="s">
        <v>216</v>
      </c>
      <c r="F647" s="8" t="s">
        <v>13302</v>
      </c>
    </row>
    <row r="648" customHeight="1" spans="1:6">
      <c r="A648" s="6">
        <v>647</v>
      </c>
      <c r="B648" s="8" t="s">
        <v>13299</v>
      </c>
      <c r="C648" s="8" t="s">
        <v>13300</v>
      </c>
      <c r="D648" s="8" t="s">
        <v>13301</v>
      </c>
      <c r="E648" s="8" t="s">
        <v>216</v>
      </c>
      <c r="F648" s="8" t="s">
        <v>13302</v>
      </c>
    </row>
    <row r="649" customHeight="1" spans="1:6">
      <c r="A649" s="6">
        <v>648</v>
      </c>
      <c r="B649" s="8" t="s">
        <v>13303</v>
      </c>
      <c r="C649" s="8" t="s">
        <v>13304</v>
      </c>
      <c r="D649" s="8" t="s">
        <v>13305</v>
      </c>
      <c r="E649" s="8" t="s">
        <v>3146</v>
      </c>
      <c r="F649" s="8" t="s">
        <v>13306</v>
      </c>
    </row>
    <row r="650" customHeight="1" spans="1:6">
      <c r="A650" s="6">
        <v>649</v>
      </c>
      <c r="B650" s="8" t="s">
        <v>13303</v>
      </c>
      <c r="C650" s="8" t="s">
        <v>13304</v>
      </c>
      <c r="D650" s="8" t="s">
        <v>13305</v>
      </c>
      <c r="E650" s="8" t="s">
        <v>3146</v>
      </c>
      <c r="F650" s="8" t="s">
        <v>13306</v>
      </c>
    </row>
    <row r="651" customHeight="1" spans="1:6">
      <c r="A651" s="6">
        <v>650</v>
      </c>
      <c r="B651" s="8" t="s">
        <v>13307</v>
      </c>
      <c r="C651" s="8" t="s">
        <v>13308</v>
      </c>
      <c r="D651" s="8" t="s">
        <v>13309</v>
      </c>
      <c r="E651" s="8" t="s">
        <v>216</v>
      </c>
      <c r="F651" s="8" t="s">
        <v>13310</v>
      </c>
    </row>
    <row r="652" customHeight="1" spans="1:6">
      <c r="A652" s="6">
        <v>651</v>
      </c>
      <c r="B652" s="8" t="s">
        <v>13307</v>
      </c>
      <c r="C652" s="8" t="s">
        <v>13308</v>
      </c>
      <c r="D652" s="8" t="s">
        <v>13309</v>
      </c>
      <c r="E652" s="8" t="s">
        <v>216</v>
      </c>
      <c r="F652" s="8" t="s">
        <v>13310</v>
      </c>
    </row>
    <row r="653" customHeight="1" spans="1:6">
      <c r="A653" s="6">
        <v>652</v>
      </c>
      <c r="B653" s="7" t="str">
        <f>"978-7-115-37687-9"</f>
        <v>978-7-115-37687-9</v>
      </c>
      <c r="C653" s="7" t="str">
        <f>"游戏设计的100个原理"</f>
        <v>游戏设计的100个原理</v>
      </c>
      <c r="D653" s="7" t="str">
        <f>"(美) Wendy Despain著；肖心怡译"</f>
        <v>(美) Wendy Despain著；肖心怡译</v>
      </c>
      <c r="E653" s="7" t="str">
        <f t="shared" ref="E653:E656" si="28">"人民邮电出版社"</f>
        <v>人民邮电出版社</v>
      </c>
      <c r="F653" s="7" t="str">
        <f>"TP311.5/340"</f>
        <v>TP311.5/340</v>
      </c>
    </row>
    <row r="654" customHeight="1" spans="1:6">
      <c r="A654" s="6">
        <v>653</v>
      </c>
      <c r="B654" s="7" t="str">
        <f>"978-7-115-37687-9"</f>
        <v>978-7-115-37687-9</v>
      </c>
      <c r="C654" s="7" t="str">
        <f>"游戏设计的100个原理"</f>
        <v>游戏设计的100个原理</v>
      </c>
      <c r="D654" s="7" t="str">
        <f>"(美) Wendy Despain著；肖心怡译"</f>
        <v>(美) Wendy Despain著；肖心怡译</v>
      </c>
      <c r="E654" s="7" t="str">
        <f t="shared" si="28"/>
        <v>人民邮电出版社</v>
      </c>
      <c r="F654" s="7" t="str">
        <f>"TP311.5/340"</f>
        <v>TP311.5/340</v>
      </c>
    </row>
    <row r="655" customHeight="1" spans="1:6">
      <c r="A655" s="6">
        <v>654</v>
      </c>
      <c r="B655" s="7" t="str">
        <f>"978-7-115-34049-8"</f>
        <v>978-7-115-34049-8</v>
      </c>
      <c r="C655" s="7" t="str">
        <f>"游戏机制：高级游戏设计技术"</f>
        <v>游戏机制：高级游戏设计技术</v>
      </c>
      <c r="D655" s="7" t="str">
        <f>"(美) Ernest Adams， Joris Dormans著；石曦译"</f>
        <v>(美) Ernest Adams， Joris Dormans著；石曦译</v>
      </c>
      <c r="E655" s="7" t="str">
        <f t="shared" si="28"/>
        <v>人民邮电出版社</v>
      </c>
      <c r="F655" s="7" t="str">
        <f>"TP311.5/341"</f>
        <v>TP311.5/341</v>
      </c>
    </row>
    <row r="656" customHeight="1" spans="1:6">
      <c r="A656" s="6">
        <v>655</v>
      </c>
      <c r="B656" s="7" t="str">
        <f>"978-7-115-34049-8"</f>
        <v>978-7-115-34049-8</v>
      </c>
      <c r="C656" s="7" t="str">
        <f>"游戏机制：高级游戏设计技术"</f>
        <v>游戏机制：高级游戏设计技术</v>
      </c>
      <c r="D656" s="7" t="str">
        <f>"(美) Ernest Adams， Joris Dormans著；石曦译"</f>
        <v>(美) Ernest Adams， Joris Dormans著；石曦译</v>
      </c>
      <c r="E656" s="7" t="str">
        <f t="shared" si="28"/>
        <v>人民邮电出版社</v>
      </c>
      <c r="F656" s="7" t="str">
        <f>"TP311.5/341"</f>
        <v>TP311.5/341</v>
      </c>
    </row>
    <row r="657" customHeight="1" spans="1:6">
      <c r="A657" s="6">
        <v>656</v>
      </c>
      <c r="B657" s="7" t="str">
        <f>"978-7-5635-6435-4"</f>
        <v>978-7-5635-6435-4</v>
      </c>
      <c r="C657" s="7" t="str">
        <f>"软件工程与安全"</f>
        <v>软件工程与安全</v>
      </c>
      <c r="D657" s="7" t="str">
        <f>"芦效峰编著"</f>
        <v>芦效峰编著</v>
      </c>
      <c r="E657" s="7" t="str">
        <f>"北京邮电大学出版社"</f>
        <v>北京邮电大学出版社</v>
      </c>
      <c r="F657" s="7" t="str">
        <f>"TP311.5/342"</f>
        <v>TP311.5/342</v>
      </c>
    </row>
    <row r="658" customHeight="1" spans="1:6">
      <c r="A658" s="6">
        <v>657</v>
      </c>
      <c r="B658" s="7" t="str">
        <f>"978-7-5635-6435-4"</f>
        <v>978-7-5635-6435-4</v>
      </c>
      <c r="C658" s="7" t="str">
        <f>"软件工程与安全"</f>
        <v>软件工程与安全</v>
      </c>
      <c r="D658" s="7" t="str">
        <f>"芦效峰编著"</f>
        <v>芦效峰编著</v>
      </c>
      <c r="E658" s="7" t="str">
        <f>"北京邮电大学出版社"</f>
        <v>北京邮电大学出版社</v>
      </c>
      <c r="F658" s="7" t="str">
        <f>"TP311.5/342"</f>
        <v>TP311.5/342</v>
      </c>
    </row>
    <row r="659" customHeight="1" spans="1:6">
      <c r="A659" s="6">
        <v>658</v>
      </c>
      <c r="B659" s="8" t="s">
        <v>13311</v>
      </c>
      <c r="C659" s="8" t="s">
        <v>13312</v>
      </c>
      <c r="D659" s="8" t="s">
        <v>13313</v>
      </c>
      <c r="E659" s="8" t="s">
        <v>197</v>
      </c>
      <c r="F659" s="8" t="s">
        <v>13314</v>
      </c>
    </row>
    <row r="660" customHeight="1" spans="1:6">
      <c r="A660" s="6">
        <v>659</v>
      </c>
      <c r="B660" s="8" t="s">
        <v>13311</v>
      </c>
      <c r="C660" s="8" t="s">
        <v>13312</v>
      </c>
      <c r="D660" s="8" t="s">
        <v>13313</v>
      </c>
      <c r="E660" s="8" t="s">
        <v>197</v>
      </c>
      <c r="F660" s="8" t="s">
        <v>13314</v>
      </c>
    </row>
    <row r="661" customHeight="1" spans="1:6">
      <c r="A661" s="6">
        <v>660</v>
      </c>
      <c r="B661" s="8" t="s">
        <v>13315</v>
      </c>
      <c r="C661" s="8" t="s">
        <v>13316</v>
      </c>
      <c r="D661" s="8" t="s">
        <v>13317</v>
      </c>
      <c r="E661" s="8" t="s">
        <v>216</v>
      </c>
      <c r="F661" s="8" t="s">
        <v>13318</v>
      </c>
    </row>
    <row r="662" customHeight="1" spans="1:6">
      <c r="A662" s="6">
        <v>661</v>
      </c>
      <c r="B662" s="8" t="s">
        <v>13315</v>
      </c>
      <c r="C662" s="8" t="s">
        <v>13316</v>
      </c>
      <c r="D662" s="8" t="s">
        <v>13317</v>
      </c>
      <c r="E662" s="8" t="s">
        <v>216</v>
      </c>
      <c r="F662" s="8" t="s">
        <v>13318</v>
      </c>
    </row>
    <row r="663" customHeight="1" spans="1:6">
      <c r="A663" s="6">
        <v>662</v>
      </c>
      <c r="B663" s="8" t="s">
        <v>13319</v>
      </c>
      <c r="C663" s="8" t="s">
        <v>13320</v>
      </c>
      <c r="D663" s="8" t="s">
        <v>13321</v>
      </c>
      <c r="E663" s="8" t="s">
        <v>1189</v>
      </c>
      <c r="F663" s="8" t="s">
        <v>13322</v>
      </c>
    </row>
    <row r="664" customHeight="1" spans="1:6">
      <c r="A664" s="6">
        <v>663</v>
      </c>
      <c r="B664" s="8" t="s">
        <v>13319</v>
      </c>
      <c r="C664" s="8" t="s">
        <v>13320</v>
      </c>
      <c r="D664" s="8" t="s">
        <v>13321</v>
      </c>
      <c r="E664" s="8" t="s">
        <v>1189</v>
      </c>
      <c r="F664" s="8" t="s">
        <v>13322</v>
      </c>
    </row>
    <row r="665" customHeight="1" spans="1:6">
      <c r="A665" s="6">
        <v>664</v>
      </c>
      <c r="B665" s="8" t="s">
        <v>13323</v>
      </c>
      <c r="C665" s="8" t="s">
        <v>13324</v>
      </c>
      <c r="D665" s="8" t="s">
        <v>13325</v>
      </c>
      <c r="E665" s="8" t="s">
        <v>1948</v>
      </c>
      <c r="F665" s="8" t="s">
        <v>13326</v>
      </c>
    </row>
    <row r="666" customHeight="1" spans="1:6">
      <c r="A666" s="6">
        <v>665</v>
      </c>
      <c r="B666" s="8" t="s">
        <v>13323</v>
      </c>
      <c r="C666" s="8" t="s">
        <v>13324</v>
      </c>
      <c r="D666" s="8" t="s">
        <v>13325</v>
      </c>
      <c r="E666" s="8" t="s">
        <v>1948</v>
      </c>
      <c r="F666" s="8" t="s">
        <v>13326</v>
      </c>
    </row>
    <row r="667" customHeight="1" spans="1:6">
      <c r="A667" s="6">
        <v>666</v>
      </c>
      <c r="B667" s="8" t="s">
        <v>13327</v>
      </c>
      <c r="C667" s="8" t="s">
        <v>13328</v>
      </c>
      <c r="D667" s="8" t="s">
        <v>13329</v>
      </c>
      <c r="E667" s="8" t="s">
        <v>216</v>
      </c>
      <c r="F667" s="8" t="s">
        <v>13330</v>
      </c>
    </row>
    <row r="668" customHeight="1" spans="1:6">
      <c r="A668" s="6">
        <v>667</v>
      </c>
      <c r="B668" s="8" t="s">
        <v>13327</v>
      </c>
      <c r="C668" s="8" t="s">
        <v>13328</v>
      </c>
      <c r="D668" s="8" t="s">
        <v>13329</v>
      </c>
      <c r="E668" s="8" t="s">
        <v>216</v>
      </c>
      <c r="F668" s="8" t="s">
        <v>13330</v>
      </c>
    </row>
    <row r="669" customHeight="1" spans="1:6">
      <c r="A669" s="6">
        <v>668</v>
      </c>
      <c r="B669" s="7" t="str">
        <f>"978-7-121-38679-4"</f>
        <v>978-7-121-38679-4</v>
      </c>
      <c r="C669" s="7" t="str">
        <f>"系统分析师历年真题解析"</f>
        <v>系统分析师历年真题解析</v>
      </c>
      <c r="D669" s="7" t="str">
        <f>"主编薛大龙， 邹月平"</f>
        <v>主编薛大龙， 邹月平</v>
      </c>
      <c r="E669" s="7" t="str">
        <f>"电子工业出版社"</f>
        <v>电子工业出版社</v>
      </c>
      <c r="F669" s="7" t="str">
        <f>"TP311.521/6=2D"</f>
        <v>TP311.521/6=2D</v>
      </c>
    </row>
    <row r="670" customHeight="1" spans="1:6">
      <c r="A670" s="6">
        <v>669</v>
      </c>
      <c r="B670" s="7" t="str">
        <f>"978-7-121-38679-4"</f>
        <v>978-7-121-38679-4</v>
      </c>
      <c r="C670" s="7" t="str">
        <f>"系统分析师历年真题解析"</f>
        <v>系统分析师历年真题解析</v>
      </c>
      <c r="D670" s="7" t="str">
        <f>"主编薛大龙， 邹月平"</f>
        <v>主编薛大龙， 邹月平</v>
      </c>
      <c r="E670" s="7" t="str">
        <f>"电子工业出版社"</f>
        <v>电子工业出版社</v>
      </c>
      <c r="F670" s="7" t="str">
        <f>"TP311.521/6=2D"</f>
        <v>TP311.521/6=2D</v>
      </c>
    </row>
    <row r="671" customHeight="1" spans="1:6">
      <c r="A671" s="6">
        <v>670</v>
      </c>
      <c r="B671" s="8" t="s">
        <v>13331</v>
      </c>
      <c r="C671" s="8" t="s">
        <v>13332</v>
      </c>
      <c r="D671" s="8" t="s">
        <v>13333</v>
      </c>
      <c r="E671" s="8" t="s">
        <v>11556</v>
      </c>
      <c r="F671" s="8" t="s">
        <v>13334</v>
      </c>
    </row>
    <row r="672" customHeight="1" spans="1:6">
      <c r="A672" s="6">
        <v>671</v>
      </c>
      <c r="B672" s="8" t="s">
        <v>13331</v>
      </c>
      <c r="C672" s="8" t="s">
        <v>13332</v>
      </c>
      <c r="D672" s="8" t="s">
        <v>13333</v>
      </c>
      <c r="E672" s="8" t="s">
        <v>11556</v>
      </c>
      <c r="F672" s="8" t="s">
        <v>13334</v>
      </c>
    </row>
    <row r="673" customHeight="1" spans="1:6">
      <c r="A673" s="6">
        <v>672</v>
      </c>
      <c r="B673" s="7" t="str">
        <f>"978-7-115-51937-5"</f>
        <v>978-7-115-51937-5</v>
      </c>
      <c r="C673" s="7" t="str">
        <f>"零基础快速入行入职软件测试工程师"</f>
        <v>零基础快速入行入职软件测试工程师</v>
      </c>
      <c r="D673" s="7" t="str">
        <f>"江楚编著"</f>
        <v>江楚编著</v>
      </c>
      <c r="E673" s="7" t="str">
        <f t="shared" ref="E673:E676" si="29">"人民邮电出版社"</f>
        <v>人民邮电出版社</v>
      </c>
      <c r="F673" s="7" t="str">
        <f>"TP311.55/29"</f>
        <v>TP311.55/29</v>
      </c>
    </row>
    <row r="674" customHeight="1" spans="1:6">
      <c r="A674" s="6">
        <v>673</v>
      </c>
      <c r="B674" s="7" t="str">
        <f>"978-7-115-51937-5"</f>
        <v>978-7-115-51937-5</v>
      </c>
      <c r="C674" s="7" t="str">
        <f>"零基础快速入行入职软件测试工程师"</f>
        <v>零基础快速入行入职软件测试工程师</v>
      </c>
      <c r="D674" s="7" t="str">
        <f>"江楚编著"</f>
        <v>江楚编著</v>
      </c>
      <c r="E674" s="7" t="str">
        <f t="shared" si="29"/>
        <v>人民邮电出版社</v>
      </c>
      <c r="F674" s="7" t="str">
        <f>"TP311.55/29"</f>
        <v>TP311.55/29</v>
      </c>
    </row>
    <row r="675" customHeight="1" spans="1:6">
      <c r="A675" s="6">
        <v>674</v>
      </c>
      <c r="B675" s="7" t="str">
        <f>"978-7-115-38512-3"</f>
        <v>978-7-115-38512-3</v>
      </c>
      <c r="C675" s="7" t="str">
        <f>"用户体验与可用性测试"</f>
        <v>用户体验与可用性测试</v>
      </c>
      <c r="D675" s="7" t="str">
        <f>"(日) 樽本徹也著；陈啸译"</f>
        <v>(日) 樽本徹也著；陈啸译</v>
      </c>
      <c r="E675" s="7" t="str">
        <f t="shared" si="29"/>
        <v>人民邮电出版社</v>
      </c>
      <c r="F675" s="7" t="str">
        <f>"TP311.55/30"</f>
        <v>TP311.55/30</v>
      </c>
    </row>
    <row r="676" customHeight="1" spans="1:6">
      <c r="A676" s="6">
        <v>675</v>
      </c>
      <c r="B676" s="7" t="str">
        <f>"978-7-115-38512-3"</f>
        <v>978-7-115-38512-3</v>
      </c>
      <c r="C676" s="7" t="str">
        <f>"用户体验与可用性测试"</f>
        <v>用户体验与可用性测试</v>
      </c>
      <c r="D676" s="7" t="str">
        <f>"(日) 樽本徹也著；陈啸译"</f>
        <v>(日) 樽本徹也著；陈啸译</v>
      </c>
      <c r="E676" s="7" t="str">
        <f t="shared" si="29"/>
        <v>人民邮电出版社</v>
      </c>
      <c r="F676" s="7" t="str">
        <f>"TP311.55/30"</f>
        <v>TP311.55/30</v>
      </c>
    </row>
    <row r="677" customHeight="1" spans="1:6">
      <c r="A677" s="6">
        <v>676</v>
      </c>
      <c r="B677" s="8" t="s">
        <v>13335</v>
      </c>
      <c r="C677" s="8" t="s">
        <v>13336</v>
      </c>
      <c r="D677" s="8" t="s">
        <v>13337</v>
      </c>
      <c r="E677" s="8" t="s">
        <v>1734</v>
      </c>
      <c r="F677" s="8" t="s">
        <v>13338</v>
      </c>
    </row>
    <row r="678" customHeight="1" spans="1:6">
      <c r="A678" s="6">
        <v>677</v>
      </c>
      <c r="B678" s="8" t="s">
        <v>13335</v>
      </c>
      <c r="C678" s="8" t="s">
        <v>13336</v>
      </c>
      <c r="D678" s="8" t="s">
        <v>13337</v>
      </c>
      <c r="E678" s="8" t="s">
        <v>1734</v>
      </c>
      <c r="F678" s="8" t="s">
        <v>13338</v>
      </c>
    </row>
    <row r="679" customHeight="1" spans="1:6">
      <c r="A679" s="6">
        <v>678</v>
      </c>
      <c r="B679" s="8" t="s">
        <v>13339</v>
      </c>
      <c r="C679" s="8" t="s">
        <v>13340</v>
      </c>
      <c r="D679" s="8" t="s">
        <v>13341</v>
      </c>
      <c r="E679" s="8" t="s">
        <v>216</v>
      </c>
      <c r="F679" s="8" t="s">
        <v>13342</v>
      </c>
    </row>
    <row r="680" customHeight="1" spans="1:6">
      <c r="A680" s="6">
        <v>679</v>
      </c>
      <c r="B680" s="8" t="s">
        <v>13339</v>
      </c>
      <c r="C680" s="8" t="s">
        <v>13340</v>
      </c>
      <c r="D680" s="8" t="s">
        <v>13341</v>
      </c>
      <c r="E680" s="8" t="s">
        <v>216</v>
      </c>
      <c r="F680" s="8" t="s">
        <v>13342</v>
      </c>
    </row>
    <row r="681" customHeight="1" spans="1:6">
      <c r="A681" s="6">
        <v>680</v>
      </c>
      <c r="B681" s="8" t="s">
        <v>13343</v>
      </c>
      <c r="C681" s="8" t="s">
        <v>13344</v>
      </c>
      <c r="D681" s="8" t="s">
        <v>13345</v>
      </c>
      <c r="E681" s="8" t="s">
        <v>1617</v>
      </c>
      <c r="F681" s="8" t="s">
        <v>13346</v>
      </c>
    </row>
    <row r="682" customHeight="1" spans="1:6">
      <c r="A682" s="6">
        <v>681</v>
      </c>
      <c r="B682" s="8" t="s">
        <v>13343</v>
      </c>
      <c r="C682" s="8" t="s">
        <v>13344</v>
      </c>
      <c r="D682" s="8" t="s">
        <v>13345</v>
      </c>
      <c r="E682" s="8" t="s">
        <v>1617</v>
      </c>
      <c r="F682" s="8" t="s">
        <v>13346</v>
      </c>
    </row>
    <row r="683" customHeight="1" spans="1:6">
      <c r="A683" s="6">
        <v>682</v>
      </c>
      <c r="B683" s="8" t="s">
        <v>13347</v>
      </c>
      <c r="C683" s="8" t="s">
        <v>13348</v>
      </c>
      <c r="D683" s="8" t="s">
        <v>13349</v>
      </c>
      <c r="E683" s="8" t="s">
        <v>3146</v>
      </c>
      <c r="F683" s="8" t="s">
        <v>13350</v>
      </c>
    </row>
    <row r="684" customHeight="1" spans="1:6">
      <c r="A684" s="6">
        <v>683</v>
      </c>
      <c r="B684" s="8" t="s">
        <v>13347</v>
      </c>
      <c r="C684" s="8" t="s">
        <v>13348</v>
      </c>
      <c r="D684" s="8" t="s">
        <v>13349</v>
      </c>
      <c r="E684" s="8" t="s">
        <v>3146</v>
      </c>
      <c r="F684" s="8" t="s">
        <v>13350</v>
      </c>
    </row>
    <row r="685" customHeight="1" spans="1:6">
      <c r="A685" s="6">
        <v>684</v>
      </c>
      <c r="B685" s="7" t="str">
        <f>"978-7-121-41643-9"</f>
        <v>978-7-121-41643-9</v>
      </c>
      <c r="C685" s="7" t="str">
        <f>"Python Django Web从入门到项目实战：视频版"</f>
        <v>Python Django Web从入门到项目实战：视频版</v>
      </c>
      <c r="D685" s="7" t="str">
        <f>"刘瑜， 安义著"</f>
        <v>刘瑜， 安义著</v>
      </c>
      <c r="E685" s="7" t="str">
        <f t="shared" ref="E685:E688" si="30">"电子工业出版社"</f>
        <v>电子工业出版社</v>
      </c>
      <c r="F685" s="7" t="str">
        <f>"TP311.561/400"</f>
        <v>TP311.561/400</v>
      </c>
    </row>
    <row r="686" customHeight="1" spans="1:6">
      <c r="A686" s="6">
        <v>685</v>
      </c>
      <c r="B686" s="7" t="str">
        <f>"978-7-121-41643-9"</f>
        <v>978-7-121-41643-9</v>
      </c>
      <c r="C686" s="7" t="str">
        <f>"Python Django Web从入门到项目实战：视频版"</f>
        <v>Python Django Web从入门到项目实战：视频版</v>
      </c>
      <c r="D686" s="7" t="str">
        <f>"刘瑜， 安义著"</f>
        <v>刘瑜， 安义著</v>
      </c>
      <c r="E686" s="7" t="str">
        <f t="shared" si="30"/>
        <v>电子工业出版社</v>
      </c>
      <c r="F686" s="7" t="str">
        <f>"TP311.561/400"</f>
        <v>TP311.561/400</v>
      </c>
    </row>
    <row r="687" customHeight="1" spans="1:6">
      <c r="A687" s="6">
        <v>686</v>
      </c>
      <c r="B687" s="7" t="str">
        <f>"978-7-121-39788-2"</f>
        <v>978-7-121-39788-2</v>
      </c>
      <c r="C687" s="7" t="str">
        <f>"Python编程：乐学程序设计与数据处理"</f>
        <v>Python编程：乐学程序设计与数据处理</v>
      </c>
      <c r="D687" s="7" t="str">
        <f>"曾长清， 刘伯成， 朱小刚编著"</f>
        <v>曾长清， 刘伯成， 朱小刚编著</v>
      </c>
      <c r="E687" s="7" t="str">
        <f t="shared" si="30"/>
        <v>电子工业出版社</v>
      </c>
      <c r="F687" s="7" t="str">
        <f>"TP311.561/401"</f>
        <v>TP311.561/401</v>
      </c>
    </row>
    <row r="688" customHeight="1" spans="1:6">
      <c r="A688" s="6">
        <v>687</v>
      </c>
      <c r="B688" s="7" t="str">
        <f>"978-7-121-39788-2"</f>
        <v>978-7-121-39788-2</v>
      </c>
      <c r="C688" s="7" t="str">
        <f>"Python编程：乐学程序设计与数据处理"</f>
        <v>Python编程：乐学程序设计与数据处理</v>
      </c>
      <c r="D688" s="7" t="str">
        <f>"曾长清， 刘伯成， 朱小刚编著"</f>
        <v>曾长清， 刘伯成， 朱小刚编著</v>
      </c>
      <c r="E688" s="7" t="str">
        <f t="shared" si="30"/>
        <v>电子工业出版社</v>
      </c>
      <c r="F688" s="7" t="str">
        <f>"TP311.561/401"</f>
        <v>TP311.561/401</v>
      </c>
    </row>
    <row r="689" customHeight="1" spans="1:6">
      <c r="A689" s="6">
        <v>688</v>
      </c>
      <c r="B689" s="7" t="str">
        <f>"978-7-115-43177-6"</f>
        <v>978-7-115-43177-6</v>
      </c>
      <c r="C689" s="7" t="str">
        <f>"通关! 游戏设计之道"</f>
        <v>通关! 游戏设计之道</v>
      </c>
      <c r="D689" s="7" t="str">
        <f>"(美) Scott Rogers著；孙懿， 高济润译"</f>
        <v>(美) Scott Rogers著；孙懿， 高济润译</v>
      </c>
      <c r="E689" s="7" t="str">
        <f>"人民邮电出版社"</f>
        <v>人民邮电出版社</v>
      </c>
      <c r="F689" s="7" t="str">
        <f>"TP311.561/402"</f>
        <v>TP311.561/402</v>
      </c>
    </row>
    <row r="690" customHeight="1" spans="1:6">
      <c r="A690" s="6">
        <v>689</v>
      </c>
      <c r="B690" s="7" t="str">
        <f>"978-7-115-43177-6"</f>
        <v>978-7-115-43177-6</v>
      </c>
      <c r="C690" s="7" t="str">
        <f>"通关! 游戏设计之道"</f>
        <v>通关! 游戏设计之道</v>
      </c>
      <c r="D690" s="7" t="str">
        <f>"(美) Scott Rogers著；孙懿， 高济润译"</f>
        <v>(美) Scott Rogers著；孙懿， 高济润译</v>
      </c>
      <c r="E690" s="7" t="str">
        <f>"人民邮电出版社"</f>
        <v>人民邮电出版社</v>
      </c>
      <c r="F690" s="7" t="str">
        <f>"TP311.561/402"</f>
        <v>TP311.561/402</v>
      </c>
    </row>
    <row r="691" customHeight="1" spans="1:6">
      <c r="A691" s="6">
        <v>690</v>
      </c>
      <c r="B691" s="7" t="str">
        <f>"978-7-121-39866-7"</f>
        <v>978-7-121-39866-7</v>
      </c>
      <c r="C691" s="7" t="str">
        <f>"Python程序设计"</f>
        <v>Python程序设计</v>
      </c>
      <c r="D691" s="7" t="str">
        <f>"唐大仕编著"</f>
        <v>唐大仕编著</v>
      </c>
      <c r="E691" s="7" t="str">
        <f t="shared" ref="E691:E694" si="31">"电子工业出版社"</f>
        <v>电子工业出版社</v>
      </c>
      <c r="F691" s="7" t="str">
        <f>"TP311.561/403"</f>
        <v>TP311.561/403</v>
      </c>
    </row>
    <row r="692" customHeight="1" spans="1:6">
      <c r="A692" s="6">
        <v>691</v>
      </c>
      <c r="B692" s="7" t="str">
        <f>"978-7-121-39866-7"</f>
        <v>978-7-121-39866-7</v>
      </c>
      <c r="C692" s="7" t="str">
        <f>"Python程序设计"</f>
        <v>Python程序设计</v>
      </c>
      <c r="D692" s="7" t="str">
        <f>"唐大仕编著"</f>
        <v>唐大仕编著</v>
      </c>
      <c r="E692" s="7" t="str">
        <f t="shared" si="31"/>
        <v>电子工业出版社</v>
      </c>
      <c r="F692" s="7" t="str">
        <f>"TP311.561/403"</f>
        <v>TP311.561/403</v>
      </c>
    </row>
    <row r="693" customHeight="1" spans="1:6">
      <c r="A693" s="6">
        <v>692</v>
      </c>
      <c r="B693" s="7" t="str">
        <f>"978-7-121-39406-5"</f>
        <v>978-7-121-39406-5</v>
      </c>
      <c r="C693" s="7" t="str">
        <f>"Python3网络爬虫宝典"</f>
        <v>Python3网络爬虫宝典</v>
      </c>
      <c r="D693" s="7" t="str">
        <f>"韦世东著"</f>
        <v>韦世东著</v>
      </c>
      <c r="E693" s="7" t="str">
        <f t="shared" si="31"/>
        <v>电子工业出版社</v>
      </c>
      <c r="F693" s="7" t="str">
        <f>"TP311.561/404"</f>
        <v>TP311.561/404</v>
      </c>
    </row>
    <row r="694" customHeight="1" spans="1:6">
      <c r="A694" s="6">
        <v>693</v>
      </c>
      <c r="B694" s="7" t="str">
        <f>"978-7-121-39406-5"</f>
        <v>978-7-121-39406-5</v>
      </c>
      <c r="C694" s="7" t="str">
        <f>"Python3网络爬虫宝典"</f>
        <v>Python3网络爬虫宝典</v>
      </c>
      <c r="D694" s="7" t="str">
        <f>"韦世东著"</f>
        <v>韦世东著</v>
      </c>
      <c r="E694" s="7" t="str">
        <f t="shared" si="31"/>
        <v>电子工业出版社</v>
      </c>
      <c r="F694" s="7" t="str">
        <f>"TP311.561/404"</f>
        <v>TP311.561/404</v>
      </c>
    </row>
    <row r="695" customHeight="1" spans="1:6">
      <c r="A695" s="6">
        <v>694</v>
      </c>
      <c r="B695" s="8" t="s">
        <v>13351</v>
      </c>
      <c r="C695" s="8" t="s">
        <v>13352</v>
      </c>
      <c r="D695" s="8" t="s">
        <v>13353</v>
      </c>
      <c r="E695" s="8" t="s">
        <v>216</v>
      </c>
      <c r="F695" s="8" t="s">
        <v>13354</v>
      </c>
    </row>
    <row r="696" customHeight="1" spans="1:6">
      <c r="A696" s="6">
        <v>695</v>
      </c>
      <c r="B696" s="8" t="s">
        <v>13351</v>
      </c>
      <c r="C696" s="8" t="s">
        <v>13352</v>
      </c>
      <c r="D696" s="8" t="s">
        <v>13353</v>
      </c>
      <c r="E696" s="8" t="s">
        <v>216</v>
      </c>
      <c r="F696" s="8" t="s">
        <v>13354</v>
      </c>
    </row>
    <row r="697" customHeight="1" spans="1:6">
      <c r="A697" s="6">
        <v>696</v>
      </c>
      <c r="B697" s="8" t="s">
        <v>13355</v>
      </c>
      <c r="C697" s="8" t="s">
        <v>13356</v>
      </c>
      <c r="D697" s="8" t="s">
        <v>13357</v>
      </c>
      <c r="E697" s="8" t="s">
        <v>216</v>
      </c>
      <c r="F697" s="8" t="s">
        <v>13358</v>
      </c>
    </row>
    <row r="698" customHeight="1" spans="1:6">
      <c r="A698" s="6">
        <v>697</v>
      </c>
      <c r="B698" s="8" t="s">
        <v>13355</v>
      </c>
      <c r="C698" s="8" t="s">
        <v>13356</v>
      </c>
      <c r="D698" s="8" t="s">
        <v>13357</v>
      </c>
      <c r="E698" s="8" t="s">
        <v>216</v>
      </c>
      <c r="F698" s="8" t="s">
        <v>13358</v>
      </c>
    </row>
    <row r="699" customHeight="1" spans="1:6">
      <c r="A699" s="6">
        <v>698</v>
      </c>
      <c r="B699" s="8" t="s">
        <v>13359</v>
      </c>
      <c r="C699" s="8" t="s">
        <v>13360</v>
      </c>
      <c r="D699" s="8" t="s">
        <v>13361</v>
      </c>
      <c r="E699" s="8" t="s">
        <v>256</v>
      </c>
      <c r="F699" s="8" t="s">
        <v>13362</v>
      </c>
    </row>
    <row r="700" customHeight="1" spans="1:6">
      <c r="A700" s="6">
        <v>699</v>
      </c>
      <c r="B700" s="8" t="s">
        <v>13359</v>
      </c>
      <c r="C700" s="8" t="s">
        <v>13360</v>
      </c>
      <c r="D700" s="8" t="s">
        <v>13361</v>
      </c>
      <c r="E700" s="8" t="s">
        <v>256</v>
      </c>
      <c r="F700" s="8" t="s">
        <v>13362</v>
      </c>
    </row>
    <row r="701" customHeight="1" spans="1:6">
      <c r="A701" s="6">
        <v>700</v>
      </c>
      <c r="B701" s="8" t="s">
        <v>13363</v>
      </c>
      <c r="C701" s="8" t="s">
        <v>13364</v>
      </c>
      <c r="D701" s="8" t="s">
        <v>13365</v>
      </c>
      <c r="E701" s="8" t="s">
        <v>216</v>
      </c>
      <c r="F701" s="8" t="s">
        <v>13366</v>
      </c>
    </row>
    <row r="702" customHeight="1" spans="1:6">
      <c r="A702" s="6">
        <v>701</v>
      </c>
      <c r="B702" s="8" t="s">
        <v>13363</v>
      </c>
      <c r="C702" s="8" t="s">
        <v>13364</v>
      </c>
      <c r="D702" s="8" t="s">
        <v>13365</v>
      </c>
      <c r="E702" s="8" t="s">
        <v>216</v>
      </c>
      <c r="F702" s="8" t="s">
        <v>13366</v>
      </c>
    </row>
    <row r="703" customHeight="1" spans="1:6">
      <c r="A703" s="6">
        <v>702</v>
      </c>
      <c r="B703" s="8" t="s">
        <v>13367</v>
      </c>
      <c r="C703" s="8" t="s">
        <v>13368</v>
      </c>
      <c r="D703" s="8" t="s">
        <v>13369</v>
      </c>
      <c r="E703" s="8" t="s">
        <v>216</v>
      </c>
      <c r="F703" s="8" t="s">
        <v>13370</v>
      </c>
    </row>
    <row r="704" customHeight="1" spans="1:6">
      <c r="A704" s="6">
        <v>703</v>
      </c>
      <c r="B704" s="8" t="s">
        <v>13367</v>
      </c>
      <c r="C704" s="8" t="s">
        <v>13368</v>
      </c>
      <c r="D704" s="8" t="s">
        <v>13369</v>
      </c>
      <c r="E704" s="8" t="s">
        <v>216</v>
      </c>
      <c r="F704" s="8" t="s">
        <v>13370</v>
      </c>
    </row>
    <row r="705" customHeight="1" spans="1:6">
      <c r="A705" s="6">
        <v>704</v>
      </c>
      <c r="B705" s="8" t="s">
        <v>13371</v>
      </c>
      <c r="C705" s="8" t="s">
        <v>13372</v>
      </c>
      <c r="D705" s="8" t="s">
        <v>13373</v>
      </c>
      <c r="E705" s="8" t="s">
        <v>216</v>
      </c>
      <c r="F705" s="8" t="s">
        <v>13374</v>
      </c>
    </row>
    <row r="706" customHeight="1" spans="1:6">
      <c r="A706" s="6">
        <v>705</v>
      </c>
      <c r="B706" s="8" t="s">
        <v>13371</v>
      </c>
      <c r="C706" s="8" t="s">
        <v>13372</v>
      </c>
      <c r="D706" s="8" t="s">
        <v>13373</v>
      </c>
      <c r="E706" s="8" t="s">
        <v>216</v>
      </c>
      <c r="F706" s="8" t="s">
        <v>13374</v>
      </c>
    </row>
    <row r="707" customHeight="1" spans="1:6">
      <c r="A707" s="6">
        <v>706</v>
      </c>
      <c r="B707" s="8" t="s">
        <v>13375</v>
      </c>
      <c r="C707" s="8" t="s">
        <v>13376</v>
      </c>
      <c r="D707" s="8" t="s">
        <v>13377</v>
      </c>
      <c r="E707" s="8" t="s">
        <v>216</v>
      </c>
      <c r="F707" s="8" t="s">
        <v>13378</v>
      </c>
    </row>
    <row r="708" customHeight="1" spans="1:6">
      <c r="A708" s="6">
        <v>707</v>
      </c>
      <c r="B708" s="8" t="s">
        <v>13375</v>
      </c>
      <c r="C708" s="8" t="s">
        <v>13376</v>
      </c>
      <c r="D708" s="8" t="s">
        <v>13377</v>
      </c>
      <c r="E708" s="8" t="s">
        <v>216</v>
      </c>
      <c r="F708" s="8" t="s">
        <v>13378</v>
      </c>
    </row>
    <row r="709" customHeight="1" spans="1:6">
      <c r="A709" s="6">
        <v>708</v>
      </c>
      <c r="B709" s="8" t="s">
        <v>13379</v>
      </c>
      <c r="C709" s="8" t="s">
        <v>13380</v>
      </c>
      <c r="D709" s="8" t="s">
        <v>13381</v>
      </c>
      <c r="E709" s="8" t="s">
        <v>256</v>
      </c>
      <c r="F709" s="8" t="s">
        <v>13382</v>
      </c>
    </row>
    <row r="710" customHeight="1" spans="1:6">
      <c r="A710" s="6">
        <v>709</v>
      </c>
      <c r="B710" s="8" t="s">
        <v>13379</v>
      </c>
      <c r="C710" s="8" t="s">
        <v>13380</v>
      </c>
      <c r="D710" s="8" t="s">
        <v>13381</v>
      </c>
      <c r="E710" s="8" t="s">
        <v>256</v>
      </c>
      <c r="F710" s="8" t="s">
        <v>13382</v>
      </c>
    </row>
    <row r="711" customHeight="1" spans="1:6">
      <c r="A711" s="6">
        <v>710</v>
      </c>
      <c r="B711" s="8" t="s">
        <v>13383</v>
      </c>
      <c r="C711" s="8" t="s">
        <v>13384</v>
      </c>
      <c r="D711" s="8" t="s">
        <v>13385</v>
      </c>
      <c r="E711" s="8" t="s">
        <v>7202</v>
      </c>
      <c r="F711" s="8" t="s">
        <v>13386</v>
      </c>
    </row>
    <row r="712" customHeight="1" spans="1:6">
      <c r="A712" s="6">
        <v>711</v>
      </c>
      <c r="B712" s="8" t="s">
        <v>13383</v>
      </c>
      <c r="C712" s="8" t="s">
        <v>13384</v>
      </c>
      <c r="D712" s="8" t="s">
        <v>13385</v>
      </c>
      <c r="E712" s="8" t="s">
        <v>7202</v>
      </c>
      <c r="F712" s="8" t="s">
        <v>13386</v>
      </c>
    </row>
    <row r="713" customHeight="1" spans="1:6">
      <c r="A713" s="6">
        <v>712</v>
      </c>
      <c r="B713" s="8" t="s">
        <v>13387</v>
      </c>
      <c r="C713" s="8" t="s">
        <v>13388</v>
      </c>
      <c r="D713" s="8" t="s">
        <v>13389</v>
      </c>
      <c r="E713" s="8" t="s">
        <v>256</v>
      </c>
      <c r="F713" s="8" t="s">
        <v>13390</v>
      </c>
    </row>
    <row r="714" customHeight="1" spans="1:6">
      <c r="A714" s="6">
        <v>713</v>
      </c>
      <c r="B714" s="8" t="s">
        <v>13387</v>
      </c>
      <c r="C714" s="8" t="s">
        <v>13388</v>
      </c>
      <c r="D714" s="8" t="s">
        <v>13389</v>
      </c>
      <c r="E714" s="8" t="s">
        <v>256</v>
      </c>
      <c r="F714" s="8" t="s">
        <v>13390</v>
      </c>
    </row>
    <row r="715" customHeight="1" spans="1:6">
      <c r="A715" s="6">
        <v>714</v>
      </c>
      <c r="B715" s="8" t="s">
        <v>13391</v>
      </c>
      <c r="C715" s="8" t="s">
        <v>13392</v>
      </c>
      <c r="D715" s="8" t="s">
        <v>13393</v>
      </c>
      <c r="E715" s="8" t="s">
        <v>6669</v>
      </c>
      <c r="F715" s="8" t="s">
        <v>13394</v>
      </c>
    </row>
    <row r="716" customHeight="1" spans="1:6">
      <c r="A716" s="6">
        <v>715</v>
      </c>
      <c r="B716" s="8" t="s">
        <v>13391</v>
      </c>
      <c r="C716" s="8" t="s">
        <v>13392</v>
      </c>
      <c r="D716" s="8" t="s">
        <v>13393</v>
      </c>
      <c r="E716" s="8" t="s">
        <v>6669</v>
      </c>
      <c r="F716" s="8" t="s">
        <v>13394</v>
      </c>
    </row>
    <row r="717" customHeight="1" spans="1:6">
      <c r="A717" s="6">
        <v>716</v>
      </c>
      <c r="B717" s="8" t="s">
        <v>13395</v>
      </c>
      <c r="C717" s="8" t="s">
        <v>13396</v>
      </c>
      <c r="D717" s="8" t="s">
        <v>13397</v>
      </c>
      <c r="E717" s="8" t="s">
        <v>283</v>
      </c>
      <c r="F717" s="8" t="s">
        <v>13398</v>
      </c>
    </row>
    <row r="718" customHeight="1" spans="1:6">
      <c r="A718" s="6">
        <v>717</v>
      </c>
      <c r="B718" s="8" t="s">
        <v>13395</v>
      </c>
      <c r="C718" s="8" t="s">
        <v>13396</v>
      </c>
      <c r="D718" s="8" t="s">
        <v>13397</v>
      </c>
      <c r="E718" s="8" t="s">
        <v>283</v>
      </c>
      <c r="F718" s="8" t="s">
        <v>13398</v>
      </c>
    </row>
    <row r="719" customHeight="1" spans="1:6">
      <c r="A719" s="6">
        <v>718</v>
      </c>
      <c r="B719" s="8" t="s">
        <v>13399</v>
      </c>
      <c r="C719" s="8" t="s">
        <v>13400</v>
      </c>
      <c r="D719" s="8" t="s">
        <v>13401</v>
      </c>
      <c r="E719" s="8" t="s">
        <v>1734</v>
      </c>
      <c r="F719" s="8" t="s">
        <v>13402</v>
      </c>
    </row>
    <row r="720" customHeight="1" spans="1:6">
      <c r="A720" s="6">
        <v>719</v>
      </c>
      <c r="B720" s="8" t="s">
        <v>13399</v>
      </c>
      <c r="C720" s="8" t="s">
        <v>13400</v>
      </c>
      <c r="D720" s="8" t="s">
        <v>13401</v>
      </c>
      <c r="E720" s="8" t="s">
        <v>1734</v>
      </c>
      <c r="F720" s="8" t="s">
        <v>13402</v>
      </c>
    </row>
    <row r="721" customHeight="1" spans="1:6">
      <c r="A721" s="6">
        <v>720</v>
      </c>
      <c r="B721" s="8" t="s">
        <v>13403</v>
      </c>
      <c r="C721" s="8" t="s">
        <v>13404</v>
      </c>
      <c r="D721" s="8" t="s">
        <v>13405</v>
      </c>
      <c r="E721" s="8" t="s">
        <v>8825</v>
      </c>
      <c r="F721" s="8" t="s">
        <v>13406</v>
      </c>
    </row>
    <row r="722" customHeight="1" spans="1:6">
      <c r="A722" s="6">
        <v>721</v>
      </c>
      <c r="B722" s="8" t="s">
        <v>13403</v>
      </c>
      <c r="C722" s="8" t="s">
        <v>13404</v>
      </c>
      <c r="D722" s="8" t="s">
        <v>13405</v>
      </c>
      <c r="E722" s="8" t="s">
        <v>8825</v>
      </c>
      <c r="F722" s="8" t="s">
        <v>13406</v>
      </c>
    </row>
    <row r="723" customHeight="1" spans="1:6">
      <c r="A723" s="6">
        <v>722</v>
      </c>
      <c r="B723" s="8" t="s">
        <v>13407</v>
      </c>
      <c r="C723" s="8" t="s">
        <v>13408</v>
      </c>
      <c r="D723" s="8" t="s">
        <v>13409</v>
      </c>
      <c r="E723" s="8" t="s">
        <v>216</v>
      </c>
      <c r="F723" s="8" t="s">
        <v>13410</v>
      </c>
    </row>
    <row r="724" customHeight="1" spans="1:6">
      <c r="A724" s="6">
        <v>723</v>
      </c>
      <c r="B724" s="8" t="s">
        <v>13407</v>
      </c>
      <c r="C724" s="8" t="s">
        <v>13408</v>
      </c>
      <c r="D724" s="8" t="s">
        <v>13409</v>
      </c>
      <c r="E724" s="8" t="s">
        <v>216</v>
      </c>
      <c r="F724" s="8" t="s">
        <v>13410</v>
      </c>
    </row>
    <row r="725" customHeight="1" spans="1:6">
      <c r="A725" s="6">
        <v>724</v>
      </c>
      <c r="B725" s="8" t="s">
        <v>13411</v>
      </c>
      <c r="C725" s="8" t="s">
        <v>13412</v>
      </c>
      <c r="D725" s="8" t="s">
        <v>13413</v>
      </c>
      <c r="E725" s="8" t="s">
        <v>256</v>
      </c>
      <c r="F725" s="8" t="s">
        <v>13414</v>
      </c>
    </row>
    <row r="726" customHeight="1" spans="1:6">
      <c r="A726" s="6">
        <v>725</v>
      </c>
      <c r="B726" s="8" t="s">
        <v>13411</v>
      </c>
      <c r="C726" s="8" t="s">
        <v>13412</v>
      </c>
      <c r="D726" s="8" t="s">
        <v>13413</v>
      </c>
      <c r="E726" s="8" t="s">
        <v>256</v>
      </c>
      <c r="F726" s="8" t="s">
        <v>13414</v>
      </c>
    </row>
    <row r="727" customHeight="1" spans="1:6">
      <c r="A727" s="6">
        <v>726</v>
      </c>
      <c r="B727" s="8" t="s">
        <v>13415</v>
      </c>
      <c r="C727" s="8" t="s">
        <v>13416</v>
      </c>
      <c r="D727" s="8" t="s">
        <v>13417</v>
      </c>
      <c r="E727" s="8" t="s">
        <v>1948</v>
      </c>
      <c r="F727" s="8" t="s">
        <v>13418</v>
      </c>
    </row>
    <row r="728" customHeight="1" spans="1:6">
      <c r="A728" s="6">
        <v>727</v>
      </c>
      <c r="B728" s="8" t="s">
        <v>13415</v>
      </c>
      <c r="C728" s="8" t="s">
        <v>13416</v>
      </c>
      <c r="D728" s="8" t="s">
        <v>13417</v>
      </c>
      <c r="E728" s="8" t="s">
        <v>1948</v>
      </c>
      <c r="F728" s="8" t="s">
        <v>13418</v>
      </c>
    </row>
    <row r="729" customHeight="1" spans="1:6">
      <c r="A729" s="6">
        <v>728</v>
      </c>
      <c r="B729" s="8" t="s">
        <v>13419</v>
      </c>
      <c r="C729" s="8" t="s">
        <v>13420</v>
      </c>
      <c r="D729" s="8" t="s">
        <v>13421</v>
      </c>
      <c r="E729" s="8" t="s">
        <v>216</v>
      </c>
      <c r="F729" s="8" t="s">
        <v>13422</v>
      </c>
    </row>
    <row r="730" customHeight="1" spans="1:6">
      <c r="A730" s="6">
        <v>729</v>
      </c>
      <c r="B730" s="8" t="s">
        <v>13419</v>
      </c>
      <c r="C730" s="8" t="s">
        <v>13420</v>
      </c>
      <c r="D730" s="8" t="s">
        <v>13421</v>
      </c>
      <c r="E730" s="8" t="s">
        <v>216</v>
      </c>
      <c r="F730" s="8" t="s">
        <v>13422</v>
      </c>
    </row>
    <row r="731" customHeight="1" spans="1:6">
      <c r="A731" s="6">
        <v>730</v>
      </c>
      <c r="B731" s="8" t="s">
        <v>13423</v>
      </c>
      <c r="C731" s="8" t="s">
        <v>13424</v>
      </c>
      <c r="D731" s="8" t="s">
        <v>13425</v>
      </c>
      <c r="E731" s="8" t="s">
        <v>6669</v>
      </c>
      <c r="F731" s="8" t="s">
        <v>13426</v>
      </c>
    </row>
    <row r="732" customHeight="1" spans="1:6">
      <c r="A732" s="6">
        <v>731</v>
      </c>
      <c r="B732" s="8" t="s">
        <v>13423</v>
      </c>
      <c r="C732" s="8" t="s">
        <v>13424</v>
      </c>
      <c r="D732" s="8" t="s">
        <v>13425</v>
      </c>
      <c r="E732" s="8" t="s">
        <v>6669</v>
      </c>
      <c r="F732" s="8" t="s">
        <v>13426</v>
      </c>
    </row>
    <row r="733" customHeight="1" spans="1:6">
      <c r="A733" s="6">
        <v>732</v>
      </c>
      <c r="B733" s="8" t="s">
        <v>13427</v>
      </c>
      <c r="C733" s="8" t="s">
        <v>13428</v>
      </c>
      <c r="D733" s="8" t="s">
        <v>13429</v>
      </c>
      <c r="E733" s="8" t="s">
        <v>6669</v>
      </c>
      <c r="F733" s="8" t="s">
        <v>13430</v>
      </c>
    </row>
    <row r="734" customHeight="1" spans="1:6">
      <c r="A734" s="6">
        <v>733</v>
      </c>
      <c r="B734" s="8" t="s">
        <v>13427</v>
      </c>
      <c r="C734" s="8" t="s">
        <v>13428</v>
      </c>
      <c r="D734" s="8" t="s">
        <v>13429</v>
      </c>
      <c r="E734" s="8" t="s">
        <v>6669</v>
      </c>
      <c r="F734" s="8" t="s">
        <v>13430</v>
      </c>
    </row>
    <row r="735" customHeight="1" spans="1:6">
      <c r="A735" s="6">
        <v>734</v>
      </c>
      <c r="B735" s="8" t="s">
        <v>13431</v>
      </c>
      <c r="C735" s="8" t="s">
        <v>13432</v>
      </c>
      <c r="D735" s="8" t="s">
        <v>13433</v>
      </c>
      <c r="E735" s="8" t="s">
        <v>6669</v>
      </c>
      <c r="F735" s="8" t="s">
        <v>13434</v>
      </c>
    </row>
    <row r="736" customHeight="1" spans="1:6">
      <c r="A736" s="6">
        <v>735</v>
      </c>
      <c r="B736" s="8" t="s">
        <v>13431</v>
      </c>
      <c r="C736" s="8" t="s">
        <v>13432</v>
      </c>
      <c r="D736" s="8" t="s">
        <v>13433</v>
      </c>
      <c r="E736" s="8" t="s">
        <v>6669</v>
      </c>
      <c r="F736" s="8" t="s">
        <v>13434</v>
      </c>
    </row>
    <row r="737" customHeight="1" spans="1:6">
      <c r="A737" s="6">
        <v>736</v>
      </c>
      <c r="B737" s="8" t="s">
        <v>13435</v>
      </c>
      <c r="C737" s="8" t="s">
        <v>13436</v>
      </c>
      <c r="D737" s="8" t="s">
        <v>13437</v>
      </c>
      <c r="E737" s="8" t="s">
        <v>375</v>
      </c>
      <c r="F737" s="8" t="s">
        <v>13438</v>
      </c>
    </row>
    <row r="738" customHeight="1" spans="1:6">
      <c r="A738" s="6">
        <v>737</v>
      </c>
      <c r="B738" s="8" t="s">
        <v>13435</v>
      </c>
      <c r="C738" s="8" t="s">
        <v>13436</v>
      </c>
      <c r="D738" s="8" t="s">
        <v>13437</v>
      </c>
      <c r="E738" s="8" t="s">
        <v>375</v>
      </c>
      <c r="F738" s="8" t="s">
        <v>13438</v>
      </c>
    </row>
    <row r="739" customHeight="1" spans="1:6">
      <c r="A739" s="6">
        <v>738</v>
      </c>
      <c r="B739" s="8" t="s">
        <v>13439</v>
      </c>
      <c r="C739" s="8" t="s">
        <v>13440</v>
      </c>
      <c r="D739" s="8" t="s">
        <v>13441</v>
      </c>
      <c r="E739" s="8" t="s">
        <v>3146</v>
      </c>
      <c r="F739" s="8" t="s">
        <v>13442</v>
      </c>
    </row>
    <row r="740" customHeight="1" spans="1:6">
      <c r="A740" s="6">
        <v>739</v>
      </c>
      <c r="B740" s="8" t="s">
        <v>13439</v>
      </c>
      <c r="C740" s="8" t="s">
        <v>13440</v>
      </c>
      <c r="D740" s="8" t="s">
        <v>13441</v>
      </c>
      <c r="E740" s="8" t="s">
        <v>3146</v>
      </c>
      <c r="F740" s="8" t="s">
        <v>13442</v>
      </c>
    </row>
    <row r="741" customHeight="1" spans="1:6">
      <c r="A741" s="6">
        <v>740</v>
      </c>
      <c r="B741" s="7" t="str">
        <f>"978-7-121-41520-3"</f>
        <v>978-7-121-41520-3</v>
      </c>
      <c r="C741" s="7" t="str">
        <f>"剑指Offer．数据结构与算法名企面试题精讲：专项突破版"</f>
        <v>剑指Offer．数据结构与算法名企面试题精讲：专项突破版</v>
      </c>
      <c r="D741" s="7" t="str">
        <f>"何海涛著"</f>
        <v>何海涛著</v>
      </c>
      <c r="E741" s="7" t="str">
        <f>"电子工业出版社"</f>
        <v>电子工业出版社</v>
      </c>
      <c r="F741" s="7" t="str">
        <f>"TP311/42"</f>
        <v>TP311/42</v>
      </c>
    </row>
    <row r="742" customHeight="1" spans="1:6">
      <c r="A742" s="6">
        <v>741</v>
      </c>
      <c r="B742" s="7" t="str">
        <f>"978-7-121-41520-3"</f>
        <v>978-7-121-41520-3</v>
      </c>
      <c r="C742" s="7" t="str">
        <f>"剑指Offer．数据结构与算法名企面试题精讲：专项突破版"</f>
        <v>剑指Offer．数据结构与算法名企面试题精讲：专项突破版</v>
      </c>
      <c r="D742" s="7" t="str">
        <f>"何海涛著"</f>
        <v>何海涛著</v>
      </c>
      <c r="E742" s="7" t="str">
        <f>"电子工业出版社"</f>
        <v>电子工业出版社</v>
      </c>
      <c r="F742" s="7" t="str">
        <f>"TP311/42"</f>
        <v>TP311/42</v>
      </c>
    </row>
    <row r="743" customHeight="1" spans="1:6">
      <c r="A743" s="6">
        <v>742</v>
      </c>
      <c r="B743" s="8" t="s">
        <v>13443</v>
      </c>
      <c r="C743" s="8" t="s">
        <v>13444</v>
      </c>
      <c r="D743" s="8" t="s">
        <v>13445</v>
      </c>
      <c r="E743" s="8" t="s">
        <v>256</v>
      </c>
      <c r="F743" s="8" t="s">
        <v>13446</v>
      </c>
    </row>
    <row r="744" customHeight="1" spans="1:6">
      <c r="A744" s="6">
        <v>743</v>
      </c>
      <c r="B744" s="8" t="s">
        <v>13443</v>
      </c>
      <c r="C744" s="8" t="s">
        <v>13444</v>
      </c>
      <c r="D744" s="8" t="s">
        <v>13445</v>
      </c>
      <c r="E744" s="8" t="s">
        <v>256</v>
      </c>
      <c r="F744" s="8" t="s">
        <v>13446</v>
      </c>
    </row>
    <row r="745" customHeight="1" spans="1:6">
      <c r="A745" s="6">
        <v>744</v>
      </c>
      <c r="B745" s="8" t="s">
        <v>13447</v>
      </c>
      <c r="C745" s="8" t="s">
        <v>13448</v>
      </c>
      <c r="D745" s="8" t="s">
        <v>13445</v>
      </c>
      <c r="E745" s="8" t="s">
        <v>256</v>
      </c>
      <c r="F745" s="8" t="s">
        <v>13449</v>
      </c>
    </row>
    <row r="746" customHeight="1" spans="1:6">
      <c r="A746" s="6">
        <v>745</v>
      </c>
      <c r="B746" s="8" t="s">
        <v>13447</v>
      </c>
      <c r="C746" s="8" t="s">
        <v>13448</v>
      </c>
      <c r="D746" s="8" t="s">
        <v>13445</v>
      </c>
      <c r="E746" s="8" t="s">
        <v>256</v>
      </c>
      <c r="F746" s="8" t="s">
        <v>13449</v>
      </c>
    </row>
    <row r="747" customHeight="1" spans="1:6">
      <c r="A747" s="6">
        <v>746</v>
      </c>
      <c r="B747" s="8" t="s">
        <v>13450</v>
      </c>
      <c r="C747" s="8" t="s">
        <v>13451</v>
      </c>
      <c r="D747" s="8" t="s">
        <v>13452</v>
      </c>
      <c r="E747" s="8" t="s">
        <v>4950</v>
      </c>
      <c r="F747" s="8" t="s">
        <v>13453</v>
      </c>
    </row>
    <row r="748" customHeight="1" spans="1:6">
      <c r="A748" s="6">
        <v>747</v>
      </c>
      <c r="B748" s="8" t="s">
        <v>13454</v>
      </c>
      <c r="C748" s="8" t="s">
        <v>13455</v>
      </c>
      <c r="D748" s="8" t="s">
        <v>13456</v>
      </c>
      <c r="E748" s="8" t="s">
        <v>256</v>
      </c>
      <c r="F748" s="8" t="s">
        <v>13457</v>
      </c>
    </row>
    <row r="749" customHeight="1" spans="1:6">
      <c r="A749" s="6">
        <v>748</v>
      </c>
      <c r="B749" s="8" t="s">
        <v>13454</v>
      </c>
      <c r="C749" s="8" t="s">
        <v>13455</v>
      </c>
      <c r="D749" s="8" t="s">
        <v>13456</v>
      </c>
      <c r="E749" s="8" t="s">
        <v>256</v>
      </c>
      <c r="F749" s="8" t="s">
        <v>13457</v>
      </c>
    </row>
    <row r="750" customHeight="1" spans="1:6">
      <c r="A750" s="6">
        <v>749</v>
      </c>
      <c r="B750" s="7" t="str">
        <f>"978-7-121-40856-4"</f>
        <v>978-7-121-40856-4</v>
      </c>
      <c r="C750" s="7" t="str">
        <f>"嵌入式C语言自我修养：从芯片、编译器到操作系统"</f>
        <v>嵌入式C语言自我修养：从芯片、编译器到操作系统</v>
      </c>
      <c r="D750" s="7" t="str">
        <f>"王利涛编著"</f>
        <v>王利涛编著</v>
      </c>
      <c r="E750" s="7" t="str">
        <f>"电子工业出版社"</f>
        <v>电子工业出版社</v>
      </c>
      <c r="F750" s="7" t="str">
        <f>"TP312.8C/43"</f>
        <v>TP312.8C/43</v>
      </c>
    </row>
    <row r="751" customHeight="1" spans="1:6">
      <c r="A751" s="6">
        <v>750</v>
      </c>
      <c r="B751" s="7" t="str">
        <f>"978-7-121-40856-4"</f>
        <v>978-7-121-40856-4</v>
      </c>
      <c r="C751" s="7" t="str">
        <f>"嵌入式C语言自我修养：从芯片、编译器到操作系统"</f>
        <v>嵌入式C语言自我修养：从芯片、编译器到操作系统</v>
      </c>
      <c r="D751" s="7" t="str">
        <f>"王利涛编著"</f>
        <v>王利涛编著</v>
      </c>
      <c r="E751" s="7" t="str">
        <f>"电子工业出版社"</f>
        <v>电子工业出版社</v>
      </c>
      <c r="F751" s="7" t="str">
        <f>"TP312.8C/43"</f>
        <v>TP312.8C/43</v>
      </c>
    </row>
    <row r="752" customHeight="1" spans="1:6">
      <c r="A752" s="6">
        <v>751</v>
      </c>
      <c r="B752" s="8" t="s">
        <v>13458</v>
      </c>
      <c r="C752" s="8" t="s">
        <v>13459</v>
      </c>
      <c r="D752" s="8" t="s">
        <v>13460</v>
      </c>
      <c r="E752" s="8" t="s">
        <v>288</v>
      </c>
      <c r="F752" s="8" t="s">
        <v>13461</v>
      </c>
    </row>
    <row r="753" customHeight="1" spans="1:6">
      <c r="A753" s="6">
        <v>752</v>
      </c>
      <c r="B753" s="8" t="s">
        <v>13458</v>
      </c>
      <c r="C753" s="8" t="s">
        <v>13459</v>
      </c>
      <c r="D753" s="8" t="s">
        <v>13460</v>
      </c>
      <c r="E753" s="8" t="s">
        <v>288</v>
      </c>
      <c r="F753" s="8" t="s">
        <v>13461</v>
      </c>
    </row>
    <row r="754" customHeight="1" spans="1:6">
      <c r="A754" s="6">
        <v>753</v>
      </c>
      <c r="B754" s="8" t="s">
        <v>13462</v>
      </c>
      <c r="C754" s="8" t="s">
        <v>13463</v>
      </c>
      <c r="D754" s="8" t="s">
        <v>13464</v>
      </c>
      <c r="E754" s="8" t="s">
        <v>13072</v>
      </c>
      <c r="F754" s="8" t="s">
        <v>13465</v>
      </c>
    </row>
    <row r="755" customHeight="1" spans="1:6">
      <c r="A755" s="6">
        <v>754</v>
      </c>
      <c r="B755" s="8" t="s">
        <v>13462</v>
      </c>
      <c r="C755" s="8" t="s">
        <v>13463</v>
      </c>
      <c r="D755" s="8" t="s">
        <v>13464</v>
      </c>
      <c r="E755" s="8" t="s">
        <v>13072</v>
      </c>
      <c r="F755" s="8" t="s">
        <v>13465</v>
      </c>
    </row>
    <row r="756" customHeight="1" spans="1:6">
      <c r="A756" s="6">
        <v>755</v>
      </c>
      <c r="B756" s="8" t="s">
        <v>13466</v>
      </c>
      <c r="C756" s="8" t="s">
        <v>13467</v>
      </c>
      <c r="D756" s="8" t="s">
        <v>13468</v>
      </c>
      <c r="E756" s="8" t="s">
        <v>1342</v>
      </c>
      <c r="F756" s="8" t="s">
        <v>13469</v>
      </c>
    </row>
    <row r="757" customHeight="1" spans="1:6">
      <c r="A757" s="6">
        <v>756</v>
      </c>
      <c r="B757" s="8" t="s">
        <v>13466</v>
      </c>
      <c r="C757" s="8" t="s">
        <v>13467</v>
      </c>
      <c r="D757" s="8" t="s">
        <v>13468</v>
      </c>
      <c r="E757" s="8" t="s">
        <v>1342</v>
      </c>
      <c r="F757" s="8" t="s">
        <v>13469</v>
      </c>
    </row>
    <row r="758" customHeight="1" spans="1:6">
      <c r="A758" s="6">
        <v>757</v>
      </c>
      <c r="B758" s="8" t="s">
        <v>13470</v>
      </c>
      <c r="C758" s="8" t="s">
        <v>13471</v>
      </c>
      <c r="D758" s="8" t="s">
        <v>13472</v>
      </c>
      <c r="E758" s="8" t="s">
        <v>216</v>
      </c>
      <c r="F758" s="8" t="s">
        <v>13473</v>
      </c>
    </row>
    <row r="759" customHeight="1" spans="1:6">
      <c r="A759" s="6">
        <v>758</v>
      </c>
      <c r="B759" s="8" t="s">
        <v>13470</v>
      </c>
      <c r="C759" s="8" t="s">
        <v>13471</v>
      </c>
      <c r="D759" s="8" t="s">
        <v>13472</v>
      </c>
      <c r="E759" s="8" t="s">
        <v>216</v>
      </c>
      <c r="F759" s="8" t="s">
        <v>13473</v>
      </c>
    </row>
    <row r="760" customHeight="1" spans="1:6">
      <c r="A760" s="6">
        <v>759</v>
      </c>
      <c r="B760" s="8" t="s">
        <v>13474</v>
      </c>
      <c r="C760" s="8" t="s">
        <v>13475</v>
      </c>
      <c r="D760" s="8" t="s">
        <v>13476</v>
      </c>
      <c r="E760" s="8" t="s">
        <v>216</v>
      </c>
      <c r="F760" s="8" t="s">
        <v>13477</v>
      </c>
    </row>
    <row r="761" customHeight="1" spans="1:6">
      <c r="A761" s="6">
        <v>760</v>
      </c>
      <c r="B761" s="8" t="s">
        <v>13474</v>
      </c>
      <c r="C761" s="8" t="s">
        <v>13475</v>
      </c>
      <c r="D761" s="8" t="s">
        <v>13476</v>
      </c>
      <c r="E761" s="8" t="s">
        <v>216</v>
      </c>
      <c r="F761" s="8" t="s">
        <v>13477</v>
      </c>
    </row>
    <row r="762" customHeight="1" spans="1:6">
      <c r="A762" s="6">
        <v>761</v>
      </c>
      <c r="B762" s="8" t="s">
        <v>13478</v>
      </c>
      <c r="C762" s="8" t="s">
        <v>13479</v>
      </c>
      <c r="D762" s="8" t="s">
        <v>13480</v>
      </c>
      <c r="E762" s="8" t="s">
        <v>3146</v>
      </c>
      <c r="F762" s="8" t="s">
        <v>13481</v>
      </c>
    </row>
    <row r="763" customHeight="1" spans="1:6">
      <c r="A763" s="6">
        <v>762</v>
      </c>
      <c r="B763" s="8" t="s">
        <v>13478</v>
      </c>
      <c r="C763" s="8" t="s">
        <v>13479</v>
      </c>
      <c r="D763" s="8" t="s">
        <v>13480</v>
      </c>
      <c r="E763" s="8" t="s">
        <v>3146</v>
      </c>
      <c r="F763" s="8" t="s">
        <v>13481</v>
      </c>
    </row>
    <row r="764" customHeight="1" spans="1:6">
      <c r="A764" s="6">
        <v>763</v>
      </c>
      <c r="B764" s="8" t="s">
        <v>13482</v>
      </c>
      <c r="C764" s="8" t="s">
        <v>13483</v>
      </c>
      <c r="D764" s="8" t="s">
        <v>13484</v>
      </c>
      <c r="E764" s="8" t="s">
        <v>4855</v>
      </c>
      <c r="F764" s="8" t="s">
        <v>13485</v>
      </c>
    </row>
    <row r="765" customHeight="1" spans="1:6">
      <c r="A765" s="6">
        <v>764</v>
      </c>
      <c r="B765" s="8" t="s">
        <v>13482</v>
      </c>
      <c r="C765" s="8" t="s">
        <v>13483</v>
      </c>
      <c r="D765" s="8" t="s">
        <v>13484</v>
      </c>
      <c r="E765" s="8" t="s">
        <v>4855</v>
      </c>
      <c r="F765" s="8" t="s">
        <v>13485</v>
      </c>
    </row>
    <row r="766" customHeight="1" spans="1:6">
      <c r="A766" s="6">
        <v>765</v>
      </c>
      <c r="B766" s="8" t="s">
        <v>13486</v>
      </c>
      <c r="C766" s="8" t="s">
        <v>13487</v>
      </c>
      <c r="D766" s="8" t="s">
        <v>13488</v>
      </c>
      <c r="E766" s="8" t="s">
        <v>3146</v>
      </c>
      <c r="F766" s="8" t="s">
        <v>13489</v>
      </c>
    </row>
    <row r="767" customHeight="1" spans="1:6">
      <c r="A767" s="6">
        <v>766</v>
      </c>
      <c r="B767" s="8" t="s">
        <v>13486</v>
      </c>
      <c r="C767" s="8" t="s">
        <v>13487</v>
      </c>
      <c r="D767" s="8" t="s">
        <v>13488</v>
      </c>
      <c r="E767" s="8" t="s">
        <v>3146</v>
      </c>
      <c r="F767" s="8" t="s">
        <v>13489</v>
      </c>
    </row>
    <row r="768" customHeight="1" spans="1:6">
      <c r="A768" s="6">
        <v>767</v>
      </c>
      <c r="B768" s="8" t="s">
        <v>13490</v>
      </c>
      <c r="C768" s="8" t="s">
        <v>13491</v>
      </c>
      <c r="D768" s="8" t="s">
        <v>13492</v>
      </c>
      <c r="E768" s="8" t="s">
        <v>6112</v>
      </c>
      <c r="F768" s="8" t="s">
        <v>13493</v>
      </c>
    </row>
    <row r="769" customHeight="1" spans="1:6">
      <c r="A769" s="6">
        <v>768</v>
      </c>
      <c r="B769" s="8" t="s">
        <v>13490</v>
      </c>
      <c r="C769" s="8" t="s">
        <v>13491</v>
      </c>
      <c r="D769" s="8" t="s">
        <v>13492</v>
      </c>
      <c r="E769" s="8" t="s">
        <v>6112</v>
      </c>
      <c r="F769" s="8" t="s">
        <v>13493</v>
      </c>
    </row>
    <row r="770" customHeight="1" spans="1:6">
      <c r="A770" s="6">
        <v>769</v>
      </c>
      <c r="B770" s="8" t="s">
        <v>13494</v>
      </c>
      <c r="C770" s="8" t="s">
        <v>13495</v>
      </c>
      <c r="D770" s="8" t="s">
        <v>13496</v>
      </c>
      <c r="E770" s="8" t="s">
        <v>256</v>
      </c>
      <c r="F770" s="8" t="s">
        <v>13497</v>
      </c>
    </row>
    <row r="771" customHeight="1" spans="1:6">
      <c r="A771" s="6">
        <v>770</v>
      </c>
      <c r="B771" s="8" t="s">
        <v>13494</v>
      </c>
      <c r="C771" s="8" t="s">
        <v>13495</v>
      </c>
      <c r="D771" s="8" t="s">
        <v>13496</v>
      </c>
      <c r="E771" s="8" t="s">
        <v>256</v>
      </c>
      <c r="F771" s="8" t="s">
        <v>13497</v>
      </c>
    </row>
    <row r="772" customHeight="1" spans="1:6">
      <c r="A772" s="6">
        <v>771</v>
      </c>
      <c r="B772" s="7" t="str">
        <f>"978-7-121-36035-0"</f>
        <v>978-7-121-36035-0</v>
      </c>
      <c r="C772" s="7" t="str">
        <f>"Java多线程与Socket：实战微服务框架"</f>
        <v>Java多线程与Socket：实战微服务框架</v>
      </c>
      <c r="D772" s="7" t="str">
        <f>"庞永华著"</f>
        <v>庞永华著</v>
      </c>
      <c r="E772" s="7" t="str">
        <f>"电子工业出版社"</f>
        <v>电子工业出版社</v>
      </c>
      <c r="F772" s="7" t="str">
        <f>"TP312.8JA/91"</f>
        <v>TP312.8JA/91</v>
      </c>
    </row>
    <row r="773" customHeight="1" spans="1:6">
      <c r="A773" s="6">
        <v>772</v>
      </c>
      <c r="B773" s="7" t="str">
        <f>"978-7-121-36035-0"</f>
        <v>978-7-121-36035-0</v>
      </c>
      <c r="C773" s="7" t="str">
        <f>"Java多线程与Socket：实战微服务框架"</f>
        <v>Java多线程与Socket：实战微服务框架</v>
      </c>
      <c r="D773" s="7" t="str">
        <f>"庞永华著"</f>
        <v>庞永华著</v>
      </c>
      <c r="E773" s="7" t="str">
        <f>"电子工业出版社"</f>
        <v>电子工业出版社</v>
      </c>
      <c r="F773" s="7" t="str">
        <f>"TP312.8JA/91"</f>
        <v>TP312.8JA/91</v>
      </c>
    </row>
    <row r="774" customHeight="1" spans="1:6">
      <c r="A774" s="6">
        <v>773</v>
      </c>
      <c r="B774" s="8" t="s">
        <v>13498</v>
      </c>
      <c r="C774" s="8" t="s">
        <v>13499</v>
      </c>
      <c r="D774" s="8" t="s">
        <v>13500</v>
      </c>
      <c r="E774" s="8" t="s">
        <v>1948</v>
      </c>
      <c r="F774" s="8" t="s">
        <v>13501</v>
      </c>
    </row>
    <row r="775" customHeight="1" spans="1:6">
      <c r="A775" s="6">
        <v>774</v>
      </c>
      <c r="B775" s="8" t="s">
        <v>13498</v>
      </c>
      <c r="C775" s="8" t="s">
        <v>13499</v>
      </c>
      <c r="D775" s="8" t="s">
        <v>13500</v>
      </c>
      <c r="E775" s="8" t="s">
        <v>1948</v>
      </c>
      <c r="F775" s="8" t="s">
        <v>13501</v>
      </c>
    </row>
    <row r="776" customHeight="1" spans="1:6">
      <c r="A776" s="6">
        <v>775</v>
      </c>
      <c r="B776" s="8" t="s">
        <v>13502</v>
      </c>
      <c r="C776" s="8" t="s">
        <v>13503</v>
      </c>
      <c r="D776" s="8" t="s">
        <v>13504</v>
      </c>
      <c r="E776" s="8" t="s">
        <v>3146</v>
      </c>
      <c r="F776" s="8" t="s">
        <v>13505</v>
      </c>
    </row>
    <row r="777" customHeight="1" spans="1:6">
      <c r="A777" s="6">
        <v>776</v>
      </c>
      <c r="B777" s="8" t="s">
        <v>13502</v>
      </c>
      <c r="C777" s="8" t="s">
        <v>13503</v>
      </c>
      <c r="D777" s="8" t="s">
        <v>13504</v>
      </c>
      <c r="E777" s="8" t="s">
        <v>3146</v>
      </c>
      <c r="F777" s="8" t="s">
        <v>13505</v>
      </c>
    </row>
    <row r="778" customHeight="1" spans="1:6">
      <c r="A778" s="6">
        <v>777</v>
      </c>
      <c r="B778" s="8" t="s">
        <v>13506</v>
      </c>
      <c r="C778" s="8" t="s">
        <v>13507</v>
      </c>
      <c r="D778" s="8" t="s">
        <v>13508</v>
      </c>
      <c r="E778" s="8" t="s">
        <v>3146</v>
      </c>
      <c r="F778" s="8" t="s">
        <v>13509</v>
      </c>
    </row>
    <row r="779" customHeight="1" spans="1:6">
      <c r="A779" s="6">
        <v>778</v>
      </c>
      <c r="B779" s="8" t="s">
        <v>13506</v>
      </c>
      <c r="C779" s="8" t="s">
        <v>13507</v>
      </c>
      <c r="D779" s="8" t="s">
        <v>13508</v>
      </c>
      <c r="E779" s="8" t="s">
        <v>3146</v>
      </c>
      <c r="F779" s="8" t="s">
        <v>13509</v>
      </c>
    </row>
    <row r="780" customHeight="1" spans="1:6">
      <c r="A780" s="6">
        <v>779</v>
      </c>
      <c r="B780" s="8" t="s">
        <v>13510</v>
      </c>
      <c r="C780" s="8" t="s">
        <v>13511</v>
      </c>
      <c r="D780" s="8" t="s">
        <v>13512</v>
      </c>
      <c r="E780" s="8" t="s">
        <v>216</v>
      </c>
      <c r="F780" s="8" t="s">
        <v>13513</v>
      </c>
    </row>
    <row r="781" customHeight="1" spans="1:6">
      <c r="A781" s="6">
        <v>780</v>
      </c>
      <c r="B781" s="8" t="s">
        <v>13510</v>
      </c>
      <c r="C781" s="8" t="s">
        <v>13511</v>
      </c>
      <c r="D781" s="8" t="s">
        <v>13512</v>
      </c>
      <c r="E781" s="8" t="s">
        <v>216</v>
      </c>
      <c r="F781" s="8" t="s">
        <v>13513</v>
      </c>
    </row>
    <row r="782" customHeight="1" spans="1:6">
      <c r="A782" s="6">
        <v>781</v>
      </c>
      <c r="B782" s="8" t="s">
        <v>13514</v>
      </c>
      <c r="C782" s="8" t="s">
        <v>13515</v>
      </c>
      <c r="D782" s="8" t="s">
        <v>13516</v>
      </c>
      <c r="E782" s="8" t="s">
        <v>530</v>
      </c>
      <c r="F782" s="8" t="s">
        <v>13517</v>
      </c>
    </row>
    <row r="783" customHeight="1" spans="1:6">
      <c r="A783" s="6">
        <v>782</v>
      </c>
      <c r="B783" s="8" t="s">
        <v>13514</v>
      </c>
      <c r="C783" s="8" t="s">
        <v>13515</v>
      </c>
      <c r="D783" s="8" t="s">
        <v>13516</v>
      </c>
      <c r="E783" s="8" t="s">
        <v>530</v>
      </c>
      <c r="F783" s="8" t="s">
        <v>13517</v>
      </c>
    </row>
    <row r="784" customHeight="1" spans="1:6">
      <c r="A784" s="6">
        <v>783</v>
      </c>
      <c r="B784" s="8" t="s">
        <v>13518</v>
      </c>
      <c r="C784" s="8" t="s">
        <v>13519</v>
      </c>
      <c r="D784" s="8" t="s">
        <v>13520</v>
      </c>
      <c r="E784" s="8" t="s">
        <v>216</v>
      </c>
      <c r="F784" s="8" t="s">
        <v>13521</v>
      </c>
    </row>
    <row r="785" customHeight="1" spans="1:6">
      <c r="A785" s="6">
        <v>784</v>
      </c>
      <c r="B785" s="8" t="s">
        <v>13518</v>
      </c>
      <c r="C785" s="8" t="s">
        <v>13519</v>
      </c>
      <c r="D785" s="8" t="s">
        <v>13520</v>
      </c>
      <c r="E785" s="8" t="s">
        <v>216</v>
      </c>
      <c r="F785" s="8" t="s">
        <v>13521</v>
      </c>
    </row>
    <row r="786" customHeight="1" spans="1:6">
      <c r="A786" s="6">
        <v>785</v>
      </c>
      <c r="B786" s="8" t="s">
        <v>13522</v>
      </c>
      <c r="C786" s="8" t="s">
        <v>13523</v>
      </c>
      <c r="D786" s="8" t="s">
        <v>13524</v>
      </c>
      <c r="E786" s="8" t="s">
        <v>10500</v>
      </c>
      <c r="F786" s="8" t="s">
        <v>13525</v>
      </c>
    </row>
    <row r="787" customHeight="1" spans="1:6">
      <c r="A787" s="6">
        <v>786</v>
      </c>
      <c r="B787" s="8" t="s">
        <v>13522</v>
      </c>
      <c r="C787" s="8" t="s">
        <v>13523</v>
      </c>
      <c r="D787" s="8" t="s">
        <v>13524</v>
      </c>
      <c r="E787" s="8" t="s">
        <v>10500</v>
      </c>
      <c r="F787" s="8" t="s">
        <v>13525</v>
      </c>
    </row>
    <row r="788" customHeight="1" spans="1:6">
      <c r="A788" s="6">
        <v>787</v>
      </c>
      <c r="B788" s="8" t="s">
        <v>13526</v>
      </c>
      <c r="C788" s="8" t="s">
        <v>13527</v>
      </c>
      <c r="D788" s="8" t="s">
        <v>13528</v>
      </c>
      <c r="E788" s="8" t="s">
        <v>3146</v>
      </c>
      <c r="F788" s="8" t="s">
        <v>13529</v>
      </c>
    </row>
    <row r="789" customHeight="1" spans="1:6">
      <c r="A789" s="6">
        <v>788</v>
      </c>
      <c r="B789" s="8" t="s">
        <v>13526</v>
      </c>
      <c r="C789" s="8" t="s">
        <v>13527</v>
      </c>
      <c r="D789" s="8" t="s">
        <v>13528</v>
      </c>
      <c r="E789" s="8" t="s">
        <v>3146</v>
      </c>
      <c r="F789" s="8" t="s">
        <v>13529</v>
      </c>
    </row>
    <row r="790" customHeight="1" spans="1:6">
      <c r="A790" s="6">
        <v>789</v>
      </c>
      <c r="B790" s="8" t="s">
        <v>13530</v>
      </c>
      <c r="C790" s="8" t="s">
        <v>13531</v>
      </c>
      <c r="D790" s="8" t="s">
        <v>13532</v>
      </c>
      <c r="E790" s="8" t="s">
        <v>13533</v>
      </c>
      <c r="F790" s="8" t="s">
        <v>13534</v>
      </c>
    </row>
    <row r="791" customHeight="1" spans="1:6">
      <c r="A791" s="6">
        <v>790</v>
      </c>
      <c r="B791" s="8" t="s">
        <v>13530</v>
      </c>
      <c r="C791" s="8" t="s">
        <v>13531</v>
      </c>
      <c r="D791" s="8" t="s">
        <v>13532</v>
      </c>
      <c r="E791" s="8" t="s">
        <v>13533</v>
      </c>
      <c r="F791" s="8" t="s">
        <v>13534</v>
      </c>
    </row>
    <row r="792" customHeight="1" spans="1:6">
      <c r="A792" s="6">
        <v>791</v>
      </c>
      <c r="B792" s="8" t="s">
        <v>13535</v>
      </c>
      <c r="C792" s="8" t="s">
        <v>13536</v>
      </c>
      <c r="D792" s="8" t="s">
        <v>13537</v>
      </c>
      <c r="E792" s="8" t="s">
        <v>71</v>
      </c>
      <c r="F792" s="8" t="s">
        <v>13538</v>
      </c>
    </row>
    <row r="793" customHeight="1" spans="1:6">
      <c r="A793" s="6">
        <v>792</v>
      </c>
      <c r="B793" s="8" t="s">
        <v>13535</v>
      </c>
      <c r="C793" s="8" t="s">
        <v>13536</v>
      </c>
      <c r="D793" s="8" t="s">
        <v>13537</v>
      </c>
      <c r="E793" s="8" t="s">
        <v>71</v>
      </c>
      <c r="F793" s="8" t="s">
        <v>13538</v>
      </c>
    </row>
    <row r="794" customHeight="1" spans="1:6">
      <c r="A794" s="6">
        <v>793</v>
      </c>
      <c r="B794" s="8" t="s">
        <v>13539</v>
      </c>
      <c r="C794" s="8" t="s">
        <v>13540</v>
      </c>
      <c r="D794" s="8" t="s">
        <v>13541</v>
      </c>
      <c r="E794" s="8" t="s">
        <v>216</v>
      </c>
      <c r="F794" s="8" t="s">
        <v>13542</v>
      </c>
    </row>
    <row r="795" customHeight="1" spans="1:6">
      <c r="A795" s="6">
        <v>794</v>
      </c>
      <c r="B795" s="8" t="s">
        <v>13539</v>
      </c>
      <c r="C795" s="8" t="s">
        <v>13540</v>
      </c>
      <c r="D795" s="8" t="s">
        <v>13541</v>
      </c>
      <c r="E795" s="8" t="s">
        <v>216</v>
      </c>
      <c r="F795" s="8" t="s">
        <v>13542</v>
      </c>
    </row>
    <row r="796" customHeight="1" spans="1:6">
      <c r="A796" s="6">
        <v>795</v>
      </c>
      <c r="B796" s="7" t="str">
        <f>"978-7-302-50698-0"</f>
        <v>978-7-302-50698-0</v>
      </c>
      <c r="C796" s="7" t="str">
        <f>"UML 2面向对象分析与设计"</f>
        <v>UML 2面向对象分析与设计</v>
      </c>
      <c r="D796" s="7" t="str">
        <f>"谭火彬编著"</f>
        <v>谭火彬编著</v>
      </c>
      <c r="E796" s="7" t="str">
        <f>"清华大学出版社"</f>
        <v>清华大学出版社</v>
      </c>
      <c r="F796" s="7" t="str">
        <f>"TP312/826=2D"</f>
        <v>TP312/826=2D</v>
      </c>
    </row>
    <row r="797" customHeight="1" spans="1:6">
      <c r="A797" s="6">
        <v>796</v>
      </c>
      <c r="B797" s="7" t="str">
        <f>"978-7-302-50698-0"</f>
        <v>978-7-302-50698-0</v>
      </c>
      <c r="C797" s="7" t="str">
        <f>"UML 2面向对象分析与设计"</f>
        <v>UML 2面向对象分析与设计</v>
      </c>
      <c r="D797" s="7" t="str">
        <f>"谭火彬编著"</f>
        <v>谭火彬编著</v>
      </c>
      <c r="E797" s="7" t="str">
        <f>"清华大学出版社"</f>
        <v>清华大学出版社</v>
      </c>
      <c r="F797" s="7" t="str">
        <f>"TP312/826=2D"</f>
        <v>TP312/826=2D</v>
      </c>
    </row>
    <row r="798" customHeight="1" spans="1:6">
      <c r="A798" s="6">
        <v>797</v>
      </c>
      <c r="B798" s="8" t="s">
        <v>13543</v>
      </c>
      <c r="C798" s="8" t="s">
        <v>13544</v>
      </c>
      <c r="D798" s="8" t="s">
        <v>13545</v>
      </c>
      <c r="E798" s="8" t="s">
        <v>58</v>
      </c>
      <c r="F798" s="8" t="s">
        <v>13546</v>
      </c>
    </row>
    <row r="799" customHeight="1" spans="1:6">
      <c r="A799" s="6">
        <v>798</v>
      </c>
      <c r="B799" s="8" t="s">
        <v>13543</v>
      </c>
      <c r="C799" s="8" t="s">
        <v>13544</v>
      </c>
      <c r="D799" s="8" t="s">
        <v>13545</v>
      </c>
      <c r="E799" s="8" t="s">
        <v>58</v>
      </c>
      <c r="F799" s="8" t="s">
        <v>13546</v>
      </c>
    </row>
    <row r="800" customHeight="1" spans="1:6">
      <c r="A800" s="6">
        <v>799</v>
      </c>
      <c r="B800" s="8" t="s">
        <v>13547</v>
      </c>
      <c r="C800" s="8" t="s">
        <v>13548</v>
      </c>
      <c r="D800" s="8" t="s">
        <v>13549</v>
      </c>
      <c r="E800" s="8" t="s">
        <v>256</v>
      </c>
      <c r="F800" s="8" t="s">
        <v>13550</v>
      </c>
    </row>
    <row r="801" customHeight="1" spans="1:6">
      <c r="A801" s="6">
        <v>800</v>
      </c>
      <c r="B801" s="8" t="s">
        <v>13547</v>
      </c>
      <c r="C801" s="8" t="s">
        <v>13548</v>
      </c>
      <c r="D801" s="8" t="s">
        <v>13549</v>
      </c>
      <c r="E801" s="8" t="s">
        <v>256</v>
      </c>
      <c r="F801" s="8" t="s">
        <v>13550</v>
      </c>
    </row>
    <row r="802" customHeight="1" spans="1:6">
      <c r="A802" s="6">
        <v>801</v>
      </c>
      <c r="B802" s="8" t="s">
        <v>13551</v>
      </c>
      <c r="C802" s="8" t="s">
        <v>13552</v>
      </c>
      <c r="D802" s="8" t="s">
        <v>13553</v>
      </c>
      <c r="E802" s="8" t="s">
        <v>216</v>
      </c>
      <c r="F802" s="8" t="s">
        <v>13554</v>
      </c>
    </row>
    <row r="803" customHeight="1" spans="1:6">
      <c r="A803" s="6">
        <v>802</v>
      </c>
      <c r="B803" s="8" t="s">
        <v>13551</v>
      </c>
      <c r="C803" s="8" t="s">
        <v>13552</v>
      </c>
      <c r="D803" s="8" t="s">
        <v>13553</v>
      </c>
      <c r="E803" s="8" t="s">
        <v>216</v>
      </c>
      <c r="F803" s="8" t="s">
        <v>13554</v>
      </c>
    </row>
    <row r="804" customHeight="1" spans="1:6">
      <c r="A804" s="6">
        <v>803</v>
      </c>
      <c r="B804" s="8" t="s">
        <v>13555</v>
      </c>
      <c r="C804" s="8" t="s">
        <v>13556</v>
      </c>
      <c r="D804" s="8" t="s">
        <v>13557</v>
      </c>
      <c r="E804" s="8" t="s">
        <v>216</v>
      </c>
      <c r="F804" s="8" t="s">
        <v>13558</v>
      </c>
    </row>
    <row r="805" customHeight="1" spans="1:6">
      <c r="A805" s="6">
        <v>804</v>
      </c>
      <c r="B805" s="8" t="s">
        <v>13555</v>
      </c>
      <c r="C805" s="8" t="s">
        <v>13556</v>
      </c>
      <c r="D805" s="8" t="s">
        <v>13557</v>
      </c>
      <c r="E805" s="8" t="s">
        <v>216</v>
      </c>
      <c r="F805" s="8" t="s">
        <v>13558</v>
      </c>
    </row>
    <row r="806" customHeight="1" spans="1:6">
      <c r="A806" s="6">
        <v>805</v>
      </c>
      <c r="B806" s="8" t="s">
        <v>13559</v>
      </c>
      <c r="C806" s="8" t="s">
        <v>13560</v>
      </c>
      <c r="D806" s="8" t="s">
        <v>13561</v>
      </c>
      <c r="E806" s="8" t="s">
        <v>256</v>
      </c>
      <c r="F806" s="8" t="s">
        <v>13562</v>
      </c>
    </row>
    <row r="807" customHeight="1" spans="1:6">
      <c r="A807" s="6">
        <v>806</v>
      </c>
      <c r="B807" s="8" t="s">
        <v>13559</v>
      </c>
      <c r="C807" s="8" t="s">
        <v>13560</v>
      </c>
      <c r="D807" s="8" t="s">
        <v>13561</v>
      </c>
      <c r="E807" s="8" t="s">
        <v>256</v>
      </c>
      <c r="F807" s="8" t="s">
        <v>13562</v>
      </c>
    </row>
    <row r="808" customHeight="1" spans="1:6">
      <c r="A808" s="6">
        <v>807</v>
      </c>
      <c r="B808" s="8" t="s">
        <v>13563</v>
      </c>
      <c r="C808" s="8" t="s">
        <v>13564</v>
      </c>
      <c r="D808" s="8" t="s">
        <v>13565</v>
      </c>
      <c r="E808" s="8" t="s">
        <v>12449</v>
      </c>
      <c r="F808" s="8" t="s">
        <v>13566</v>
      </c>
    </row>
    <row r="809" customHeight="1" spans="1:6">
      <c r="A809" s="6">
        <v>808</v>
      </c>
      <c r="B809" s="8" t="s">
        <v>13563</v>
      </c>
      <c r="C809" s="8" t="s">
        <v>13564</v>
      </c>
      <c r="D809" s="8" t="s">
        <v>13565</v>
      </c>
      <c r="E809" s="8" t="s">
        <v>12449</v>
      </c>
      <c r="F809" s="8" t="s">
        <v>13566</v>
      </c>
    </row>
    <row r="810" customHeight="1" spans="1:6">
      <c r="A810" s="6">
        <v>809</v>
      </c>
      <c r="B810" s="8" t="s">
        <v>13567</v>
      </c>
      <c r="C810" s="8" t="s">
        <v>13568</v>
      </c>
      <c r="D810" s="8" t="s">
        <v>13569</v>
      </c>
      <c r="E810" s="8" t="s">
        <v>256</v>
      </c>
      <c r="F810" s="8" t="s">
        <v>13570</v>
      </c>
    </row>
    <row r="811" customHeight="1" spans="1:6">
      <c r="A811" s="6">
        <v>810</v>
      </c>
      <c r="B811" s="8" t="s">
        <v>13567</v>
      </c>
      <c r="C811" s="8" t="s">
        <v>13568</v>
      </c>
      <c r="D811" s="8" t="s">
        <v>13569</v>
      </c>
      <c r="E811" s="8" t="s">
        <v>256</v>
      </c>
      <c r="F811" s="8" t="s">
        <v>13570</v>
      </c>
    </row>
    <row r="812" customHeight="1" spans="1:6">
      <c r="A812" s="6">
        <v>811</v>
      </c>
      <c r="B812" s="8" t="s">
        <v>13571</v>
      </c>
      <c r="C812" s="8" t="s">
        <v>13572</v>
      </c>
      <c r="D812" s="8" t="s">
        <v>13573</v>
      </c>
      <c r="E812" s="8" t="s">
        <v>197</v>
      </c>
      <c r="F812" s="8" t="s">
        <v>13574</v>
      </c>
    </row>
    <row r="813" customHeight="1" spans="1:6">
      <c r="A813" s="6">
        <v>812</v>
      </c>
      <c r="B813" s="8" t="s">
        <v>13571</v>
      </c>
      <c r="C813" s="8" t="s">
        <v>13572</v>
      </c>
      <c r="D813" s="8" t="s">
        <v>13573</v>
      </c>
      <c r="E813" s="8" t="s">
        <v>197</v>
      </c>
      <c r="F813" s="8" t="s">
        <v>13574</v>
      </c>
    </row>
    <row r="814" customHeight="1" spans="1:6">
      <c r="A814" s="6">
        <v>813</v>
      </c>
      <c r="B814" s="8" t="s">
        <v>13575</v>
      </c>
      <c r="C814" s="8" t="s">
        <v>13576</v>
      </c>
      <c r="D814" s="8" t="s">
        <v>13577</v>
      </c>
      <c r="E814" s="8" t="s">
        <v>197</v>
      </c>
      <c r="F814" s="8" t="s">
        <v>13578</v>
      </c>
    </row>
    <row r="815" customHeight="1" spans="1:6">
      <c r="A815" s="6">
        <v>814</v>
      </c>
      <c r="B815" s="8" t="s">
        <v>13575</v>
      </c>
      <c r="C815" s="8" t="s">
        <v>13576</v>
      </c>
      <c r="D815" s="8" t="s">
        <v>13577</v>
      </c>
      <c r="E815" s="8" t="s">
        <v>197</v>
      </c>
      <c r="F815" s="8" t="s">
        <v>13578</v>
      </c>
    </row>
    <row r="816" customHeight="1" spans="1:6">
      <c r="A816" s="6">
        <v>815</v>
      </c>
      <c r="B816" s="8" t="s">
        <v>13579</v>
      </c>
      <c r="C816" s="8" t="s">
        <v>13580</v>
      </c>
      <c r="D816" s="8" t="s">
        <v>13581</v>
      </c>
      <c r="E816" s="8" t="s">
        <v>270</v>
      </c>
      <c r="F816" s="8" t="s">
        <v>13582</v>
      </c>
    </row>
    <row r="817" customHeight="1" spans="1:6">
      <c r="A817" s="6">
        <v>816</v>
      </c>
      <c r="B817" s="8" t="s">
        <v>13579</v>
      </c>
      <c r="C817" s="8" t="s">
        <v>13580</v>
      </c>
      <c r="D817" s="8" t="s">
        <v>13581</v>
      </c>
      <c r="E817" s="8" t="s">
        <v>270</v>
      </c>
      <c r="F817" s="8" t="s">
        <v>13582</v>
      </c>
    </row>
    <row r="818" customHeight="1" spans="1:6">
      <c r="A818" s="6">
        <v>817</v>
      </c>
      <c r="B818" s="8" t="s">
        <v>13583</v>
      </c>
      <c r="C818" s="8" t="s">
        <v>13584</v>
      </c>
      <c r="D818" s="8" t="s">
        <v>13585</v>
      </c>
      <c r="E818" s="8" t="s">
        <v>4855</v>
      </c>
      <c r="F818" s="8" t="s">
        <v>13586</v>
      </c>
    </row>
    <row r="819" customHeight="1" spans="1:6">
      <c r="A819" s="6">
        <v>818</v>
      </c>
      <c r="B819" s="8" t="s">
        <v>13583</v>
      </c>
      <c r="C819" s="8" t="s">
        <v>13584</v>
      </c>
      <c r="D819" s="8" t="s">
        <v>13585</v>
      </c>
      <c r="E819" s="8" t="s">
        <v>4855</v>
      </c>
      <c r="F819" s="8" t="s">
        <v>13586</v>
      </c>
    </row>
    <row r="820" customHeight="1" spans="1:6">
      <c r="A820" s="6">
        <v>819</v>
      </c>
      <c r="B820" s="8" t="s">
        <v>13587</v>
      </c>
      <c r="C820" s="8" t="s">
        <v>13588</v>
      </c>
      <c r="D820" s="8" t="s">
        <v>13589</v>
      </c>
      <c r="E820" s="8" t="s">
        <v>7202</v>
      </c>
      <c r="F820" s="8" t="s">
        <v>13590</v>
      </c>
    </row>
    <row r="821" customHeight="1" spans="1:6">
      <c r="A821" s="6">
        <v>820</v>
      </c>
      <c r="B821" s="8" t="s">
        <v>13587</v>
      </c>
      <c r="C821" s="8" t="s">
        <v>13588</v>
      </c>
      <c r="D821" s="8" t="s">
        <v>13589</v>
      </c>
      <c r="E821" s="8" t="s">
        <v>7202</v>
      </c>
      <c r="F821" s="8" t="s">
        <v>13590</v>
      </c>
    </row>
    <row r="822" customHeight="1" spans="1:6">
      <c r="A822" s="6">
        <v>821</v>
      </c>
      <c r="B822" s="8" t="s">
        <v>13591</v>
      </c>
      <c r="C822" s="8" t="s">
        <v>13592</v>
      </c>
      <c r="D822" s="8" t="s">
        <v>13593</v>
      </c>
      <c r="E822" s="8" t="s">
        <v>1734</v>
      </c>
      <c r="F822" s="8" t="s">
        <v>13594</v>
      </c>
    </row>
    <row r="823" customHeight="1" spans="1:6">
      <c r="A823" s="6">
        <v>822</v>
      </c>
      <c r="B823" s="8" t="s">
        <v>13591</v>
      </c>
      <c r="C823" s="8" t="s">
        <v>13592</v>
      </c>
      <c r="D823" s="8" t="s">
        <v>13593</v>
      </c>
      <c r="E823" s="8" t="s">
        <v>1734</v>
      </c>
      <c r="F823" s="8" t="s">
        <v>13594</v>
      </c>
    </row>
    <row r="824" customHeight="1" spans="1:6">
      <c r="A824" s="6">
        <v>823</v>
      </c>
      <c r="B824" s="8" t="s">
        <v>13595</v>
      </c>
      <c r="C824" s="8" t="s">
        <v>13596</v>
      </c>
      <c r="D824" s="8" t="s">
        <v>13597</v>
      </c>
      <c r="E824" s="8" t="s">
        <v>216</v>
      </c>
      <c r="F824" s="8" t="s">
        <v>13598</v>
      </c>
    </row>
    <row r="825" customHeight="1" spans="1:6">
      <c r="A825" s="6">
        <v>824</v>
      </c>
      <c r="B825" s="8" t="s">
        <v>13595</v>
      </c>
      <c r="C825" s="8" t="s">
        <v>13596</v>
      </c>
      <c r="D825" s="8" t="s">
        <v>13597</v>
      </c>
      <c r="E825" s="8" t="s">
        <v>216</v>
      </c>
      <c r="F825" s="8" t="s">
        <v>13598</v>
      </c>
    </row>
    <row r="826" customHeight="1" spans="1:6">
      <c r="A826" s="6">
        <v>825</v>
      </c>
      <c r="B826" s="8" t="s">
        <v>13599</v>
      </c>
      <c r="C826" s="8" t="s">
        <v>13600</v>
      </c>
      <c r="D826" s="8" t="s">
        <v>13601</v>
      </c>
      <c r="E826" s="8" t="s">
        <v>3146</v>
      </c>
      <c r="F826" s="8" t="s">
        <v>13602</v>
      </c>
    </row>
    <row r="827" customHeight="1" spans="1:6">
      <c r="A827" s="6">
        <v>826</v>
      </c>
      <c r="B827" s="8" t="s">
        <v>13599</v>
      </c>
      <c r="C827" s="8" t="s">
        <v>13600</v>
      </c>
      <c r="D827" s="8" t="s">
        <v>13601</v>
      </c>
      <c r="E827" s="8" t="s">
        <v>3146</v>
      </c>
      <c r="F827" s="8" t="s">
        <v>13602</v>
      </c>
    </row>
    <row r="828" customHeight="1" spans="1:6">
      <c r="A828" s="6">
        <v>827</v>
      </c>
      <c r="B828" s="8" t="s">
        <v>13603</v>
      </c>
      <c r="C828" s="8" t="s">
        <v>13604</v>
      </c>
      <c r="D828" s="8" t="s">
        <v>13605</v>
      </c>
      <c r="E828" s="8" t="s">
        <v>216</v>
      </c>
      <c r="F828" s="8" t="s">
        <v>13606</v>
      </c>
    </row>
    <row r="829" customHeight="1" spans="1:6">
      <c r="A829" s="6">
        <v>828</v>
      </c>
      <c r="B829" s="8" t="s">
        <v>13603</v>
      </c>
      <c r="C829" s="8" t="s">
        <v>13604</v>
      </c>
      <c r="D829" s="8" t="s">
        <v>13605</v>
      </c>
      <c r="E829" s="8" t="s">
        <v>216</v>
      </c>
      <c r="F829" s="8" t="s">
        <v>13606</v>
      </c>
    </row>
    <row r="830" customHeight="1" spans="1:6">
      <c r="A830" s="6">
        <v>829</v>
      </c>
      <c r="B830" s="8" t="s">
        <v>13607</v>
      </c>
      <c r="C830" s="8" t="s">
        <v>13608</v>
      </c>
      <c r="D830" s="8" t="s">
        <v>13609</v>
      </c>
      <c r="E830" s="8" t="s">
        <v>216</v>
      </c>
      <c r="F830" s="8" t="s">
        <v>13610</v>
      </c>
    </row>
    <row r="831" customHeight="1" spans="1:6">
      <c r="A831" s="6">
        <v>830</v>
      </c>
      <c r="B831" s="8" t="s">
        <v>13607</v>
      </c>
      <c r="C831" s="8" t="s">
        <v>13608</v>
      </c>
      <c r="D831" s="8" t="s">
        <v>13609</v>
      </c>
      <c r="E831" s="8" t="s">
        <v>216</v>
      </c>
      <c r="F831" s="8" t="s">
        <v>13610</v>
      </c>
    </row>
    <row r="832" customHeight="1" spans="1:6">
      <c r="A832" s="6">
        <v>831</v>
      </c>
      <c r="B832" s="8" t="s">
        <v>13611</v>
      </c>
      <c r="C832" s="8" t="s">
        <v>13612</v>
      </c>
      <c r="D832" s="8" t="s">
        <v>13613</v>
      </c>
      <c r="E832" s="8" t="s">
        <v>216</v>
      </c>
      <c r="F832" s="8" t="s">
        <v>13614</v>
      </c>
    </row>
    <row r="833" customHeight="1" spans="1:6">
      <c r="A833" s="6">
        <v>832</v>
      </c>
      <c r="B833" s="8" t="s">
        <v>13611</v>
      </c>
      <c r="C833" s="8" t="s">
        <v>13612</v>
      </c>
      <c r="D833" s="8" t="s">
        <v>13613</v>
      </c>
      <c r="E833" s="8" t="s">
        <v>216</v>
      </c>
      <c r="F833" s="8" t="s">
        <v>13614</v>
      </c>
    </row>
    <row r="834" customHeight="1" spans="1:6">
      <c r="A834" s="6">
        <v>833</v>
      </c>
      <c r="B834" s="8" t="s">
        <v>13615</v>
      </c>
      <c r="C834" s="8" t="s">
        <v>13616</v>
      </c>
      <c r="D834" s="8" t="s">
        <v>13617</v>
      </c>
      <c r="E834" s="8" t="s">
        <v>216</v>
      </c>
      <c r="F834" s="8" t="s">
        <v>13618</v>
      </c>
    </row>
    <row r="835" customHeight="1" spans="1:6">
      <c r="A835" s="6">
        <v>834</v>
      </c>
      <c r="B835" s="8" t="s">
        <v>13615</v>
      </c>
      <c r="C835" s="8" t="s">
        <v>13616</v>
      </c>
      <c r="D835" s="8" t="s">
        <v>13617</v>
      </c>
      <c r="E835" s="8" t="s">
        <v>216</v>
      </c>
      <c r="F835" s="8" t="s">
        <v>13618</v>
      </c>
    </row>
    <row r="836" customHeight="1" spans="1:6">
      <c r="A836" s="6">
        <v>835</v>
      </c>
      <c r="B836" s="8" t="s">
        <v>13619</v>
      </c>
      <c r="C836" s="8" t="s">
        <v>13620</v>
      </c>
      <c r="D836" s="8" t="s">
        <v>13621</v>
      </c>
      <c r="E836" s="8" t="s">
        <v>3146</v>
      </c>
      <c r="F836" s="8" t="s">
        <v>13622</v>
      </c>
    </row>
    <row r="837" customHeight="1" spans="1:6">
      <c r="A837" s="6">
        <v>836</v>
      </c>
      <c r="B837" s="8" t="s">
        <v>13619</v>
      </c>
      <c r="C837" s="8" t="s">
        <v>13620</v>
      </c>
      <c r="D837" s="8" t="s">
        <v>13621</v>
      </c>
      <c r="E837" s="8" t="s">
        <v>3146</v>
      </c>
      <c r="F837" s="8" t="s">
        <v>13622</v>
      </c>
    </row>
    <row r="838" customHeight="1" spans="1:6">
      <c r="A838" s="6">
        <v>837</v>
      </c>
      <c r="B838" s="8" t="s">
        <v>13623</v>
      </c>
      <c r="C838" s="8" t="s">
        <v>13624</v>
      </c>
      <c r="D838" s="8" t="s">
        <v>13625</v>
      </c>
      <c r="E838" s="8" t="s">
        <v>216</v>
      </c>
      <c r="F838" s="8" t="s">
        <v>13626</v>
      </c>
    </row>
    <row r="839" customHeight="1" spans="1:6">
      <c r="A839" s="6">
        <v>838</v>
      </c>
      <c r="B839" s="8" t="s">
        <v>13623</v>
      </c>
      <c r="C839" s="8" t="s">
        <v>13624</v>
      </c>
      <c r="D839" s="8" t="s">
        <v>13625</v>
      </c>
      <c r="E839" s="8" t="s">
        <v>216</v>
      </c>
      <c r="F839" s="8" t="s">
        <v>13626</v>
      </c>
    </row>
    <row r="840" customHeight="1" spans="1:6">
      <c r="A840" s="6">
        <v>839</v>
      </c>
      <c r="B840" s="8" t="s">
        <v>13627</v>
      </c>
      <c r="C840" s="8" t="s">
        <v>13628</v>
      </c>
      <c r="D840" s="8" t="s">
        <v>13629</v>
      </c>
      <c r="E840" s="8" t="s">
        <v>530</v>
      </c>
      <c r="F840" s="8" t="s">
        <v>13630</v>
      </c>
    </row>
    <row r="841" customHeight="1" spans="1:6">
      <c r="A841" s="6">
        <v>840</v>
      </c>
      <c r="B841" s="8" t="s">
        <v>13627</v>
      </c>
      <c r="C841" s="8" t="s">
        <v>13628</v>
      </c>
      <c r="D841" s="8" t="s">
        <v>13629</v>
      </c>
      <c r="E841" s="8" t="s">
        <v>530</v>
      </c>
      <c r="F841" s="8" t="s">
        <v>13630</v>
      </c>
    </row>
    <row r="842" customHeight="1" spans="1:6">
      <c r="A842" s="6">
        <v>841</v>
      </c>
      <c r="B842" s="8" t="s">
        <v>13631</v>
      </c>
      <c r="C842" s="8" t="s">
        <v>13632</v>
      </c>
      <c r="D842" s="8" t="s">
        <v>13633</v>
      </c>
      <c r="E842" s="8" t="s">
        <v>256</v>
      </c>
      <c r="F842" s="8" t="s">
        <v>13634</v>
      </c>
    </row>
    <row r="843" customHeight="1" spans="1:6">
      <c r="A843" s="6">
        <v>842</v>
      </c>
      <c r="B843" s="8" t="s">
        <v>13631</v>
      </c>
      <c r="C843" s="8" t="s">
        <v>13632</v>
      </c>
      <c r="D843" s="8" t="s">
        <v>13633</v>
      </c>
      <c r="E843" s="8" t="s">
        <v>256</v>
      </c>
      <c r="F843" s="8" t="s">
        <v>13634</v>
      </c>
    </row>
    <row r="844" customHeight="1" spans="1:6">
      <c r="A844" s="6">
        <v>843</v>
      </c>
      <c r="B844" s="7" t="str">
        <f>"978-7-121-41981-2"</f>
        <v>978-7-121-41981-2</v>
      </c>
      <c r="C844" s="7" t="str">
        <f>"鸿蒙生态：开启万物互联的智慧新时代"</f>
        <v>鸿蒙生态：开启万物互联的智慧新时代</v>
      </c>
      <c r="D844" s="7" t="str">
        <f>"李洋著"</f>
        <v>李洋著</v>
      </c>
      <c r="E844" s="7" t="str">
        <f>"电子工业出版社"</f>
        <v>电子工业出版社</v>
      </c>
      <c r="F844" s="7" t="str">
        <f>"TP316.4/19"</f>
        <v>TP316.4/19</v>
      </c>
    </row>
    <row r="845" customHeight="1" spans="1:6">
      <c r="A845" s="6">
        <v>844</v>
      </c>
      <c r="B845" s="7" t="str">
        <f>"978-7-121-41981-2"</f>
        <v>978-7-121-41981-2</v>
      </c>
      <c r="C845" s="7" t="str">
        <f>"鸿蒙生态：开启万物互联的智慧新时代"</f>
        <v>鸿蒙生态：开启万物互联的智慧新时代</v>
      </c>
      <c r="D845" s="7" t="str">
        <f>"李洋著"</f>
        <v>李洋著</v>
      </c>
      <c r="E845" s="7" t="str">
        <f>"电子工业出版社"</f>
        <v>电子工业出版社</v>
      </c>
      <c r="F845" s="7" t="str">
        <f>"TP316.4/19"</f>
        <v>TP316.4/19</v>
      </c>
    </row>
    <row r="846" customHeight="1" spans="1:6">
      <c r="A846" s="6">
        <v>845</v>
      </c>
      <c r="B846" s="8" t="s">
        <v>13635</v>
      </c>
      <c r="C846" s="8" t="s">
        <v>13636</v>
      </c>
      <c r="D846" s="8" t="s">
        <v>13637</v>
      </c>
      <c r="E846" s="8" t="s">
        <v>256</v>
      </c>
      <c r="F846" s="8" t="s">
        <v>13638</v>
      </c>
    </row>
    <row r="847" customHeight="1" spans="1:6">
      <c r="A847" s="6">
        <v>846</v>
      </c>
      <c r="B847" s="8" t="s">
        <v>13635</v>
      </c>
      <c r="C847" s="8" t="s">
        <v>13636</v>
      </c>
      <c r="D847" s="8" t="s">
        <v>13637</v>
      </c>
      <c r="E847" s="8" t="s">
        <v>256</v>
      </c>
      <c r="F847" s="8" t="s">
        <v>13638</v>
      </c>
    </row>
    <row r="848" customHeight="1" spans="1:6">
      <c r="A848" s="6">
        <v>847</v>
      </c>
      <c r="B848" s="8" t="s">
        <v>13639</v>
      </c>
      <c r="C848" s="8" t="s">
        <v>13640</v>
      </c>
      <c r="D848" s="8" t="s">
        <v>13641</v>
      </c>
      <c r="E848" s="8" t="s">
        <v>1342</v>
      </c>
      <c r="F848" s="8" t="s">
        <v>13642</v>
      </c>
    </row>
    <row r="849" customHeight="1" spans="1:6">
      <c r="A849" s="6">
        <v>848</v>
      </c>
      <c r="B849" s="8" t="s">
        <v>13639</v>
      </c>
      <c r="C849" s="8" t="s">
        <v>13640</v>
      </c>
      <c r="D849" s="8" t="s">
        <v>13641</v>
      </c>
      <c r="E849" s="8" t="s">
        <v>1342</v>
      </c>
      <c r="F849" s="8" t="s">
        <v>13642</v>
      </c>
    </row>
    <row r="850" customHeight="1" spans="1:6">
      <c r="A850" s="6">
        <v>849</v>
      </c>
      <c r="B850" s="8" t="s">
        <v>13643</v>
      </c>
      <c r="C850" s="8" t="s">
        <v>13644</v>
      </c>
      <c r="D850" s="8" t="s">
        <v>13645</v>
      </c>
      <c r="E850" s="8" t="s">
        <v>216</v>
      </c>
      <c r="F850" s="8" t="s">
        <v>13646</v>
      </c>
    </row>
    <row r="851" customHeight="1" spans="1:6">
      <c r="A851" s="6">
        <v>850</v>
      </c>
      <c r="B851" s="8" t="s">
        <v>13643</v>
      </c>
      <c r="C851" s="8" t="s">
        <v>13644</v>
      </c>
      <c r="D851" s="8" t="s">
        <v>13645</v>
      </c>
      <c r="E851" s="8" t="s">
        <v>216</v>
      </c>
      <c r="F851" s="8" t="s">
        <v>13646</v>
      </c>
    </row>
    <row r="852" customHeight="1" spans="1:6">
      <c r="A852" s="6">
        <v>851</v>
      </c>
      <c r="B852" s="8" t="s">
        <v>13647</v>
      </c>
      <c r="C852" s="8" t="s">
        <v>13648</v>
      </c>
      <c r="D852" s="8" t="s">
        <v>13649</v>
      </c>
      <c r="E852" s="8" t="s">
        <v>216</v>
      </c>
      <c r="F852" s="8" t="s">
        <v>13650</v>
      </c>
    </row>
    <row r="853" customHeight="1" spans="1:6">
      <c r="A853" s="6">
        <v>852</v>
      </c>
      <c r="B853" s="8" t="s">
        <v>13647</v>
      </c>
      <c r="C853" s="8" t="s">
        <v>13648</v>
      </c>
      <c r="D853" s="8" t="s">
        <v>13649</v>
      </c>
      <c r="E853" s="8" t="s">
        <v>216</v>
      </c>
      <c r="F853" s="8" t="s">
        <v>13650</v>
      </c>
    </row>
    <row r="854" customHeight="1" spans="1:6">
      <c r="A854" s="6">
        <v>853</v>
      </c>
      <c r="B854" s="8" t="s">
        <v>13651</v>
      </c>
      <c r="C854" s="8" t="s">
        <v>13652</v>
      </c>
      <c r="D854" s="8" t="s">
        <v>13653</v>
      </c>
      <c r="E854" s="8" t="s">
        <v>216</v>
      </c>
      <c r="F854" s="8" t="s">
        <v>13654</v>
      </c>
    </row>
    <row r="855" customHeight="1" spans="1:6">
      <c r="A855" s="6">
        <v>854</v>
      </c>
      <c r="B855" s="8" t="s">
        <v>13651</v>
      </c>
      <c r="C855" s="8" t="s">
        <v>13652</v>
      </c>
      <c r="D855" s="8" t="s">
        <v>13653</v>
      </c>
      <c r="E855" s="8" t="s">
        <v>216</v>
      </c>
      <c r="F855" s="8" t="s">
        <v>13654</v>
      </c>
    </row>
    <row r="856" customHeight="1" spans="1:6">
      <c r="A856" s="6">
        <v>855</v>
      </c>
      <c r="B856" s="8" t="s">
        <v>13655</v>
      </c>
      <c r="C856" s="8" t="s">
        <v>13656</v>
      </c>
      <c r="D856" s="8" t="s">
        <v>13657</v>
      </c>
      <c r="E856" s="8" t="s">
        <v>216</v>
      </c>
      <c r="F856" s="8" t="s">
        <v>13658</v>
      </c>
    </row>
    <row r="857" customHeight="1" spans="1:6">
      <c r="A857" s="6">
        <v>856</v>
      </c>
      <c r="B857" s="8" t="s">
        <v>13655</v>
      </c>
      <c r="C857" s="8" t="s">
        <v>13656</v>
      </c>
      <c r="D857" s="8" t="s">
        <v>13657</v>
      </c>
      <c r="E857" s="8" t="s">
        <v>216</v>
      </c>
      <c r="F857" s="8" t="s">
        <v>13658</v>
      </c>
    </row>
    <row r="858" customHeight="1" spans="1:6">
      <c r="A858" s="6">
        <v>857</v>
      </c>
      <c r="B858" s="8" t="s">
        <v>13659</v>
      </c>
      <c r="C858" s="8" t="s">
        <v>13660</v>
      </c>
      <c r="D858" s="8" t="s">
        <v>13661</v>
      </c>
      <c r="E858" s="8" t="s">
        <v>216</v>
      </c>
      <c r="F858" s="8" t="s">
        <v>13662</v>
      </c>
    </row>
    <row r="859" customHeight="1" spans="1:6">
      <c r="A859" s="6">
        <v>858</v>
      </c>
      <c r="B859" s="8" t="s">
        <v>13659</v>
      </c>
      <c r="C859" s="8" t="s">
        <v>13660</v>
      </c>
      <c r="D859" s="8" t="s">
        <v>13661</v>
      </c>
      <c r="E859" s="8" t="s">
        <v>216</v>
      </c>
      <c r="F859" s="8" t="s">
        <v>13662</v>
      </c>
    </row>
    <row r="860" customHeight="1" spans="1:6">
      <c r="A860" s="6">
        <v>859</v>
      </c>
      <c r="B860" s="8" t="s">
        <v>13663</v>
      </c>
      <c r="C860" s="8" t="s">
        <v>13664</v>
      </c>
      <c r="D860" s="8" t="s">
        <v>13665</v>
      </c>
      <c r="E860" s="8" t="s">
        <v>13666</v>
      </c>
      <c r="F860" s="8" t="s">
        <v>13667</v>
      </c>
    </row>
    <row r="861" customHeight="1" spans="1:6">
      <c r="A861" s="6">
        <v>860</v>
      </c>
      <c r="B861" s="8" t="s">
        <v>13663</v>
      </c>
      <c r="C861" s="8" t="s">
        <v>13664</v>
      </c>
      <c r="D861" s="8" t="s">
        <v>13665</v>
      </c>
      <c r="E861" s="8" t="s">
        <v>13666</v>
      </c>
      <c r="F861" s="8" t="s">
        <v>13667</v>
      </c>
    </row>
    <row r="862" customHeight="1" spans="1:6">
      <c r="A862" s="6">
        <v>861</v>
      </c>
      <c r="B862" s="8" t="s">
        <v>13668</v>
      </c>
      <c r="C862" s="8" t="s">
        <v>13669</v>
      </c>
      <c r="D862" s="8" t="s">
        <v>13670</v>
      </c>
      <c r="E862" s="8" t="s">
        <v>256</v>
      </c>
      <c r="F862" s="8" t="s">
        <v>13671</v>
      </c>
    </row>
    <row r="863" customHeight="1" spans="1:6">
      <c r="A863" s="6">
        <v>862</v>
      </c>
      <c r="B863" s="8" t="s">
        <v>13668</v>
      </c>
      <c r="C863" s="8" t="s">
        <v>13669</v>
      </c>
      <c r="D863" s="8" t="s">
        <v>13670</v>
      </c>
      <c r="E863" s="8" t="s">
        <v>256</v>
      </c>
      <c r="F863" s="8" t="s">
        <v>13671</v>
      </c>
    </row>
    <row r="864" customHeight="1" spans="1:6">
      <c r="A864" s="6">
        <v>863</v>
      </c>
      <c r="B864" s="7" t="str">
        <f t="shared" ref="B864:B866" si="32">"978-7-121-41315-5"</f>
        <v>978-7-121-41315-5</v>
      </c>
      <c r="C864" s="7" t="str">
        <f t="shared" ref="C864:C866" si="33">"办公软件高级应用教程"</f>
        <v>办公软件高级应用教程</v>
      </c>
      <c r="D864" s="7" t="str">
        <f t="shared" ref="D864:D866" si="34">"主编施莹"</f>
        <v>主编施莹</v>
      </c>
      <c r="E864" s="7" t="str">
        <f t="shared" ref="E864:E866" si="35">"电子工业出版社"</f>
        <v>电子工业出版社</v>
      </c>
      <c r="F864" s="7" t="str">
        <f t="shared" ref="F864:F866" si="36">"TP317.1/368"</f>
        <v>TP317.1/368</v>
      </c>
    </row>
    <row r="865" customHeight="1" spans="1:6">
      <c r="A865" s="6">
        <v>864</v>
      </c>
      <c r="B865" s="7" t="str">
        <f t="shared" si="32"/>
        <v>978-7-121-41315-5</v>
      </c>
      <c r="C865" s="7" t="str">
        <f t="shared" si="33"/>
        <v>办公软件高级应用教程</v>
      </c>
      <c r="D865" s="7" t="str">
        <f t="shared" si="34"/>
        <v>主编施莹</v>
      </c>
      <c r="E865" s="7" t="str">
        <f t="shared" si="35"/>
        <v>电子工业出版社</v>
      </c>
      <c r="F865" s="7" t="str">
        <f t="shared" si="36"/>
        <v>TP317.1/368</v>
      </c>
    </row>
    <row r="866" customHeight="1" spans="1:6">
      <c r="A866" s="6">
        <v>865</v>
      </c>
      <c r="B866" s="7" t="str">
        <f t="shared" si="32"/>
        <v>978-7-121-41315-5</v>
      </c>
      <c r="C866" s="7" t="str">
        <f t="shared" si="33"/>
        <v>办公软件高级应用教程</v>
      </c>
      <c r="D866" s="7" t="str">
        <f t="shared" si="34"/>
        <v>主编施莹</v>
      </c>
      <c r="E866" s="7" t="str">
        <f t="shared" si="35"/>
        <v>电子工业出版社</v>
      </c>
      <c r="F866" s="7" t="str">
        <f t="shared" si="36"/>
        <v>TP317.1/368</v>
      </c>
    </row>
    <row r="867" customHeight="1" spans="1:6">
      <c r="A867" s="6">
        <v>866</v>
      </c>
      <c r="B867" s="8" t="s">
        <v>13672</v>
      </c>
      <c r="C867" s="8" t="s">
        <v>13673</v>
      </c>
      <c r="D867" s="8" t="s">
        <v>13674</v>
      </c>
      <c r="E867" s="8" t="s">
        <v>3146</v>
      </c>
      <c r="F867" s="8" t="s">
        <v>13675</v>
      </c>
    </row>
    <row r="868" customHeight="1" spans="1:6">
      <c r="A868" s="6">
        <v>867</v>
      </c>
      <c r="B868" s="8" t="s">
        <v>13672</v>
      </c>
      <c r="C868" s="8" t="s">
        <v>13673</v>
      </c>
      <c r="D868" s="8" t="s">
        <v>13674</v>
      </c>
      <c r="E868" s="8" t="s">
        <v>3146</v>
      </c>
      <c r="F868" s="8" t="s">
        <v>13675</v>
      </c>
    </row>
    <row r="869" customHeight="1" spans="1:6">
      <c r="A869" s="6">
        <v>868</v>
      </c>
      <c r="B869" s="8" t="s">
        <v>13676</v>
      </c>
      <c r="C869" s="8" t="s">
        <v>13677</v>
      </c>
      <c r="D869" s="8" t="s">
        <v>13678</v>
      </c>
      <c r="E869" s="8" t="s">
        <v>216</v>
      </c>
      <c r="F869" s="8" t="s">
        <v>13679</v>
      </c>
    </row>
    <row r="870" customHeight="1" spans="1:6">
      <c r="A870" s="6">
        <v>869</v>
      </c>
      <c r="B870" s="8" t="s">
        <v>13676</v>
      </c>
      <c r="C870" s="8" t="s">
        <v>13677</v>
      </c>
      <c r="D870" s="8" t="s">
        <v>13678</v>
      </c>
      <c r="E870" s="8" t="s">
        <v>216</v>
      </c>
      <c r="F870" s="8" t="s">
        <v>13679</v>
      </c>
    </row>
    <row r="871" customHeight="1" spans="1:6">
      <c r="A871" s="6">
        <v>870</v>
      </c>
      <c r="B871" s="8" t="s">
        <v>13680</v>
      </c>
      <c r="C871" s="8" t="s">
        <v>13681</v>
      </c>
      <c r="D871" s="8" t="s">
        <v>13682</v>
      </c>
      <c r="E871" s="8" t="s">
        <v>420</v>
      </c>
      <c r="F871" s="8" t="s">
        <v>13683</v>
      </c>
    </row>
    <row r="872" customHeight="1" spans="1:6">
      <c r="A872" s="6">
        <v>871</v>
      </c>
      <c r="B872" s="8" t="s">
        <v>13680</v>
      </c>
      <c r="C872" s="8" t="s">
        <v>13681</v>
      </c>
      <c r="D872" s="8" t="s">
        <v>13682</v>
      </c>
      <c r="E872" s="8" t="s">
        <v>420</v>
      </c>
      <c r="F872" s="8" t="s">
        <v>13683</v>
      </c>
    </row>
    <row r="873" customHeight="1" spans="1:6">
      <c r="A873" s="6">
        <v>872</v>
      </c>
      <c r="B873" s="8" t="s">
        <v>13684</v>
      </c>
      <c r="C873" s="8" t="s">
        <v>13685</v>
      </c>
      <c r="D873" s="8" t="s">
        <v>13686</v>
      </c>
      <c r="E873" s="8" t="s">
        <v>4855</v>
      </c>
      <c r="F873" s="8" t="s">
        <v>13687</v>
      </c>
    </row>
    <row r="874" customHeight="1" spans="1:6">
      <c r="A874" s="6">
        <v>873</v>
      </c>
      <c r="B874" s="8" t="s">
        <v>13684</v>
      </c>
      <c r="C874" s="8" t="s">
        <v>13685</v>
      </c>
      <c r="D874" s="8" t="s">
        <v>13686</v>
      </c>
      <c r="E874" s="8" t="s">
        <v>4855</v>
      </c>
      <c r="F874" s="8" t="s">
        <v>13687</v>
      </c>
    </row>
    <row r="875" customHeight="1" spans="1:6">
      <c r="A875" s="6">
        <v>874</v>
      </c>
      <c r="B875" s="8" t="s">
        <v>13688</v>
      </c>
      <c r="C875" s="8" t="s">
        <v>13689</v>
      </c>
      <c r="D875" s="8" t="s">
        <v>13690</v>
      </c>
      <c r="E875" s="8" t="s">
        <v>10500</v>
      </c>
      <c r="F875" s="8" t="s">
        <v>13691</v>
      </c>
    </row>
    <row r="876" customHeight="1" spans="1:6">
      <c r="A876" s="6">
        <v>875</v>
      </c>
      <c r="B876" s="8" t="s">
        <v>13688</v>
      </c>
      <c r="C876" s="8" t="s">
        <v>13689</v>
      </c>
      <c r="D876" s="8" t="s">
        <v>13690</v>
      </c>
      <c r="E876" s="8" t="s">
        <v>10500</v>
      </c>
      <c r="F876" s="8" t="s">
        <v>13691</v>
      </c>
    </row>
    <row r="877" customHeight="1" spans="1:6">
      <c r="A877" s="6">
        <v>876</v>
      </c>
      <c r="B877" s="8" t="s">
        <v>13692</v>
      </c>
      <c r="C877" s="8" t="s">
        <v>13693</v>
      </c>
      <c r="D877" s="8" t="s">
        <v>13694</v>
      </c>
      <c r="E877" s="8" t="s">
        <v>1622</v>
      </c>
      <c r="F877" s="8" t="s">
        <v>13695</v>
      </c>
    </row>
    <row r="878" customHeight="1" spans="1:6">
      <c r="A878" s="6">
        <v>877</v>
      </c>
      <c r="B878" s="8" t="s">
        <v>13692</v>
      </c>
      <c r="C878" s="8" t="s">
        <v>13693</v>
      </c>
      <c r="D878" s="8" t="s">
        <v>13694</v>
      </c>
      <c r="E878" s="8" t="s">
        <v>1622</v>
      </c>
      <c r="F878" s="8" t="s">
        <v>13695</v>
      </c>
    </row>
    <row r="879" customHeight="1" spans="1:6">
      <c r="A879" s="6">
        <v>878</v>
      </c>
      <c r="B879" s="8" t="s">
        <v>13696</v>
      </c>
      <c r="C879" s="8" t="s">
        <v>13697</v>
      </c>
      <c r="D879" s="8" t="s">
        <v>13698</v>
      </c>
      <c r="E879" s="8" t="s">
        <v>256</v>
      </c>
      <c r="F879" s="8" t="s">
        <v>13699</v>
      </c>
    </row>
    <row r="880" customHeight="1" spans="1:6">
      <c r="A880" s="6">
        <v>879</v>
      </c>
      <c r="B880" s="8" t="s">
        <v>13696</v>
      </c>
      <c r="C880" s="8" t="s">
        <v>13697</v>
      </c>
      <c r="D880" s="8" t="s">
        <v>13698</v>
      </c>
      <c r="E880" s="8" t="s">
        <v>256</v>
      </c>
      <c r="F880" s="8" t="s">
        <v>13699</v>
      </c>
    </row>
    <row r="881" customHeight="1" spans="1:6">
      <c r="A881" s="6">
        <v>880</v>
      </c>
      <c r="B881" s="8" t="s">
        <v>13700</v>
      </c>
      <c r="C881" s="8" t="s">
        <v>13701</v>
      </c>
      <c r="D881" s="8" t="s">
        <v>13702</v>
      </c>
      <c r="E881" s="8" t="s">
        <v>350</v>
      </c>
      <c r="F881" s="8" t="s">
        <v>13703</v>
      </c>
    </row>
    <row r="882" customHeight="1" spans="1:6">
      <c r="A882" s="6">
        <v>881</v>
      </c>
      <c r="B882" s="8" t="s">
        <v>13700</v>
      </c>
      <c r="C882" s="8" t="s">
        <v>13701</v>
      </c>
      <c r="D882" s="8" t="s">
        <v>13702</v>
      </c>
      <c r="E882" s="8" t="s">
        <v>350</v>
      </c>
      <c r="F882" s="8" t="s">
        <v>13703</v>
      </c>
    </row>
    <row r="883" customHeight="1" spans="1:6">
      <c r="A883" s="6">
        <v>882</v>
      </c>
      <c r="B883" s="8" t="s">
        <v>13704</v>
      </c>
      <c r="C883" s="8" t="s">
        <v>13705</v>
      </c>
      <c r="D883" s="8" t="s">
        <v>13706</v>
      </c>
      <c r="E883" s="8" t="s">
        <v>216</v>
      </c>
      <c r="F883" s="8" t="s">
        <v>13707</v>
      </c>
    </row>
    <row r="884" customHeight="1" spans="1:6">
      <c r="A884" s="6">
        <v>883</v>
      </c>
      <c r="B884" s="8" t="s">
        <v>13704</v>
      </c>
      <c r="C884" s="8" t="s">
        <v>13705</v>
      </c>
      <c r="D884" s="8" t="s">
        <v>13706</v>
      </c>
      <c r="E884" s="8" t="s">
        <v>216</v>
      </c>
      <c r="F884" s="8" t="s">
        <v>13707</v>
      </c>
    </row>
    <row r="885" customHeight="1" spans="1:6">
      <c r="A885" s="6">
        <v>884</v>
      </c>
      <c r="B885" s="8" t="s">
        <v>13708</v>
      </c>
      <c r="C885" s="8" t="s">
        <v>13709</v>
      </c>
      <c r="D885" s="8" t="s">
        <v>13710</v>
      </c>
      <c r="E885" s="8" t="s">
        <v>10500</v>
      </c>
      <c r="F885" s="8" t="s">
        <v>13711</v>
      </c>
    </row>
    <row r="886" customHeight="1" spans="1:6">
      <c r="A886" s="6">
        <v>885</v>
      </c>
      <c r="B886" s="8" t="s">
        <v>13712</v>
      </c>
      <c r="C886" s="8" t="s">
        <v>13713</v>
      </c>
      <c r="D886" s="8" t="s">
        <v>13714</v>
      </c>
      <c r="E886" s="8" t="s">
        <v>7676</v>
      </c>
      <c r="F886" s="8" t="s">
        <v>13715</v>
      </c>
    </row>
    <row r="887" customHeight="1" spans="1:6">
      <c r="A887" s="6">
        <v>886</v>
      </c>
      <c r="B887" s="8" t="s">
        <v>13712</v>
      </c>
      <c r="C887" s="8" t="s">
        <v>13713</v>
      </c>
      <c r="D887" s="8" t="s">
        <v>13714</v>
      </c>
      <c r="E887" s="8" t="s">
        <v>7676</v>
      </c>
      <c r="F887" s="8" t="s">
        <v>13715</v>
      </c>
    </row>
    <row r="888" customHeight="1" spans="1:6">
      <c r="A888" s="6">
        <v>887</v>
      </c>
      <c r="B888" s="8" t="s">
        <v>13716</v>
      </c>
      <c r="C888" s="8" t="s">
        <v>13717</v>
      </c>
      <c r="D888" s="8" t="s">
        <v>13718</v>
      </c>
      <c r="E888" s="8" t="s">
        <v>3146</v>
      </c>
      <c r="F888" s="8" t="s">
        <v>13719</v>
      </c>
    </row>
    <row r="889" customHeight="1" spans="1:6">
      <c r="A889" s="6">
        <v>888</v>
      </c>
      <c r="B889" s="8" t="s">
        <v>13716</v>
      </c>
      <c r="C889" s="8" t="s">
        <v>13717</v>
      </c>
      <c r="D889" s="8" t="s">
        <v>13718</v>
      </c>
      <c r="E889" s="8" t="s">
        <v>3146</v>
      </c>
      <c r="F889" s="8" t="s">
        <v>13719</v>
      </c>
    </row>
    <row r="890" customHeight="1" spans="1:6">
      <c r="A890" s="6">
        <v>889</v>
      </c>
      <c r="B890" s="8" t="s">
        <v>13720</v>
      </c>
      <c r="C890" s="8" t="s">
        <v>13721</v>
      </c>
      <c r="D890" s="8" t="s">
        <v>13722</v>
      </c>
      <c r="E890" s="8" t="s">
        <v>3146</v>
      </c>
      <c r="F890" s="8" t="s">
        <v>13723</v>
      </c>
    </row>
    <row r="891" customHeight="1" spans="1:6">
      <c r="A891" s="6">
        <v>890</v>
      </c>
      <c r="B891" s="8" t="s">
        <v>13720</v>
      </c>
      <c r="C891" s="8" t="s">
        <v>13721</v>
      </c>
      <c r="D891" s="8" t="s">
        <v>13722</v>
      </c>
      <c r="E891" s="8" t="s">
        <v>3146</v>
      </c>
      <c r="F891" s="8" t="s">
        <v>13723</v>
      </c>
    </row>
    <row r="892" customHeight="1" spans="1:6">
      <c r="A892" s="6">
        <v>891</v>
      </c>
      <c r="B892" s="8" t="s">
        <v>13724</v>
      </c>
      <c r="C892" s="8" t="s">
        <v>13725</v>
      </c>
      <c r="D892" s="8" t="s">
        <v>13726</v>
      </c>
      <c r="E892" s="8" t="s">
        <v>216</v>
      </c>
      <c r="F892" s="8" t="s">
        <v>13727</v>
      </c>
    </row>
    <row r="893" customHeight="1" spans="1:6">
      <c r="A893" s="6">
        <v>892</v>
      </c>
      <c r="B893" s="8" t="s">
        <v>13724</v>
      </c>
      <c r="C893" s="8" t="s">
        <v>13725</v>
      </c>
      <c r="D893" s="8" t="s">
        <v>13726</v>
      </c>
      <c r="E893" s="8" t="s">
        <v>216</v>
      </c>
      <c r="F893" s="8" t="s">
        <v>13727</v>
      </c>
    </row>
    <row r="894" customHeight="1" spans="1:6">
      <c r="A894" s="6">
        <v>893</v>
      </c>
      <c r="B894" s="8" t="s">
        <v>13728</v>
      </c>
      <c r="C894" s="8" t="s">
        <v>13729</v>
      </c>
      <c r="D894" s="8" t="s">
        <v>13730</v>
      </c>
      <c r="E894" s="8" t="s">
        <v>1734</v>
      </c>
      <c r="F894" s="8" t="s">
        <v>13731</v>
      </c>
    </row>
    <row r="895" customHeight="1" spans="1:6">
      <c r="A895" s="6">
        <v>894</v>
      </c>
      <c r="B895" s="8" t="s">
        <v>13728</v>
      </c>
      <c r="C895" s="8" t="s">
        <v>13729</v>
      </c>
      <c r="D895" s="8" t="s">
        <v>13730</v>
      </c>
      <c r="E895" s="8" t="s">
        <v>1734</v>
      </c>
      <c r="F895" s="8" t="s">
        <v>13731</v>
      </c>
    </row>
    <row r="896" customHeight="1" spans="1:6">
      <c r="A896" s="6">
        <v>895</v>
      </c>
      <c r="B896" s="8" t="s">
        <v>13732</v>
      </c>
      <c r="C896" s="8" t="s">
        <v>13733</v>
      </c>
      <c r="D896" s="8" t="s">
        <v>13734</v>
      </c>
      <c r="E896" s="8" t="s">
        <v>1734</v>
      </c>
      <c r="F896" s="8" t="s">
        <v>13735</v>
      </c>
    </row>
    <row r="897" customHeight="1" spans="1:6">
      <c r="A897" s="6">
        <v>896</v>
      </c>
      <c r="B897" s="8" t="s">
        <v>13732</v>
      </c>
      <c r="C897" s="8" t="s">
        <v>13733</v>
      </c>
      <c r="D897" s="8" t="s">
        <v>13734</v>
      </c>
      <c r="E897" s="8" t="s">
        <v>1734</v>
      </c>
      <c r="F897" s="8" t="s">
        <v>13735</v>
      </c>
    </row>
    <row r="898" customHeight="1" spans="1:6">
      <c r="A898" s="6">
        <v>897</v>
      </c>
      <c r="B898" s="8" t="s">
        <v>13736</v>
      </c>
      <c r="C898" s="8" t="s">
        <v>13737</v>
      </c>
      <c r="D898" s="8" t="s">
        <v>13738</v>
      </c>
      <c r="E898" s="8" t="s">
        <v>256</v>
      </c>
      <c r="F898" s="8" t="s">
        <v>13739</v>
      </c>
    </row>
    <row r="899" customHeight="1" spans="1:6">
      <c r="A899" s="6">
        <v>898</v>
      </c>
      <c r="B899" s="8" t="s">
        <v>13736</v>
      </c>
      <c r="C899" s="8" t="s">
        <v>13737</v>
      </c>
      <c r="D899" s="8" t="s">
        <v>13738</v>
      </c>
      <c r="E899" s="8" t="s">
        <v>256</v>
      </c>
      <c r="F899" s="8" t="s">
        <v>13739</v>
      </c>
    </row>
    <row r="900" customHeight="1" spans="1:6">
      <c r="A900" s="6">
        <v>899</v>
      </c>
      <c r="B900" s="8" t="s">
        <v>13740</v>
      </c>
      <c r="C900" s="8" t="s">
        <v>13741</v>
      </c>
      <c r="D900" s="8" t="s">
        <v>13742</v>
      </c>
      <c r="E900" s="8" t="s">
        <v>256</v>
      </c>
      <c r="F900" s="8" t="s">
        <v>13743</v>
      </c>
    </row>
    <row r="901" customHeight="1" spans="1:6">
      <c r="A901" s="6">
        <v>900</v>
      </c>
      <c r="B901" s="8" t="s">
        <v>13740</v>
      </c>
      <c r="C901" s="8" t="s">
        <v>13741</v>
      </c>
      <c r="D901" s="8" t="s">
        <v>13742</v>
      </c>
      <c r="E901" s="8" t="s">
        <v>256</v>
      </c>
      <c r="F901" s="8" t="s">
        <v>13743</v>
      </c>
    </row>
    <row r="902" customHeight="1" spans="1:6">
      <c r="A902" s="6">
        <v>901</v>
      </c>
      <c r="B902" s="8" t="s">
        <v>13744</v>
      </c>
      <c r="C902" s="8" t="s">
        <v>13745</v>
      </c>
      <c r="D902" s="8" t="s">
        <v>13746</v>
      </c>
      <c r="E902" s="8" t="s">
        <v>744</v>
      </c>
      <c r="F902" s="8" t="s">
        <v>13747</v>
      </c>
    </row>
    <row r="903" customHeight="1" spans="1:6">
      <c r="A903" s="6">
        <v>902</v>
      </c>
      <c r="B903" s="8" t="s">
        <v>13744</v>
      </c>
      <c r="C903" s="8" t="s">
        <v>13745</v>
      </c>
      <c r="D903" s="8" t="s">
        <v>13746</v>
      </c>
      <c r="E903" s="8" t="s">
        <v>744</v>
      </c>
      <c r="F903" s="8" t="s">
        <v>13747</v>
      </c>
    </row>
    <row r="904" customHeight="1" spans="1:6">
      <c r="A904" s="6">
        <v>903</v>
      </c>
      <c r="B904" s="8" t="s">
        <v>13748</v>
      </c>
      <c r="C904" s="8" t="s">
        <v>13749</v>
      </c>
      <c r="D904" s="8" t="s">
        <v>13750</v>
      </c>
      <c r="E904" s="8" t="s">
        <v>256</v>
      </c>
      <c r="F904" s="8" t="s">
        <v>13751</v>
      </c>
    </row>
    <row r="905" customHeight="1" spans="1:6">
      <c r="A905" s="6">
        <v>904</v>
      </c>
      <c r="B905" s="8" t="s">
        <v>13748</v>
      </c>
      <c r="C905" s="8" t="s">
        <v>13749</v>
      </c>
      <c r="D905" s="8" t="s">
        <v>13750</v>
      </c>
      <c r="E905" s="8" t="s">
        <v>256</v>
      </c>
      <c r="F905" s="8" t="s">
        <v>13751</v>
      </c>
    </row>
    <row r="906" customHeight="1" spans="1:6">
      <c r="A906" s="6">
        <v>905</v>
      </c>
      <c r="B906" s="8" t="s">
        <v>13752</v>
      </c>
      <c r="C906" s="8" t="s">
        <v>13753</v>
      </c>
      <c r="D906" s="8" t="s">
        <v>13754</v>
      </c>
      <c r="E906" s="8" t="s">
        <v>530</v>
      </c>
      <c r="F906" s="8" t="s">
        <v>13755</v>
      </c>
    </row>
    <row r="907" customHeight="1" spans="1:6">
      <c r="A907" s="6">
        <v>906</v>
      </c>
      <c r="B907" s="8" t="s">
        <v>13752</v>
      </c>
      <c r="C907" s="8" t="s">
        <v>13753</v>
      </c>
      <c r="D907" s="8" t="s">
        <v>13754</v>
      </c>
      <c r="E907" s="8" t="s">
        <v>530</v>
      </c>
      <c r="F907" s="8" t="s">
        <v>13755</v>
      </c>
    </row>
    <row r="908" customHeight="1" spans="1:6">
      <c r="A908" s="6">
        <v>907</v>
      </c>
      <c r="B908" s="8" t="s">
        <v>13756</v>
      </c>
      <c r="C908" s="8" t="s">
        <v>13757</v>
      </c>
      <c r="D908" s="8" t="s">
        <v>13758</v>
      </c>
      <c r="E908" s="8" t="s">
        <v>8825</v>
      </c>
      <c r="F908" s="8" t="s">
        <v>13759</v>
      </c>
    </row>
    <row r="909" customHeight="1" spans="1:6">
      <c r="A909" s="6">
        <v>908</v>
      </c>
      <c r="B909" s="8" t="s">
        <v>13756</v>
      </c>
      <c r="C909" s="8" t="s">
        <v>13757</v>
      </c>
      <c r="D909" s="8" t="s">
        <v>13758</v>
      </c>
      <c r="E909" s="8" t="s">
        <v>8825</v>
      </c>
      <c r="F909" s="8" t="s">
        <v>13759</v>
      </c>
    </row>
    <row r="910" customHeight="1" spans="1:6">
      <c r="A910" s="6">
        <v>909</v>
      </c>
      <c r="B910" s="8" t="s">
        <v>13760</v>
      </c>
      <c r="C910" s="8" t="s">
        <v>13761</v>
      </c>
      <c r="D910" s="8" t="s">
        <v>13762</v>
      </c>
      <c r="E910" s="8" t="s">
        <v>216</v>
      </c>
      <c r="F910" s="8" t="s">
        <v>13763</v>
      </c>
    </row>
    <row r="911" customHeight="1" spans="1:6">
      <c r="A911" s="6">
        <v>910</v>
      </c>
      <c r="B911" s="8" t="s">
        <v>13760</v>
      </c>
      <c r="C911" s="8" t="s">
        <v>13761</v>
      </c>
      <c r="D911" s="8" t="s">
        <v>13762</v>
      </c>
      <c r="E911" s="8" t="s">
        <v>216</v>
      </c>
      <c r="F911" s="8" t="s">
        <v>13763</v>
      </c>
    </row>
    <row r="912" customHeight="1" spans="1:6">
      <c r="A912" s="6">
        <v>911</v>
      </c>
      <c r="B912" s="8" t="s">
        <v>13764</v>
      </c>
      <c r="C912" s="8" t="s">
        <v>13765</v>
      </c>
      <c r="D912" s="8" t="s">
        <v>13762</v>
      </c>
      <c r="E912" s="8" t="s">
        <v>216</v>
      </c>
      <c r="F912" s="8" t="s">
        <v>13766</v>
      </c>
    </row>
    <row r="913" customHeight="1" spans="1:6">
      <c r="A913" s="6">
        <v>912</v>
      </c>
      <c r="B913" s="8" t="s">
        <v>13764</v>
      </c>
      <c r="C913" s="8" t="s">
        <v>13765</v>
      </c>
      <c r="D913" s="8" t="s">
        <v>13762</v>
      </c>
      <c r="E913" s="8" t="s">
        <v>216</v>
      </c>
      <c r="F913" s="8" t="s">
        <v>13766</v>
      </c>
    </row>
    <row r="914" customHeight="1" spans="1:6">
      <c r="A914" s="6">
        <v>913</v>
      </c>
      <c r="B914" s="8" t="s">
        <v>13767</v>
      </c>
      <c r="C914" s="8" t="s">
        <v>13768</v>
      </c>
      <c r="D914" s="8" t="s">
        <v>13769</v>
      </c>
      <c r="E914" s="8" t="s">
        <v>12514</v>
      </c>
      <c r="F914" s="8" t="s">
        <v>13770</v>
      </c>
    </row>
    <row r="915" customHeight="1" spans="1:6">
      <c r="A915" s="6">
        <v>914</v>
      </c>
      <c r="B915" s="8" t="s">
        <v>13767</v>
      </c>
      <c r="C915" s="8" t="s">
        <v>13768</v>
      </c>
      <c r="D915" s="8" t="s">
        <v>13769</v>
      </c>
      <c r="E915" s="8" t="s">
        <v>12514</v>
      </c>
      <c r="F915" s="8" t="s">
        <v>13770</v>
      </c>
    </row>
    <row r="916" customHeight="1" spans="1:6">
      <c r="A916" s="6">
        <v>915</v>
      </c>
      <c r="B916" s="8" t="s">
        <v>13771</v>
      </c>
      <c r="C916" s="8" t="s">
        <v>13772</v>
      </c>
      <c r="D916" s="8" t="s">
        <v>13773</v>
      </c>
      <c r="E916" s="8" t="s">
        <v>3146</v>
      </c>
      <c r="F916" s="8" t="s">
        <v>13774</v>
      </c>
    </row>
    <row r="917" customHeight="1" spans="1:6">
      <c r="A917" s="6">
        <v>916</v>
      </c>
      <c r="B917" s="8" t="s">
        <v>13771</v>
      </c>
      <c r="C917" s="8" t="s">
        <v>13772</v>
      </c>
      <c r="D917" s="8" t="s">
        <v>13773</v>
      </c>
      <c r="E917" s="8" t="s">
        <v>3146</v>
      </c>
      <c r="F917" s="8" t="s">
        <v>13774</v>
      </c>
    </row>
    <row r="918" customHeight="1" spans="1:6">
      <c r="A918" s="6">
        <v>917</v>
      </c>
      <c r="B918" s="8" t="s">
        <v>13775</v>
      </c>
      <c r="C918" s="8" t="s">
        <v>13776</v>
      </c>
      <c r="D918" s="8" t="s">
        <v>13777</v>
      </c>
      <c r="E918" s="8" t="s">
        <v>216</v>
      </c>
      <c r="F918" s="8" t="s">
        <v>13778</v>
      </c>
    </row>
    <row r="919" customHeight="1" spans="1:6">
      <c r="A919" s="6">
        <v>918</v>
      </c>
      <c r="B919" s="8" t="s">
        <v>13775</v>
      </c>
      <c r="C919" s="8" t="s">
        <v>13776</v>
      </c>
      <c r="D919" s="8" t="s">
        <v>13777</v>
      </c>
      <c r="E919" s="8" t="s">
        <v>216</v>
      </c>
      <c r="F919" s="8" t="s">
        <v>13778</v>
      </c>
    </row>
    <row r="920" customHeight="1" spans="1:6">
      <c r="A920" s="6">
        <v>919</v>
      </c>
      <c r="B920" s="7" t="str">
        <f>"978-7-302-54999-4"</f>
        <v>978-7-302-54999-4</v>
      </c>
      <c r="C920" s="7" t="str">
        <f>"手把手教你学51单片机：C语言版：C programming language"</f>
        <v>手把手教你学51单片机：C语言版：C programming language</v>
      </c>
      <c r="D920" s="7" t="str">
        <f>"宋雪松编著"</f>
        <v>宋雪松编著</v>
      </c>
      <c r="E920" s="7" t="str">
        <f>"清华大学出版社"</f>
        <v>清华大学出版社</v>
      </c>
      <c r="F920" s="7" t="str">
        <f>"TP368.1/326=2D"</f>
        <v>TP368.1/326=2D</v>
      </c>
    </row>
    <row r="921" customHeight="1" spans="1:6">
      <c r="A921" s="6">
        <v>920</v>
      </c>
      <c r="B921" s="7" t="str">
        <f>"978-7-302-54999-4"</f>
        <v>978-7-302-54999-4</v>
      </c>
      <c r="C921" s="7" t="str">
        <f>"手把手教你学51单片机：C语言版：C programming language"</f>
        <v>手把手教你学51单片机：C语言版：C programming language</v>
      </c>
      <c r="D921" s="7" t="str">
        <f>"宋雪松编著"</f>
        <v>宋雪松编著</v>
      </c>
      <c r="E921" s="7" t="str">
        <f>"清华大学出版社"</f>
        <v>清华大学出版社</v>
      </c>
      <c r="F921" s="7" t="str">
        <f>"TP368.1/326=2D"</f>
        <v>TP368.1/326=2D</v>
      </c>
    </row>
    <row r="922" customHeight="1" spans="1:6">
      <c r="A922" s="6">
        <v>921</v>
      </c>
      <c r="B922" s="7" t="str">
        <f>"978-7-111-67884-7"</f>
        <v>978-7-111-67884-7</v>
      </c>
      <c r="C922" s="7" t="str">
        <f>"单片机原理与应用：基于Proteus仿真"</f>
        <v>单片机原理与应用：基于Proteus仿真</v>
      </c>
      <c r="D922" s="7" t="str">
        <f>"李芳， 荆珂， 白晓虎等编著"</f>
        <v>李芳， 荆珂， 白晓虎等编著</v>
      </c>
      <c r="E922" s="7" t="str">
        <f>"机械工业出版社"</f>
        <v>机械工业出版社</v>
      </c>
      <c r="F922" s="7" t="str">
        <f>"TP368.1/327"</f>
        <v>TP368.1/327</v>
      </c>
    </row>
    <row r="923" customHeight="1" spans="1:6">
      <c r="A923" s="6">
        <v>922</v>
      </c>
      <c r="B923" s="7" t="str">
        <f>"978-7-111-67884-7"</f>
        <v>978-7-111-67884-7</v>
      </c>
      <c r="C923" s="7" t="str">
        <f>"单片机原理与应用：基于Proteus仿真"</f>
        <v>单片机原理与应用：基于Proteus仿真</v>
      </c>
      <c r="D923" s="7" t="str">
        <f>"李芳， 荆珂， 白晓虎等编著"</f>
        <v>李芳， 荆珂， 白晓虎等编著</v>
      </c>
      <c r="E923" s="7" t="str">
        <f>"机械工业出版社"</f>
        <v>机械工业出版社</v>
      </c>
      <c r="F923" s="7" t="str">
        <f>"TP368.1/327"</f>
        <v>TP368.1/327</v>
      </c>
    </row>
    <row r="924" customHeight="1" spans="1:6">
      <c r="A924" s="6">
        <v>923</v>
      </c>
      <c r="B924" s="8" t="s">
        <v>13779</v>
      </c>
      <c r="C924" s="8" t="s">
        <v>13780</v>
      </c>
      <c r="D924" s="8" t="s">
        <v>13781</v>
      </c>
      <c r="E924" s="8" t="s">
        <v>1667</v>
      </c>
      <c r="F924" s="8" t="s">
        <v>13782</v>
      </c>
    </row>
    <row r="925" customHeight="1" spans="1:6">
      <c r="A925" s="6">
        <v>924</v>
      </c>
      <c r="B925" s="8" t="s">
        <v>13779</v>
      </c>
      <c r="C925" s="8" t="s">
        <v>13780</v>
      </c>
      <c r="D925" s="8" t="s">
        <v>13781</v>
      </c>
      <c r="E925" s="8" t="s">
        <v>1667</v>
      </c>
      <c r="F925" s="8" t="s">
        <v>13782</v>
      </c>
    </row>
    <row r="926" customHeight="1" spans="1:6">
      <c r="A926" s="6">
        <v>925</v>
      </c>
      <c r="B926" s="8" t="s">
        <v>13783</v>
      </c>
      <c r="C926" s="8" t="s">
        <v>13784</v>
      </c>
      <c r="D926" s="8" t="s">
        <v>13785</v>
      </c>
      <c r="E926" s="8" t="s">
        <v>3146</v>
      </c>
      <c r="F926" s="8" t="s">
        <v>13786</v>
      </c>
    </row>
    <row r="927" customHeight="1" spans="1:6">
      <c r="A927" s="6">
        <v>926</v>
      </c>
      <c r="B927" s="8" t="s">
        <v>13783</v>
      </c>
      <c r="C927" s="8" t="s">
        <v>13784</v>
      </c>
      <c r="D927" s="8" t="s">
        <v>13785</v>
      </c>
      <c r="E927" s="8" t="s">
        <v>3146</v>
      </c>
      <c r="F927" s="8" t="s">
        <v>13786</v>
      </c>
    </row>
    <row r="928" customHeight="1" spans="1:6">
      <c r="A928" s="6">
        <v>927</v>
      </c>
      <c r="B928" s="8" t="s">
        <v>13787</v>
      </c>
      <c r="C928" s="8" t="s">
        <v>13788</v>
      </c>
      <c r="D928" s="8" t="s">
        <v>13789</v>
      </c>
      <c r="E928" s="8" t="s">
        <v>4855</v>
      </c>
      <c r="F928" s="8" t="s">
        <v>13790</v>
      </c>
    </row>
    <row r="929" customHeight="1" spans="1:6">
      <c r="A929" s="6">
        <v>928</v>
      </c>
      <c r="B929" s="8" t="s">
        <v>13787</v>
      </c>
      <c r="C929" s="8" t="s">
        <v>13788</v>
      </c>
      <c r="D929" s="8" t="s">
        <v>13789</v>
      </c>
      <c r="E929" s="8" t="s">
        <v>4855</v>
      </c>
      <c r="F929" s="8" t="s">
        <v>13790</v>
      </c>
    </row>
    <row r="930" customHeight="1" spans="1:6">
      <c r="A930" s="6">
        <v>929</v>
      </c>
      <c r="B930" s="8" t="s">
        <v>13791</v>
      </c>
      <c r="C930" s="8" t="s">
        <v>13792</v>
      </c>
      <c r="D930" s="8" t="s">
        <v>13793</v>
      </c>
      <c r="E930" s="8" t="s">
        <v>256</v>
      </c>
      <c r="F930" s="8" t="s">
        <v>13794</v>
      </c>
    </row>
    <row r="931" customHeight="1" spans="1:6">
      <c r="A931" s="6">
        <v>930</v>
      </c>
      <c r="B931" s="8" t="s">
        <v>13791</v>
      </c>
      <c r="C931" s="8" t="s">
        <v>13792</v>
      </c>
      <c r="D931" s="8" t="s">
        <v>13793</v>
      </c>
      <c r="E931" s="8" t="s">
        <v>256</v>
      </c>
      <c r="F931" s="8" t="s">
        <v>13794</v>
      </c>
    </row>
    <row r="932" customHeight="1" spans="1:6">
      <c r="A932" s="6">
        <v>931</v>
      </c>
      <c r="B932" s="8" t="s">
        <v>13795</v>
      </c>
      <c r="C932" s="8" t="s">
        <v>13796</v>
      </c>
      <c r="D932" s="8" t="s">
        <v>13797</v>
      </c>
      <c r="E932" s="8" t="s">
        <v>3146</v>
      </c>
      <c r="F932" s="8" t="s">
        <v>13798</v>
      </c>
    </row>
    <row r="933" customHeight="1" spans="1:6">
      <c r="A933" s="6">
        <v>932</v>
      </c>
      <c r="B933" s="8" t="s">
        <v>13795</v>
      </c>
      <c r="C933" s="8" t="s">
        <v>13796</v>
      </c>
      <c r="D933" s="8" t="s">
        <v>13797</v>
      </c>
      <c r="E933" s="8" t="s">
        <v>3146</v>
      </c>
      <c r="F933" s="8" t="s">
        <v>13798</v>
      </c>
    </row>
    <row r="934" customHeight="1" spans="1:6">
      <c r="A934" s="6">
        <v>933</v>
      </c>
      <c r="B934" s="8" t="s">
        <v>13799</v>
      </c>
      <c r="C934" s="8" t="s">
        <v>13800</v>
      </c>
      <c r="D934" s="8" t="s">
        <v>13801</v>
      </c>
      <c r="E934" s="8" t="s">
        <v>3146</v>
      </c>
      <c r="F934" s="8" t="s">
        <v>13802</v>
      </c>
    </row>
    <row r="935" customHeight="1" spans="1:6">
      <c r="A935" s="6">
        <v>934</v>
      </c>
      <c r="B935" s="8" t="s">
        <v>13799</v>
      </c>
      <c r="C935" s="8" t="s">
        <v>13800</v>
      </c>
      <c r="D935" s="8" t="s">
        <v>13801</v>
      </c>
      <c r="E935" s="8" t="s">
        <v>3146</v>
      </c>
      <c r="F935" s="8" t="s">
        <v>13802</v>
      </c>
    </row>
    <row r="936" customHeight="1" spans="1:6">
      <c r="A936" s="6">
        <v>935</v>
      </c>
      <c r="B936" s="7" t="str">
        <f>"978-7-5671-4290-9"</f>
        <v>978-7-5671-4290-9</v>
      </c>
      <c r="C936" s="7" t="str">
        <f>"媒体与交互艺术"</f>
        <v>媒体与交互艺术</v>
      </c>
      <c r="D936" s="7" t="str">
        <f>"柴秋霞著"</f>
        <v>柴秋霞著</v>
      </c>
      <c r="E936" s="7" t="str">
        <f>"上海大学出版社"</f>
        <v>上海大学出版社</v>
      </c>
      <c r="F936" s="7" t="str">
        <f>"TP37/143"</f>
        <v>TP37/143</v>
      </c>
    </row>
    <row r="937" customHeight="1" spans="1:6">
      <c r="A937" s="6">
        <v>936</v>
      </c>
      <c r="B937" s="7" t="str">
        <f>"978-7-5671-4290-9"</f>
        <v>978-7-5671-4290-9</v>
      </c>
      <c r="C937" s="7" t="str">
        <f>"媒体与交互艺术"</f>
        <v>媒体与交互艺术</v>
      </c>
      <c r="D937" s="7" t="str">
        <f>"柴秋霞著"</f>
        <v>柴秋霞著</v>
      </c>
      <c r="E937" s="7" t="str">
        <f>"上海大学出版社"</f>
        <v>上海大学出版社</v>
      </c>
      <c r="F937" s="7" t="str">
        <f>"TP37/143"</f>
        <v>TP37/143</v>
      </c>
    </row>
    <row r="938" customHeight="1" spans="1:6">
      <c r="A938" s="6">
        <v>937</v>
      </c>
      <c r="B938" s="8" t="s">
        <v>13803</v>
      </c>
      <c r="C938" s="8" t="s">
        <v>13804</v>
      </c>
      <c r="D938" s="8" t="s">
        <v>13805</v>
      </c>
      <c r="E938" s="8" t="s">
        <v>1636</v>
      </c>
      <c r="F938" s="8" t="s">
        <v>13806</v>
      </c>
    </row>
    <row r="939" customHeight="1" spans="1:6">
      <c r="A939" s="6">
        <v>938</v>
      </c>
      <c r="B939" s="8" t="s">
        <v>13803</v>
      </c>
      <c r="C939" s="8" t="s">
        <v>13804</v>
      </c>
      <c r="D939" s="8" t="s">
        <v>13805</v>
      </c>
      <c r="E939" s="8" t="s">
        <v>1636</v>
      </c>
      <c r="F939" s="8" t="s">
        <v>13806</v>
      </c>
    </row>
    <row r="940" customHeight="1" spans="1:6">
      <c r="A940" s="6">
        <v>939</v>
      </c>
      <c r="B940" s="8" t="s">
        <v>13807</v>
      </c>
      <c r="C940" s="8" t="s">
        <v>13808</v>
      </c>
      <c r="D940" s="8" t="s">
        <v>13809</v>
      </c>
      <c r="E940" s="8" t="s">
        <v>530</v>
      </c>
      <c r="F940" s="8" t="s">
        <v>13810</v>
      </c>
    </row>
    <row r="941" customHeight="1" spans="1:6">
      <c r="A941" s="6">
        <v>940</v>
      </c>
      <c r="B941" s="8" t="s">
        <v>13807</v>
      </c>
      <c r="C941" s="8" t="s">
        <v>13808</v>
      </c>
      <c r="D941" s="8" t="s">
        <v>13809</v>
      </c>
      <c r="E941" s="8" t="s">
        <v>530</v>
      </c>
      <c r="F941" s="8" t="s">
        <v>13810</v>
      </c>
    </row>
    <row r="942" customHeight="1" spans="1:6">
      <c r="A942" s="6">
        <v>941</v>
      </c>
      <c r="B942" s="8" t="s">
        <v>13811</v>
      </c>
      <c r="C942" s="8" t="s">
        <v>13812</v>
      </c>
      <c r="D942" s="8" t="s">
        <v>13813</v>
      </c>
      <c r="E942" s="8" t="s">
        <v>1189</v>
      </c>
      <c r="F942" s="8" t="s">
        <v>13814</v>
      </c>
    </row>
    <row r="943" customHeight="1" spans="1:6">
      <c r="A943" s="6">
        <v>942</v>
      </c>
      <c r="B943" s="8" t="s">
        <v>13811</v>
      </c>
      <c r="C943" s="8" t="s">
        <v>13812</v>
      </c>
      <c r="D943" s="8" t="s">
        <v>13813</v>
      </c>
      <c r="E943" s="8" t="s">
        <v>1189</v>
      </c>
      <c r="F943" s="8" t="s">
        <v>13814</v>
      </c>
    </row>
    <row r="944" customHeight="1" spans="1:6">
      <c r="A944" s="6">
        <v>943</v>
      </c>
      <c r="B944" s="8" t="s">
        <v>13815</v>
      </c>
      <c r="C944" s="8" t="s">
        <v>13816</v>
      </c>
      <c r="D944" s="8" t="s">
        <v>13817</v>
      </c>
      <c r="E944" s="8" t="s">
        <v>4950</v>
      </c>
      <c r="F944" s="8" t="s">
        <v>13818</v>
      </c>
    </row>
    <row r="945" customHeight="1" spans="1:6">
      <c r="A945" s="6">
        <v>944</v>
      </c>
      <c r="B945" s="8" t="s">
        <v>13815</v>
      </c>
      <c r="C945" s="8" t="s">
        <v>13816</v>
      </c>
      <c r="D945" s="8" t="s">
        <v>13817</v>
      </c>
      <c r="E945" s="8" t="s">
        <v>4950</v>
      </c>
      <c r="F945" s="8" t="s">
        <v>13818</v>
      </c>
    </row>
    <row r="946" customHeight="1" spans="1:6">
      <c r="A946" s="6">
        <v>945</v>
      </c>
      <c r="B946" s="7" t="str">
        <f>"978-7-220-11788-6"</f>
        <v>978-7-220-11788-6</v>
      </c>
      <c r="C946" s="7" t="str">
        <f>"量子计算机简史"</f>
        <v>量子计算机简史</v>
      </c>
      <c r="D946" s="7" t="str">
        <f>"(日) 西森秀稔， 大关真之著；姜婧译"</f>
        <v>(日) 西森秀稔， 大关真之著；姜婧译</v>
      </c>
      <c r="E946" s="7" t="str">
        <f>"四川人民出版社"</f>
        <v>四川人民出版社</v>
      </c>
      <c r="F946" s="7" t="str">
        <f>"TP385/4"</f>
        <v>TP385/4</v>
      </c>
    </row>
    <row r="947" customHeight="1" spans="1:6">
      <c r="A947" s="6">
        <v>946</v>
      </c>
      <c r="B947" s="7" t="str">
        <f>"978-7-220-11788-6"</f>
        <v>978-7-220-11788-6</v>
      </c>
      <c r="C947" s="7" t="str">
        <f>"量子计算机简史"</f>
        <v>量子计算机简史</v>
      </c>
      <c r="D947" s="7" t="str">
        <f>"(日) 西森秀稔， 大关真之著；姜婧译"</f>
        <v>(日) 西森秀稔， 大关真之著；姜婧译</v>
      </c>
      <c r="E947" s="7" t="str">
        <f>"四川人民出版社"</f>
        <v>四川人民出版社</v>
      </c>
      <c r="F947" s="7" t="str">
        <f>"TP385/4"</f>
        <v>TP385/4</v>
      </c>
    </row>
    <row r="948" customHeight="1" spans="1:6">
      <c r="A948" s="6">
        <v>947</v>
      </c>
      <c r="B948" s="8" t="s">
        <v>13819</v>
      </c>
      <c r="C948" s="8" t="s">
        <v>13820</v>
      </c>
      <c r="D948" s="8" t="s">
        <v>13821</v>
      </c>
      <c r="E948" s="8" t="s">
        <v>216</v>
      </c>
      <c r="F948" s="8" t="s">
        <v>13822</v>
      </c>
    </row>
    <row r="949" customHeight="1" spans="1:6">
      <c r="A949" s="6">
        <v>948</v>
      </c>
      <c r="B949" s="8" t="s">
        <v>13819</v>
      </c>
      <c r="C949" s="8" t="s">
        <v>13820</v>
      </c>
      <c r="D949" s="8" t="s">
        <v>13821</v>
      </c>
      <c r="E949" s="8" t="s">
        <v>216</v>
      </c>
      <c r="F949" s="8" t="s">
        <v>13822</v>
      </c>
    </row>
    <row r="950" customHeight="1" spans="1:6">
      <c r="A950" s="6">
        <v>949</v>
      </c>
      <c r="B950" s="8" t="s">
        <v>13823</v>
      </c>
      <c r="C950" s="8" t="s">
        <v>13824</v>
      </c>
      <c r="D950" s="8" t="s">
        <v>13825</v>
      </c>
      <c r="E950" s="8" t="s">
        <v>216</v>
      </c>
      <c r="F950" s="8" t="s">
        <v>13826</v>
      </c>
    </row>
    <row r="951" customHeight="1" spans="1:6">
      <c r="A951" s="6">
        <v>950</v>
      </c>
      <c r="B951" s="8" t="s">
        <v>13823</v>
      </c>
      <c r="C951" s="8" t="s">
        <v>13824</v>
      </c>
      <c r="D951" s="8" t="s">
        <v>13825</v>
      </c>
      <c r="E951" s="8" t="s">
        <v>216</v>
      </c>
      <c r="F951" s="8" t="s">
        <v>13826</v>
      </c>
    </row>
    <row r="952" customHeight="1" spans="1:6">
      <c r="A952" s="6">
        <v>951</v>
      </c>
      <c r="B952" s="8" t="s">
        <v>13827</v>
      </c>
      <c r="C952" s="8" t="s">
        <v>13828</v>
      </c>
      <c r="D952" s="8" t="s">
        <v>13829</v>
      </c>
      <c r="E952" s="8" t="s">
        <v>530</v>
      </c>
      <c r="F952" s="8" t="s">
        <v>13830</v>
      </c>
    </row>
    <row r="953" customHeight="1" spans="1:6">
      <c r="A953" s="6">
        <v>952</v>
      </c>
      <c r="B953" s="8" t="s">
        <v>13827</v>
      </c>
      <c r="C953" s="8" t="s">
        <v>13828</v>
      </c>
      <c r="D953" s="8" t="s">
        <v>13829</v>
      </c>
      <c r="E953" s="8" t="s">
        <v>530</v>
      </c>
      <c r="F953" s="8" t="s">
        <v>13830</v>
      </c>
    </row>
    <row r="954" customHeight="1" spans="1:6">
      <c r="A954" s="6">
        <v>953</v>
      </c>
      <c r="B954" s="8" t="s">
        <v>13831</v>
      </c>
      <c r="C954" s="8" t="s">
        <v>13832</v>
      </c>
      <c r="D954" s="8" t="s">
        <v>13833</v>
      </c>
      <c r="E954" s="8" t="s">
        <v>3146</v>
      </c>
      <c r="F954" s="8" t="s">
        <v>13834</v>
      </c>
    </row>
    <row r="955" customHeight="1" spans="1:6">
      <c r="A955" s="6">
        <v>954</v>
      </c>
      <c r="B955" s="8" t="s">
        <v>13831</v>
      </c>
      <c r="C955" s="8" t="s">
        <v>13832</v>
      </c>
      <c r="D955" s="8" t="s">
        <v>13833</v>
      </c>
      <c r="E955" s="8" t="s">
        <v>3146</v>
      </c>
      <c r="F955" s="8" t="s">
        <v>13834</v>
      </c>
    </row>
    <row r="956" customHeight="1" spans="1:6">
      <c r="A956" s="6">
        <v>955</v>
      </c>
      <c r="B956" s="8" t="s">
        <v>13835</v>
      </c>
      <c r="C956" s="8" t="s">
        <v>13836</v>
      </c>
      <c r="D956" s="8" t="s">
        <v>13837</v>
      </c>
      <c r="E956" s="8" t="s">
        <v>1667</v>
      </c>
      <c r="F956" s="8" t="s">
        <v>13838</v>
      </c>
    </row>
    <row r="957" customHeight="1" spans="1:6">
      <c r="A957" s="6">
        <v>956</v>
      </c>
      <c r="B957" s="8" t="s">
        <v>13835</v>
      </c>
      <c r="C957" s="8" t="s">
        <v>13836</v>
      </c>
      <c r="D957" s="8" t="s">
        <v>13837</v>
      </c>
      <c r="E957" s="8" t="s">
        <v>1667</v>
      </c>
      <c r="F957" s="8" t="s">
        <v>13838</v>
      </c>
    </row>
    <row r="958" customHeight="1" spans="1:6">
      <c r="A958" s="6">
        <v>957</v>
      </c>
      <c r="B958" s="8" t="s">
        <v>13839</v>
      </c>
      <c r="C958" s="8" t="s">
        <v>13840</v>
      </c>
      <c r="D958" s="8" t="s">
        <v>13841</v>
      </c>
      <c r="E958" s="8" t="s">
        <v>530</v>
      </c>
      <c r="F958" s="8" t="s">
        <v>13842</v>
      </c>
    </row>
    <row r="959" customHeight="1" spans="1:6">
      <c r="A959" s="6">
        <v>958</v>
      </c>
      <c r="B959" s="8" t="s">
        <v>13839</v>
      </c>
      <c r="C959" s="8" t="s">
        <v>13840</v>
      </c>
      <c r="D959" s="8" t="s">
        <v>13841</v>
      </c>
      <c r="E959" s="8" t="s">
        <v>530</v>
      </c>
      <c r="F959" s="8" t="s">
        <v>13842</v>
      </c>
    </row>
    <row r="960" customHeight="1" spans="1:6">
      <c r="A960" s="6">
        <v>959</v>
      </c>
      <c r="B960" s="8" t="s">
        <v>13843</v>
      </c>
      <c r="C960" s="8" t="s">
        <v>13844</v>
      </c>
      <c r="D960" s="8" t="s">
        <v>13845</v>
      </c>
      <c r="E960" s="8" t="s">
        <v>23</v>
      </c>
      <c r="F960" s="8" t="s">
        <v>13846</v>
      </c>
    </row>
    <row r="961" customHeight="1" spans="1:6">
      <c r="A961" s="6">
        <v>960</v>
      </c>
      <c r="B961" s="8" t="s">
        <v>13843</v>
      </c>
      <c r="C961" s="8" t="s">
        <v>13844</v>
      </c>
      <c r="D961" s="8" t="s">
        <v>13845</v>
      </c>
      <c r="E961" s="8" t="s">
        <v>23</v>
      </c>
      <c r="F961" s="8" t="s">
        <v>13846</v>
      </c>
    </row>
    <row r="962" customHeight="1" spans="1:6">
      <c r="A962" s="6">
        <v>961</v>
      </c>
      <c r="B962" s="8" t="s">
        <v>13843</v>
      </c>
      <c r="C962" s="8" t="s">
        <v>13844</v>
      </c>
      <c r="D962" s="8" t="s">
        <v>13845</v>
      </c>
      <c r="E962" s="8" t="s">
        <v>23</v>
      </c>
      <c r="F962" s="8" t="s">
        <v>13846</v>
      </c>
    </row>
    <row r="963" customHeight="1" spans="1:6">
      <c r="A963" s="6">
        <v>962</v>
      </c>
      <c r="B963" s="8" t="s">
        <v>13847</v>
      </c>
      <c r="C963" s="8" t="s">
        <v>13848</v>
      </c>
      <c r="D963" s="8" t="s">
        <v>13849</v>
      </c>
      <c r="E963" s="8" t="s">
        <v>216</v>
      </c>
      <c r="F963" s="8" t="s">
        <v>13850</v>
      </c>
    </row>
    <row r="964" customHeight="1" spans="1:6">
      <c r="A964" s="6">
        <v>963</v>
      </c>
      <c r="B964" s="8" t="s">
        <v>13847</v>
      </c>
      <c r="C964" s="8" t="s">
        <v>13848</v>
      </c>
      <c r="D964" s="8" t="s">
        <v>13849</v>
      </c>
      <c r="E964" s="8" t="s">
        <v>216</v>
      </c>
      <c r="F964" s="8" t="s">
        <v>13850</v>
      </c>
    </row>
    <row r="965" customHeight="1" spans="1:6">
      <c r="A965" s="6">
        <v>964</v>
      </c>
      <c r="B965" s="8" t="s">
        <v>13847</v>
      </c>
      <c r="C965" s="8" t="s">
        <v>13848</v>
      </c>
      <c r="D965" s="8" t="s">
        <v>13849</v>
      </c>
      <c r="E965" s="8" t="s">
        <v>216</v>
      </c>
      <c r="F965" s="8" t="s">
        <v>13850</v>
      </c>
    </row>
    <row r="966" customHeight="1" spans="1:6">
      <c r="A966" s="6">
        <v>965</v>
      </c>
      <c r="B966" s="8" t="s">
        <v>13851</v>
      </c>
      <c r="C966" s="8" t="s">
        <v>13852</v>
      </c>
      <c r="D966" s="8" t="s">
        <v>13853</v>
      </c>
      <c r="E966" s="8" t="s">
        <v>576</v>
      </c>
      <c r="F966" s="8" t="s">
        <v>13854</v>
      </c>
    </row>
    <row r="967" customHeight="1" spans="1:6">
      <c r="A967" s="6">
        <v>966</v>
      </c>
      <c r="B967" s="8" t="s">
        <v>13851</v>
      </c>
      <c r="C967" s="8" t="s">
        <v>13852</v>
      </c>
      <c r="D967" s="8" t="s">
        <v>13853</v>
      </c>
      <c r="E967" s="8" t="s">
        <v>576</v>
      </c>
      <c r="F967" s="8" t="s">
        <v>13854</v>
      </c>
    </row>
    <row r="968" customHeight="1" spans="1:6">
      <c r="A968" s="6">
        <v>967</v>
      </c>
      <c r="B968" s="8" t="s">
        <v>13851</v>
      </c>
      <c r="C968" s="8" t="s">
        <v>13852</v>
      </c>
      <c r="D968" s="8" t="s">
        <v>13853</v>
      </c>
      <c r="E968" s="8" t="s">
        <v>576</v>
      </c>
      <c r="F968" s="8" t="s">
        <v>13854</v>
      </c>
    </row>
    <row r="969" customHeight="1" spans="1:6">
      <c r="A969" s="6">
        <v>968</v>
      </c>
      <c r="B969" s="8" t="s">
        <v>13855</v>
      </c>
      <c r="C969" s="8" t="s">
        <v>13856</v>
      </c>
      <c r="D969" s="8" t="s">
        <v>13857</v>
      </c>
      <c r="E969" s="8" t="s">
        <v>216</v>
      </c>
      <c r="F969" s="8" t="s">
        <v>13858</v>
      </c>
    </row>
    <row r="970" customHeight="1" spans="1:6">
      <c r="A970" s="6">
        <v>969</v>
      </c>
      <c r="B970" s="8" t="s">
        <v>13855</v>
      </c>
      <c r="C970" s="8" t="s">
        <v>13856</v>
      </c>
      <c r="D970" s="8" t="s">
        <v>13857</v>
      </c>
      <c r="E970" s="8" t="s">
        <v>216</v>
      </c>
      <c r="F970" s="8" t="s">
        <v>13858</v>
      </c>
    </row>
    <row r="971" customHeight="1" spans="1:6">
      <c r="A971" s="6">
        <v>970</v>
      </c>
      <c r="B971" s="8" t="s">
        <v>13855</v>
      </c>
      <c r="C971" s="8" t="s">
        <v>13856</v>
      </c>
      <c r="D971" s="8" t="s">
        <v>13857</v>
      </c>
      <c r="E971" s="8" t="s">
        <v>216</v>
      </c>
      <c r="F971" s="8" t="s">
        <v>13858</v>
      </c>
    </row>
    <row r="972" customHeight="1" spans="1:6">
      <c r="A972" s="6">
        <v>971</v>
      </c>
      <c r="B972" s="8" t="s">
        <v>13859</v>
      </c>
      <c r="C972" s="8" t="s">
        <v>13860</v>
      </c>
      <c r="D972" s="8" t="s">
        <v>13861</v>
      </c>
      <c r="E972" s="8" t="s">
        <v>10500</v>
      </c>
      <c r="F972" s="8" t="s">
        <v>13862</v>
      </c>
    </row>
    <row r="973" customHeight="1" spans="1:6">
      <c r="A973" s="6">
        <v>972</v>
      </c>
      <c r="B973" s="8" t="s">
        <v>13859</v>
      </c>
      <c r="C973" s="8" t="s">
        <v>13860</v>
      </c>
      <c r="D973" s="8" t="s">
        <v>13861</v>
      </c>
      <c r="E973" s="8" t="s">
        <v>10500</v>
      </c>
      <c r="F973" s="8" t="s">
        <v>13862</v>
      </c>
    </row>
    <row r="974" customHeight="1" spans="1:6">
      <c r="A974" s="6">
        <v>973</v>
      </c>
      <c r="B974" s="8" t="s">
        <v>13863</v>
      </c>
      <c r="C974" s="8" t="s">
        <v>13864</v>
      </c>
      <c r="D974" s="8" t="s">
        <v>13865</v>
      </c>
      <c r="E974" s="8" t="s">
        <v>189</v>
      </c>
      <c r="F974" s="8" t="s">
        <v>13866</v>
      </c>
    </row>
    <row r="975" customHeight="1" spans="1:6">
      <c r="A975" s="6">
        <v>974</v>
      </c>
      <c r="B975" s="8" t="s">
        <v>13863</v>
      </c>
      <c r="C975" s="8" t="s">
        <v>13864</v>
      </c>
      <c r="D975" s="8" t="s">
        <v>13865</v>
      </c>
      <c r="E975" s="8" t="s">
        <v>189</v>
      </c>
      <c r="F975" s="8" t="s">
        <v>13866</v>
      </c>
    </row>
    <row r="976" customHeight="1" spans="1:6">
      <c r="A976" s="6">
        <v>975</v>
      </c>
      <c r="B976" s="8" t="s">
        <v>13867</v>
      </c>
      <c r="C976" s="8" t="s">
        <v>13868</v>
      </c>
      <c r="D976" s="8" t="s">
        <v>13869</v>
      </c>
      <c r="E976" s="8" t="s">
        <v>10500</v>
      </c>
      <c r="F976" s="8" t="s">
        <v>13870</v>
      </c>
    </row>
    <row r="977" customHeight="1" spans="1:6">
      <c r="A977" s="6">
        <v>976</v>
      </c>
      <c r="B977" s="8" t="s">
        <v>13867</v>
      </c>
      <c r="C977" s="8" t="s">
        <v>13868</v>
      </c>
      <c r="D977" s="8" t="s">
        <v>13869</v>
      </c>
      <c r="E977" s="8" t="s">
        <v>10500</v>
      </c>
      <c r="F977" s="8" t="s">
        <v>13870</v>
      </c>
    </row>
    <row r="978" customHeight="1" spans="1:6">
      <c r="A978" s="6">
        <v>977</v>
      </c>
      <c r="B978" s="8" t="s">
        <v>13871</v>
      </c>
      <c r="C978" s="8" t="s">
        <v>13872</v>
      </c>
      <c r="D978" s="8" t="s">
        <v>13682</v>
      </c>
      <c r="E978" s="8" t="s">
        <v>420</v>
      </c>
      <c r="F978" s="8" t="s">
        <v>13873</v>
      </c>
    </row>
    <row r="979" customHeight="1" spans="1:6">
      <c r="A979" s="6">
        <v>978</v>
      </c>
      <c r="B979" s="8" t="s">
        <v>13871</v>
      </c>
      <c r="C979" s="8" t="s">
        <v>13872</v>
      </c>
      <c r="D979" s="8" t="s">
        <v>13682</v>
      </c>
      <c r="E979" s="8" t="s">
        <v>420</v>
      </c>
      <c r="F979" s="8" t="s">
        <v>13873</v>
      </c>
    </row>
    <row r="980" customHeight="1" spans="1:6">
      <c r="A980" s="6">
        <v>979</v>
      </c>
      <c r="B980" s="8" t="s">
        <v>13871</v>
      </c>
      <c r="C980" s="8" t="s">
        <v>13872</v>
      </c>
      <c r="D980" s="8" t="s">
        <v>13682</v>
      </c>
      <c r="E980" s="8" t="s">
        <v>420</v>
      </c>
      <c r="F980" s="8" t="s">
        <v>13873</v>
      </c>
    </row>
    <row r="981" customHeight="1" spans="1:6">
      <c r="A981" s="6">
        <v>980</v>
      </c>
      <c r="B981" s="8" t="s">
        <v>13874</v>
      </c>
      <c r="C981" s="8" t="s">
        <v>13875</v>
      </c>
      <c r="D981" s="8" t="s">
        <v>13682</v>
      </c>
      <c r="E981" s="8" t="s">
        <v>420</v>
      </c>
      <c r="F981" s="8" t="s">
        <v>13876</v>
      </c>
    </row>
    <row r="982" customHeight="1" spans="1:6">
      <c r="A982" s="6">
        <v>981</v>
      </c>
      <c r="B982" s="8" t="s">
        <v>13874</v>
      </c>
      <c r="C982" s="8" t="s">
        <v>13875</v>
      </c>
      <c r="D982" s="8" t="s">
        <v>13682</v>
      </c>
      <c r="E982" s="8" t="s">
        <v>420</v>
      </c>
      <c r="F982" s="8" t="s">
        <v>13876</v>
      </c>
    </row>
    <row r="983" customHeight="1" spans="1:6">
      <c r="A983" s="6">
        <v>982</v>
      </c>
      <c r="B983" s="8" t="s">
        <v>13874</v>
      </c>
      <c r="C983" s="8" t="s">
        <v>13875</v>
      </c>
      <c r="D983" s="8" t="s">
        <v>13682</v>
      </c>
      <c r="E983" s="8" t="s">
        <v>420</v>
      </c>
      <c r="F983" s="8" t="s">
        <v>13876</v>
      </c>
    </row>
    <row r="984" customHeight="1" spans="1:6">
      <c r="A984" s="6">
        <v>983</v>
      </c>
      <c r="B984" s="8" t="s">
        <v>13877</v>
      </c>
      <c r="C984" s="8" t="s">
        <v>13878</v>
      </c>
      <c r="D984" s="8" t="s">
        <v>13879</v>
      </c>
      <c r="E984" s="8" t="s">
        <v>10500</v>
      </c>
      <c r="F984" s="8" t="s">
        <v>13880</v>
      </c>
    </row>
    <row r="985" customHeight="1" spans="1:6">
      <c r="A985" s="6">
        <v>984</v>
      </c>
      <c r="B985" s="8" t="s">
        <v>13877</v>
      </c>
      <c r="C985" s="8" t="s">
        <v>13878</v>
      </c>
      <c r="D985" s="8" t="s">
        <v>13879</v>
      </c>
      <c r="E985" s="8" t="s">
        <v>10500</v>
      </c>
      <c r="F985" s="8" t="s">
        <v>13880</v>
      </c>
    </row>
    <row r="986" customHeight="1" spans="1:6">
      <c r="A986" s="6">
        <v>985</v>
      </c>
      <c r="B986" s="8" t="s">
        <v>13881</v>
      </c>
      <c r="C986" s="8" t="s">
        <v>13882</v>
      </c>
      <c r="D986" s="8" t="s">
        <v>13865</v>
      </c>
      <c r="E986" s="8" t="s">
        <v>189</v>
      </c>
      <c r="F986" s="8" t="s">
        <v>13883</v>
      </c>
    </row>
    <row r="987" customHeight="1" spans="1:6">
      <c r="A987" s="6">
        <v>986</v>
      </c>
      <c r="B987" s="8" t="s">
        <v>13881</v>
      </c>
      <c r="C987" s="8" t="s">
        <v>13882</v>
      </c>
      <c r="D987" s="8" t="s">
        <v>13865</v>
      </c>
      <c r="E987" s="8" t="s">
        <v>189</v>
      </c>
      <c r="F987" s="8" t="s">
        <v>13883</v>
      </c>
    </row>
    <row r="988" customHeight="1" spans="1:6">
      <c r="A988" s="6">
        <v>987</v>
      </c>
      <c r="B988" s="8" t="s">
        <v>13884</v>
      </c>
      <c r="C988" s="8" t="s">
        <v>13885</v>
      </c>
      <c r="D988" s="8" t="s">
        <v>13865</v>
      </c>
      <c r="E988" s="8" t="s">
        <v>189</v>
      </c>
      <c r="F988" s="8" t="s">
        <v>13886</v>
      </c>
    </row>
    <row r="989" customHeight="1" spans="1:6">
      <c r="A989" s="6">
        <v>988</v>
      </c>
      <c r="B989" s="8" t="s">
        <v>13884</v>
      </c>
      <c r="C989" s="8" t="s">
        <v>13885</v>
      </c>
      <c r="D989" s="8" t="s">
        <v>13865</v>
      </c>
      <c r="E989" s="8" t="s">
        <v>189</v>
      </c>
      <c r="F989" s="8" t="s">
        <v>13886</v>
      </c>
    </row>
    <row r="990" customHeight="1" spans="1:6">
      <c r="A990" s="6">
        <v>989</v>
      </c>
      <c r="B990" s="8" t="s">
        <v>13887</v>
      </c>
      <c r="C990" s="8" t="s">
        <v>13888</v>
      </c>
      <c r="D990" s="8" t="s">
        <v>13889</v>
      </c>
      <c r="E990" s="8" t="s">
        <v>13890</v>
      </c>
      <c r="F990" s="8" t="s">
        <v>13891</v>
      </c>
    </row>
    <row r="991" customHeight="1" spans="1:6">
      <c r="A991" s="6">
        <v>990</v>
      </c>
      <c r="B991" s="8" t="s">
        <v>13887</v>
      </c>
      <c r="C991" s="8" t="s">
        <v>13888</v>
      </c>
      <c r="D991" s="8" t="s">
        <v>13889</v>
      </c>
      <c r="E991" s="8" t="s">
        <v>13890</v>
      </c>
      <c r="F991" s="8" t="s">
        <v>13891</v>
      </c>
    </row>
    <row r="992" customHeight="1" spans="1:6">
      <c r="A992" s="6">
        <v>991</v>
      </c>
      <c r="B992" s="8" t="s">
        <v>13892</v>
      </c>
      <c r="C992" s="8" t="s">
        <v>13893</v>
      </c>
      <c r="D992" s="8" t="s">
        <v>13894</v>
      </c>
      <c r="E992" s="8" t="s">
        <v>2358</v>
      </c>
      <c r="F992" s="8" t="s">
        <v>13895</v>
      </c>
    </row>
    <row r="993" customHeight="1" spans="1:6">
      <c r="A993" s="6">
        <v>992</v>
      </c>
      <c r="B993" s="8" t="s">
        <v>13892</v>
      </c>
      <c r="C993" s="8" t="s">
        <v>13893</v>
      </c>
      <c r="D993" s="8" t="s">
        <v>13894</v>
      </c>
      <c r="E993" s="8" t="s">
        <v>2358</v>
      </c>
      <c r="F993" s="8" t="s">
        <v>13895</v>
      </c>
    </row>
    <row r="994" customHeight="1" spans="1:6">
      <c r="A994" s="6">
        <v>993</v>
      </c>
      <c r="B994" s="8" t="s">
        <v>13896</v>
      </c>
      <c r="C994" s="8" t="s">
        <v>13897</v>
      </c>
      <c r="D994" s="8" t="s">
        <v>13898</v>
      </c>
      <c r="E994" s="8" t="s">
        <v>8874</v>
      </c>
      <c r="F994" s="8" t="s">
        <v>13899</v>
      </c>
    </row>
    <row r="995" customHeight="1" spans="1:6">
      <c r="A995" s="6">
        <v>994</v>
      </c>
      <c r="B995" s="8" t="s">
        <v>13896</v>
      </c>
      <c r="C995" s="8" t="s">
        <v>13897</v>
      </c>
      <c r="D995" s="8" t="s">
        <v>13898</v>
      </c>
      <c r="E995" s="8" t="s">
        <v>8874</v>
      </c>
      <c r="F995" s="8" t="s">
        <v>13899</v>
      </c>
    </row>
    <row r="996" customHeight="1" spans="1:6">
      <c r="A996" s="6">
        <v>995</v>
      </c>
      <c r="B996" s="8" t="s">
        <v>13896</v>
      </c>
      <c r="C996" s="8" t="s">
        <v>13897</v>
      </c>
      <c r="D996" s="8" t="s">
        <v>13898</v>
      </c>
      <c r="E996" s="8" t="s">
        <v>8874</v>
      </c>
      <c r="F996" s="8" t="s">
        <v>13899</v>
      </c>
    </row>
    <row r="997" customHeight="1" spans="1:6">
      <c r="A997" s="6">
        <v>996</v>
      </c>
      <c r="B997" s="8" t="s">
        <v>13900</v>
      </c>
      <c r="C997" s="8" t="s">
        <v>13901</v>
      </c>
      <c r="D997" s="8" t="s">
        <v>13902</v>
      </c>
      <c r="E997" s="8" t="s">
        <v>3146</v>
      </c>
      <c r="F997" s="8" t="s">
        <v>13903</v>
      </c>
    </row>
    <row r="998" customHeight="1" spans="1:6">
      <c r="A998" s="6">
        <v>997</v>
      </c>
      <c r="B998" s="8" t="s">
        <v>13900</v>
      </c>
      <c r="C998" s="8" t="s">
        <v>13901</v>
      </c>
      <c r="D998" s="8" t="s">
        <v>13902</v>
      </c>
      <c r="E998" s="8" t="s">
        <v>3146</v>
      </c>
      <c r="F998" s="8" t="s">
        <v>13903</v>
      </c>
    </row>
    <row r="999" customHeight="1" spans="1:6">
      <c r="A999" s="6">
        <v>998</v>
      </c>
      <c r="B999" s="8" t="s">
        <v>13904</v>
      </c>
      <c r="C999" s="8" t="s">
        <v>13905</v>
      </c>
      <c r="D999" s="8" t="s">
        <v>13906</v>
      </c>
      <c r="E999" s="8" t="s">
        <v>3146</v>
      </c>
      <c r="F999" s="8" t="s">
        <v>13907</v>
      </c>
    </row>
    <row r="1000" customHeight="1" spans="1:6">
      <c r="A1000" s="6">
        <v>999</v>
      </c>
      <c r="B1000" s="8" t="s">
        <v>13904</v>
      </c>
      <c r="C1000" s="8" t="s">
        <v>13905</v>
      </c>
      <c r="D1000" s="8" t="s">
        <v>13906</v>
      </c>
      <c r="E1000" s="8" t="s">
        <v>3146</v>
      </c>
      <c r="F1000" s="8" t="s">
        <v>13907</v>
      </c>
    </row>
    <row r="1001" customHeight="1" spans="1:6">
      <c r="A1001" s="6">
        <v>1000</v>
      </c>
      <c r="B1001" s="8" t="s">
        <v>13908</v>
      </c>
      <c r="C1001" s="8" t="s">
        <v>13909</v>
      </c>
      <c r="D1001" s="8" t="s">
        <v>13910</v>
      </c>
      <c r="E1001" s="8" t="s">
        <v>530</v>
      </c>
      <c r="F1001" s="8" t="s">
        <v>13911</v>
      </c>
    </row>
    <row r="1002" customHeight="1" spans="1:6">
      <c r="A1002" s="6">
        <v>1001</v>
      </c>
      <c r="B1002" s="8" t="s">
        <v>13908</v>
      </c>
      <c r="C1002" s="8" t="s">
        <v>13909</v>
      </c>
      <c r="D1002" s="8" t="s">
        <v>13910</v>
      </c>
      <c r="E1002" s="8" t="s">
        <v>530</v>
      </c>
      <c r="F1002" s="8" t="s">
        <v>13911</v>
      </c>
    </row>
    <row r="1003" customHeight="1" spans="1:6">
      <c r="A1003" s="6">
        <v>1002</v>
      </c>
      <c r="B1003" s="8" t="s">
        <v>13912</v>
      </c>
      <c r="C1003" s="8" t="s">
        <v>13913</v>
      </c>
      <c r="D1003" s="8" t="s">
        <v>13914</v>
      </c>
      <c r="E1003" s="8" t="s">
        <v>530</v>
      </c>
      <c r="F1003" s="8" t="s">
        <v>13915</v>
      </c>
    </row>
    <row r="1004" customHeight="1" spans="1:6">
      <c r="A1004" s="6">
        <v>1003</v>
      </c>
      <c r="B1004" s="8" t="s">
        <v>13912</v>
      </c>
      <c r="C1004" s="8" t="s">
        <v>13913</v>
      </c>
      <c r="D1004" s="8" t="s">
        <v>13914</v>
      </c>
      <c r="E1004" s="8" t="s">
        <v>530</v>
      </c>
      <c r="F1004" s="8" t="s">
        <v>13915</v>
      </c>
    </row>
    <row r="1005" customHeight="1" spans="1:6">
      <c r="A1005" s="6">
        <v>1004</v>
      </c>
      <c r="B1005" s="8" t="s">
        <v>13916</v>
      </c>
      <c r="C1005" s="8" t="s">
        <v>13917</v>
      </c>
      <c r="D1005" s="8" t="s">
        <v>13918</v>
      </c>
      <c r="E1005" s="8" t="s">
        <v>288</v>
      </c>
      <c r="F1005" s="8" t="s">
        <v>13919</v>
      </c>
    </row>
    <row r="1006" customHeight="1" spans="1:6">
      <c r="A1006" s="6">
        <v>1005</v>
      </c>
      <c r="B1006" s="8" t="s">
        <v>13916</v>
      </c>
      <c r="C1006" s="8" t="s">
        <v>13917</v>
      </c>
      <c r="D1006" s="8" t="s">
        <v>13918</v>
      </c>
      <c r="E1006" s="8" t="s">
        <v>288</v>
      </c>
      <c r="F1006" s="8" t="s">
        <v>13919</v>
      </c>
    </row>
    <row r="1007" customHeight="1" spans="1:6">
      <c r="A1007" s="6">
        <v>1006</v>
      </c>
      <c r="B1007" s="8" t="s">
        <v>13920</v>
      </c>
      <c r="C1007" s="8" t="s">
        <v>13921</v>
      </c>
      <c r="D1007" s="8" t="s">
        <v>13922</v>
      </c>
      <c r="E1007" s="8" t="s">
        <v>8825</v>
      </c>
      <c r="F1007" s="8" t="s">
        <v>13923</v>
      </c>
    </row>
    <row r="1008" customHeight="1" spans="1:6">
      <c r="A1008" s="6">
        <v>1007</v>
      </c>
      <c r="B1008" s="8" t="s">
        <v>13920</v>
      </c>
      <c r="C1008" s="8" t="s">
        <v>13921</v>
      </c>
      <c r="D1008" s="8" t="s">
        <v>13922</v>
      </c>
      <c r="E1008" s="8" t="s">
        <v>8825</v>
      </c>
      <c r="F1008" s="8" t="s">
        <v>13923</v>
      </c>
    </row>
    <row r="1009" customHeight="1" spans="1:6">
      <c r="A1009" s="6">
        <v>1008</v>
      </c>
      <c r="B1009" s="8" t="s">
        <v>13924</v>
      </c>
      <c r="C1009" s="8" t="s">
        <v>13925</v>
      </c>
      <c r="D1009" s="8" t="s">
        <v>13926</v>
      </c>
      <c r="E1009" s="8" t="s">
        <v>216</v>
      </c>
      <c r="F1009" s="8" t="s">
        <v>13927</v>
      </c>
    </row>
    <row r="1010" customHeight="1" spans="1:6">
      <c r="A1010" s="6">
        <v>1009</v>
      </c>
      <c r="B1010" s="8" t="s">
        <v>13924</v>
      </c>
      <c r="C1010" s="8" t="s">
        <v>13925</v>
      </c>
      <c r="D1010" s="8" t="s">
        <v>13926</v>
      </c>
      <c r="E1010" s="8" t="s">
        <v>216</v>
      </c>
      <c r="F1010" s="8" t="s">
        <v>13927</v>
      </c>
    </row>
    <row r="1011" customHeight="1" spans="1:6">
      <c r="A1011" s="6">
        <v>1010</v>
      </c>
      <c r="B1011" s="8" t="s">
        <v>13928</v>
      </c>
      <c r="C1011" s="8" t="s">
        <v>13929</v>
      </c>
      <c r="D1011" s="8" t="s">
        <v>3789</v>
      </c>
      <c r="E1011" s="8" t="s">
        <v>216</v>
      </c>
      <c r="F1011" s="8" t="s">
        <v>13930</v>
      </c>
    </row>
    <row r="1012" customHeight="1" spans="1:6">
      <c r="A1012" s="6">
        <v>1011</v>
      </c>
      <c r="B1012" s="8" t="s">
        <v>13928</v>
      </c>
      <c r="C1012" s="8" t="s">
        <v>13929</v>
      </c>
      <c r="D1012" s="8" t="s">
        <v>3789</v>
      </c>
      <c r="E1012" s="8" t="s">
        <v>216</v>
      </c>
      <c r="F1012" s="8" t="s">
        <v>13930</v>
      </c>
    </row>
    <row r="1013" customHeight="1" spans="1:6">
      <c r="A1013" s="6">
        <v>1012</v>
      </c>
      <c r="B1013" s="8" t="s">
        <v>13931</v>
      </c>
      <c r="C1013" s="8" t="s">
        <v>13932</v>
      </c>
      <c r="D1013" s="8" t="s">
        <v>13933</v>
      </c>
      <c r="E1013" s="8" t="s">
        <v>256</v>
      </c>
      <c r="F1013" s="8" t="s">
        <v>13934</v>
      </c>
    </row>
    <row r="1014" customHeight="1" spans="1:6">
      <c r="A1014" s="6">
        <v>1013</v>
      </c>
      <c r="B1014" s="8" t="s">
        <v>13931</v>
      </c>
      <c r="C1014" s="8" t="s">
        <v>13932</v>
      </c>
      <c r="D1014" s="8" t="s">
        <v>13933</v>
      </c>
      <c r="E1014" s="8" t="s">
        <v>256</v>
      </c>
      <c r="F1014" s="8" t="s">
        <v>13934</v>
      </c>
    </row>
    <row r="1015" customHeight="1" spans="1:6">
      <c r="A1015" s="6">
        <v>1014</v>
      </c>
      <c r="B1015" s="8" t="s">
        <v>13935</v>
      </c>
      <c r="C1015" s="8" t="s">
        <v>13936</v>
      </c>
      <c r="D1015" s="8" t="s">
        <v>13937</v>
      </c>
      <c r="E1015" s="8" t="s">
        <v>12449</v>
      </c>
      <c r="F1015" s="8" t="s">
        <v>13938</v>
      </c>
    </row>
    <row r="1016" customHeight="1" spans="1:6">
      <c r="A1016" s="6">
        <v>1015</v>
      </c>
      <c r="B1016" s="8" t="s">
        <v>13935</v>
      </c>
      <c r="C1016" s="8" t="s">
        <v>13936</v>
      </c>
      <c r="D1016" s="8" t="s">
        <v>13937</v>
      </c>
      <c r="E1016" s="8" t="s">
        <v>12449</v>
      </c>
      <c r="F1016" s="8" t="s">
        <v>13938</v>
      </c>
    </row>
    <row r="1017" customHeight="1" spans="1:6">
      <c r="A1017" s="6">
        <v>1016</v>
      </c>
      <c r="B1017" s="8" t="s">
        <v>13939</v>
      </c>
      <c r="C1017" s="8" t="s">
        <v>13940</v>
      </c>
      <c r="D1017" s="8" t="s">
        <v>13941</v>
      </c>
      <c r="E1017" s="8" t="s">
        <v>665</v>
      </c>
      <c r="F1017" s="8" t="s">
        <v>13942</v>
      </c>
    </row>
    <row r="1018" customHeight="1" spans="1:6">
      <c r="A1018" s="6">
        <v>1017</v>
      </c>
      <c r="B1018" s="8" t="s">
        <v>13939</v>
      </c>
      <c r="C1018" s="8" t="s">
        <v>13940</v>
      </c>
      <c r="D1018" s="8" t="s">
        <v>13941</v>
      </c>
      <c r="E1018" s="8" t="s">
        <v>665</v>
      </c>
      <c r="F1018" s="8" t="s">
        <v>13942</v>
      </c>
    </row>
    <row r="1019" customHeight="1" spans="1:6">
      <c r="A1019" s="6">
        <v>1018</v>
      </c>
      <c r="B1019" s="8" t="s">
        <v>13943</v>
      </c>
      <c r="C1019" s="8" t="s">
        <v>13944</v>
      </c>
      <c r="D1019" s="8" t="s">
        <v>13945</v>
      </c>
      <c r="E1019" s="8" t="s">
        <v>9842</v>
      </c>
      <c r="F1019" s="8" t="s">
        <v>13946</v>
      </c>
    </row>
    <row r="1020" customHeight="1" spans="1:6">
      <c r="A1020" s="6">
        <v>1019</v>
      </c>
      <c r="B1020" s="8" t="s">
        <v>13943</v>
      </c>
      <c r="C1020" s="8" t="s">
        <v>13944</v>
      </c>
      <c r="D1020" s="8" t="s">
        <v>13945</v>
      </c>
      <c r="E1020" s="8" t="s">
        <v>9842</v>
      </c>
      <c r="F1020" s="8" t="s">
        <v>13946</v>
      </c>
    </row>
    <row r="1021" customHeight="1" spans="1:6">
      <c r="A1021" s="6">
        <v>1020</v>
      </c>
      <c r="B1021" s="8" t="s">
        <v>13947</v>
      </c>
      <c r="C1021" s="8" t="s">
        <v>13948</v>
      </c>
      <c r="D1021" s="8" t="s">
        <v>13949</v>
      </c>
      <c r="E1021" s="8" t="s">
        <v>3146</v>
      </c>
      <c r="F1021" s="8" t="s">
        <v>13950</v>
      </c>
    </row>
    <row r="1022" customHeight="1" spans="1:6">
      <c r="A1022" s="6">
        <v>1021</v>
      </c>
      <c r="B1022" s="8" t="s">
        <v>13947</v>
      </c>
      <c r="C1022" s="8" t="s">
        <v>13948</v>
      </c>
      <c r="D1022" s="8" t="s">
        <v>13949</v>
      </c>
      <c r="E1022" s="8" t="s">
        <v>3146</v>
      </c>
      <c r="F1022" s="8" t="s">
        <v>13950</v>
      </c>
    </row>
    <row r="1023" customHeight="1" spans="1:6">
      <c r="A1023" s="6">
        <v>1022</v>
      </c>
      <c r="B1023" s="8" t="s">
        <v>13951</v>
      </c>
      <c r="C1023" s="8" t="s">
        <v>13952</v>
      </c>
      <c r="D1023" s="8" t="s">
        <v>13953</v>
      </c>
      <c r="E1023" s="8" t="s">
        <v>216</v>
      </c>
      <c r="F1023" s="8" t="s">
        <v>13954</v>
      </c>
    </row>
    <row r="1024" customHeight="1" spans="1:6">
      <c r="A1024" s="6">
        <v>1023</v>
      </c>
      <c r="B1024" s="8" t="s">
        <v>13951</v>
      </c>
      <c r="C1024" s="8" t="s">
        <v>13952</v>
      </c>
      <c r="D1024" s="8" t="s">
        <v>13953</v>
      </c>
      <c r="E1024" s="8" t="s">
        <v>216</v>
      </c>
      <c r="F1024" s="8" t="s">
        <v>13954</v>
      </c>
    </row>
    <row r="1025" customHeight="1" spans="1:6">
      <c r="A1025" s="6">
        <v>1024</v>
      </c>
      <c r="B1025" s="7" t="str">
        <f>"978-7-115-56265-4"</f>
        <v>978-7-115-56265-4</v>
      </c>
      <c r="C1025" s="7" t="str">
        <f>"Photoshop 2021实战精华从入门到精通"</f>
        <v>Photoshop 2021实战精华从入门到精通</v>
      </c>
      <c r="D1025" s="7" t="str">
        <f>"神龙影像编著"</f>
        <v>神龙影像编著</v>
      </c>
      <c r="E1025" s="7" t="str">
        <f>"人民邮电出版社"</f>
        <v>人民邮电出版社</v>
      </c>
      <c r="F1025" s="7" t="str">
        <f>"TP391.413/398"</f>
        <v>TP391.413/398</v>
      </c>
    </row>
    <row r="1026" customHeight="1" spans="1:6">
      <c r="A1026" s="6">
        <v>1025</v>
      </c>
      <c r="B1026" s="7" t="str">
        <f>"978-7-115-56265-4"</f>
        <v>978-7-115-56265-4</v>
      </c>
      <c r="C1026" s="7" t="str">
        <f>"Photoshop 2021实战精华从入门到精通"</f>
        <v>Photoshop 2021实战精华从入门到精通</v>
      </c>
      <c r="D1026" s="7" t="str">
        <f>"神龙影像编著"</f>
        <v>神龙影像编著</v>
      </c>
      <c r="E1026" s="7" t="str">
        <f>"人民邮电出版社"</f>
        <v>人民邮电出版社</v>
      </c>
      <c r="F1026" s="7" t="str">
        <f>"TP391.413/398"</f>
        <v>TP391.413/398</v>
      </c>
    </row>
    <row r="1027" customHeight="1" spans="1:6">
      <c r="A1027" s="6">
        <v>1026</v>
      </c>
      <c r="B1027" s="8" t="s">
        <v>13955</v>
      </c>
      <c r="C1027" s="8" t="s">
        <v>13956</v>
      </c>
      <c r="D1027" s="8" t="s">
        <v>13957</v>
      </c>
      <c r="E1027" s="8" t="s">
        <v>899</v>
      </c>
      <c r="F1027" s="8" t="s">
        <v>13958</v>
      </c>
    </row>
    <row r="1028" customHeight="1" spans="1:6">
      <c r="A1028" s="6">
        <v>1027</v>
      </c>
      <c r="B1028" s="8" t="s">
        <v>13955</v>
      </c>
      <c r="C1028" s="8" t="s">
        <v>13956</v>
      </c>
      <c r="D1028" s="8" t="s">
        <v>13957</v>
      </c>
      <c r="E1028" s="8" t="s">
        <v>899</v>
      </c>
      <c r="F1028" s="8" t="s">
        <v>13958</v>
      </c>
    </row>
    <row r="1029" customHeight="1" spans="1:6">
      <c r="A1029" s="6">
        <v>1028</v>
      </c>
      <c r="B1029" s="8" t="s">
        <v>13959</v>
      </c>
      <c r="C1029" s="8" t="s">
        <v>13960</v>
      </c>
      <c r="D1029" s="8" t="s">
        <v>13961</v>
      </c>
      <c r="E1029" s="8" t="s">
        <v>216</v>
      </c>
      <c r="F1029" s="8" t="s">
        <v>13962</v>
      </c>
    </row>
    <row r="1030" customHeight="1" spans="1:6">
      <c r="A1030" s="6">
        <v>1029</v>
      </c>
      <c r="B1030" s="8" t="s">
        <v>13959</v>
      </c>
      <c r="C1030" s="8" t="s">
        <v>13960</v>
      </c>
      <c r="D1030" s="8" t="s">
        <v>13961</v>
      </c>
      <c r="E1030" s="8" t="s">
        <v>216</v>
      </c>
      <c r="F1030" s="8" t="s">
        <v>13962</v>
      </c>
    </row>
    <row r="1031" customHeight="1" spans="1:6">
      <c r="A1031" s="6">
        <v>1030</v>
      </c>
      <c r="B1031" s="8" t="s">
        <v>13963</v>
      </c>
      <c r="C1031" s="8" t="s">
        <v>13964</v>
      </c>
      <c r="D1031" s="8" t="s">
        <v>13965</v>
      </c>
      <c r="E1031" s="8" t="s">
        <v>530</v>
      </c>
      <c r="F1031" s="8" t="s">
        <v>13966</v>
      </c>
    </row>
    <row r="1032" customHeight="1" spans="1:6">
      <c r="A1032" s="6">
        <v>1031</v>
      </c>
      <c r="B1032" s="8" t="s">
        <v>13963</v>
      </c>
      <c r="C1032" s="8" t="s">
        <v>13964</v>
      </c>
      <c r="D1032" s="8" t="s">
        <v>13965</v>
      </c>
      <c r="E1032" s="8" t="s">
        <v>530</v>
      </c>
      <c r="F1032" s="8" t="s">
        <v>13966</v>
      </c>
    </row>
    <row r="1033" customHeight="1" spans="1:6">
      <c r="A1033" s="6">
        <v>1032</v>
      </c>
      <c r="B1033" s="8" t="s">
        <v>13967</v>
      </c>
      <c r="C1033" s="8" t="s">
        <v>13968</v>
      </c>
      <c r="D1033" s="8" t="s">
        <v>13969</v>
      </c>
      <c r="E1033" s="8" t="s">
        <v>256</v>
      </c>
      <c r="F1033" s="8" t="s">
        <v>13970</v>
      </c>
    </row>
    <row r="1034" customHeight="1" spans="1:6">
      <c r="A1034" s="6">
        <v>1033</v>
      </c>
      <c r="B1034" s="8" t="s">
        <v>13967</v>
      </c>
      <c r="C1034" s="8" t="s">
        <v>13968</v>
      </c>
      <c r="D1034" s="8" t="s">
        <v>13969</v>
      </c>
      <c r="E1034" s="8" t="s">
        <v>256</v>
      </c>
      <c r="F1034" s="8" t="s">
        <v>13970</v>
      </c>
    </row>
    <row r="1035" customHeight="1" spans="1:6">
      <c r="A1035" s="6">
        <v>1034</v>
      </c>
      <c r="B1035" s="8" t="s">
        <v>13971</v>
      </c>
      <c r="C1035" s="8" t="s">
        <v>13972</v>
      </c>
      <c r="D1035" s="8" t="s">
        <v>13973</v>
      </c>
      <c r="E1035" s="8" t="s">
        <v>197</v>
      </c>
      <c r="F1035" s="8" t="s">
        <v>13974</v>
      </c>
    </row>
    <row r="1036" customHeight="1" spans="1:6">
      <c r="A1036" s="6">
        <v>1035</v>
      </c>
      <c r="B1036" s="8" t="s">
        <v>13971</v>
      </c>
      <c r="C1036" s="8" t="s">
        <v>13972</v>
      </c>
      <c r="D1036" s="8" t="s">
        <v>13973</v>
      </c>
      <c r="E1036" s="8" t="s">
        <v>197</v>
      </c>
      <c r="F1036" s="8" t="s">
        <v>13974</v>
      </c>
    </row>
    <row r="1037" customHeight="1" spans="1:6">
      <c r="A1037" s="6">
        <v>1036</v>
      </c>
      <c r="B1037" s="8" t="s">
        <v>13975</v>
      </c>
      <c r="C1037" s="8" t="s">
        <v>13976</v>
      </c>
      <c r="D1037" s="8" t="s">
        <v>13977</v>
      </c>
      <c r="E1037" s="8" t="s">
        <v>216</v>
      </c>
      <c r="F1037" s="8" t="s">
        <v>13978</v>
      </c>
    </row>
    <row r="1038" customHeight="1" spans="1:6">
      <c r="A1038" s="6">
        <v>1037</v>
      </c>
      <c r="B1038" s="8" t="s">
        <v>13975</v>
      </c>
      <c r="C1038" s="8" t="s">
        <v>13976</v>
      </c>
      <c r="D1038" s="8" t="s">
        <v>13977</v>
      </c>
      <c r="E1038" s="8" t="s">
        <v>216</v>
      </c>
      <c r="F1038" s="8" t="s">
        <v>13978</v>
      </c>
    </row>
    <row r="1039" customHeight="1" spans="1:6">
      <c r="A1039" s="6">
        <v>1038</v>
      </c>
      <c r="B1039" s="8" t="s">
        <v>13979</v>
      </c>
      <c r="C1039" s="8" t="s">
        <v>13980</v>
      </c>
      <c r="D1039" s="8" t="s">
        <v>13682</v>
      </c>
      <c r="E1039" s="8" t="s">
        <v>420</v>
      </c>
      <c r="F1039" s="8" t="s">
        <v>13981</v>
      </c>
    </row>
    <row r="1040" customHeight="1" spans="1:6">
      <c r="A1040" s="6">
        <v>1039</v>
      </c>
      <c r="B1040" s="8" t="s">
        <v>13979</v>
      </c>
      <c r="C1040" s="8" t="s">
        <v>13980</v>
      </c>
      <c r="D1040" s="8" t="s">
        <v>13682</v>
      </c>
      <c r="E1040" s="8" t="s">
        <v>420</v>
      </c>
      <c r="F1040" s="8" t="s">
        <v>13981</v>
      </c>
    </row>
    <row r="1041" customHeight="1" spans="1:6">
      <c r="A1041" s="6">
        <v>1040</v>
      </c>
      <c r="B1041" s="8" t="s">
        <v>13982</v>
      </c>
      <c r="C1041" s="8" t="s">
        <v>13983</v>
      </c>
      <c r="D1041" s="8" t="s">
        <v>13984</v>
      </c>
      <c r="E1041" s="8" t="s">
        <v>216</v>
      </c>
      <c r="F1041" s="8" t="s">
        <v>13985</v>
      </c>
    </row>
    <row r="1042" customHeight="1" spans="1:6">
      <c r="A1042" s="6">
        <v>1041</v>
      </c>
      <c r="B1042" s="8" t="s">
        <v>13982</v>
      </c>
      <c r="C1042" s="8" t="s">
        <v>13983</v>
      </c>
      <c r="D1042" s="8" t="s">
        <v>13984</v>
      </c>
      <c r="E1042" s="8" t="s">
        <v>216</v>
      </c>
      <c r="F1042" s="8" t="s">
        <v>13985</v>
      </c>
    </row>
    <row r="1043" customHeight="1" spans="1:6">
      <c r="A1043" s="6">
        <v>1042</v>
      </c>
      <c r="B1043" s="8" t="s">
        <v>13986</v>
      </c>
      <c r="C1043" s="8" t="s">
        <v>13987</v>
      </c>
      <c r="D1043" s="8" t="s">
        <v>13988</v>
      </c>
      <c r="E1043" s="8" t="s">
        <v>216</v>
      </c>
      <c r="F1043" s="8" t="s">
        <v>13989</v>
      </c>
    </row>
    <row r="1044" customHeight="1" spans="1:6">
      <c r="A1044" s="6">
        <v>1043</v>
      </c>
      <c r="B1044" s="8" t="s">
        <v>13986</v>
      </c>
      <c r="C1044" s="8" t="s">
        <v>13987</v>
      </c>
      <c r="D1044" s="8" t="s">
        <v>13988</v>
      </c>
      <c r="E1044" s="8" t="s">
        <v>216</v>
      </c>
      <c r="F1044" s="8" t="s">
        <v>13989</v>
      </c>
    </row>
    <row r="1045" customHeight="1" spans="1:6">
      <c r="A1045" s="6">
        <v>1044</v>
      </c>
      <c r="B1045" s="8" t="s">
        <v>13990</v>
      </c>
      <c r="C1045" s="8" t="s">
        <v>13991</v>
      </c>
      <c r="D1045" s="8" t="s">
        <v>13984</v>
      </c>
      <c r="E1045" s="8" t="s">
        <v>216</v>
      </c>
      <c r="F1045" s="8" t="s">
        <v>13992</v>
      </c>
    </row>
    <row r="1046" customHeight="1" spans="1:6">
      <c r="A1046" s="6">
        <v>1045</v>
      </c>
      <c r="B1046" s="8" t="s">
        <v>13990</v>
      </c>
      <c r="C1046" s="8" t="s">
        <v>13991</v>
      </c>
      <c r="D1046" s="8" t="s">
        <v>13984</v>
      </c>
      <c r="E1046" s="8" t="s">
        <v>216</v>
      </c>
      <c r="F1046" s="8" t="s">
        <v>13992</v>
      </c>
    </row>
    <row r="1047" customHeight="1" spans="1:6">
      <c r="A1047" s="6">
        <v>1046</v>
      </c>
      <c r="B1047" s="8" t="s">
        <v>13993</v>
      </c>
      <c r="C1047" s="8" t="s">
        <v>13994</v>
      </c>
      <c r="D1047" s="8" t="s">
        <v>13995</v>
      </c>
      <c r="E1047" s="8" t="s">
        <v>216</v>
      </c>
      <c r="F1047" s="8" t="s">
        <v>13996</v>
      </c>
    </row>
    <row r="1048" customHeight="1" spans="1:6">
      <c r="A1048" s="6">
        <v>1047</v>
      </c>
      <c r="B1048" s="8" t="s">
        <v>13993</v>
      </c>
      <c r="C1048" s="8" t="s">
        <v>13994</v>
      </c>
      <c r="D1048" s="8" t="s">
        <v>13995</v>
      </c>
      <c r="E1048" s="8" t="s">
        <v>216</v>
      </c>
      <c r="F1048" s="8" t="s">
        <v>13996</v>
      </c>
    </row>
    <row r="1049" customHeight="1" spans="1:6">
      <c r="A1049" s="6">
        <v>1048</v>
      </c>
      <c r="B1049" s="8" t="s">
        <v>13997</v>
      </c>
      <c r="C1049" s="8" t="s">
        <v>13998</v>
      </c>
      <c r="D1049" s="8" t="s">
        <v>13984</v>
      </c>
      <c r="E1049" s="8" t="s">
        <v>216</v>
      </c>
      <c r="F1049" s="8" t="s">
        <v>13999</v>
      </c>
    </row>
    <row r="1050" customHeight="1" spans="1:6">
      <c r="A1050" s="6">
        <v>1049</v>
      </c>
      <c r="B1050" s="8" t="s">
        <v>13997</v>
      </c>
      <c r="C1050" s="8" t="s">
        <v>13998</v>
      </c>
      <c r="D1050" s="8" t="s">
        <v>13984</v>
      </c>
      <c r="E1050" s="8" t="s">
        <v>216</v>
      </c>
      <c r="F1050" s="8" t="s">
        <v>13999</v>
      </c>
    </row>
    <row r="1051" customHeight="1" spans="1:6">
      <c r="A1051" s="6">
        <v>1050</v>
      </c>
      <c r="B1051" s="8" t="s">
        <v>14000</v>
      </c>
      <c r="C1051" s="8" t="s">
        <v>14001</v>
      </c>
      <c r="D1051" s="8" t="s">
        <v>14002</v>
      </c>
      <c r="E1051" s="8" t="s">
        <v>216</v>
      </c>
      <c r="F1051" s="8" t="s">
        <v>14003</v>
      </c>
    </row>
    <row r="1052" customHeight="1" spans="1:6">
      <c r="A1052" s="6">
        <v>1051</v>
      </c>
      <c r="B1052" s="8" t="s">
        <v>14000</v>
      </c>
      <c r="C1052" s="8" t="s">
        <v>14001</v>
      </c>
      <c r="D1052" s="8" t="s">
        <v>14002</v>
      </c>
      <c r="E1052" s="8" t="s">
        <v>216</v>
      </c>
      <c r="F1052" s="8" t="s">
        <v>14003</v>
      </c>
    </row>
    <row r="1053" customHeight="1" spans="1:6">
      <c r="A1053" s="6">
        <v>1052</v>
      </c>
      <c r="B1053" s="8" t="s">
        <v>14004</v>
      </c>
      <c r="C1053" s="8" t="s">
        <v>14005</v>
      </c>
      <c r="D1053" s="8" t="s">
        <v>14006</v>
      </c>
      <c r="E1053" s="8" t="s">
        <v>2566</v>
      </c>
      <c r="F1053" s="8" t="s">
        <v>14007</v>
      </c>
    </row>
    <row r="1054" customHeight="1" spans="1:6">
      <c r="A1054" s="6">
        <v>1053</v>
      </c>
      <c r="B1054" s="8" t="s">
        <v>14004</v>
      </c>
      <c r="C1054" s="8" t="s">
        <v>14005</v>
      </c>
      <c r="D1054" s="8" t="s">
        <v>14006</v>
      </c>
      <c r="E1054" s="8" t="s">
        <v>2566</v>
      </c>
      <c r="F1054" s="8" t="s">
        <v>14007</v>
      </c>
    </row>
    <row r="1055" customHeight="1" spans="1:6">
      <c r="A1055" s="6">
        <v>1054</v>
      </c>
      <c r="B1055" s="8" t="s">
        <v>14008</v>
      </c>
      <c r="C1055" s="8" t="s">
        <v>14009</v>
      </c>
      <c r="D1055" s="8" t="s">
        <v>14010</v>
      </c>
      <c r="E1055" s="8" t="s">
        <v>10196</v>
      </c>
      <c r="F1055" s="8" t="s">
        <v>14011</v>
      </c>
    </row>
    <row r="1056" customHeight="1" spans="1:6">
      <c r="A1056" s="6">
        <v>1055</v>
      </c>
      <c r="B1056" s="8" t="s">
        <v>14008</v>
      </c>
      <c r="C1056" s="8" t="s">
        <v>14009</v>
      </c>
      <c r="D1056" s="8" t="s">
        <v>14010</v>
      </c>
      <c r="E1056" s="8" t="s">
        <v>10196</v>
      </c>
      <c r="F1056" s="8" t="s">
        <v>14011</v>
      </c>
    </row>
    <row r="1057" customHeight="1" spans="1:6">
      <c r="A1057" s="6">
        <v>1056</v>
      </c>
      <c r="B1057" s="8" t="s">
        <v>14012</v>
      </c>
      <c r="C1057" s="8" t="s">
        <v>14013</v>
      </c>
      <c r="D1057" s="8" t="s">
        <v>14014</v>
      </c>
      <c r="E1057" s="8" t="s">
        <v>530</v>
      </c>
      <c r="F1057" s="8" t="s">
        <v>14015</v>
      </c>
    </row>
    <row r="1058" customHeight="1" spans="1:6">
      <c r="A1058" s="6">
        <v>1057</v>
      </c>
      <c r="B1058" s="8" t="s">
        <v>14012</v>
      </c>
      <c r="C1058" s="8" t="s">
        <v>14013</v>
      </c>
      <c r="D1058" s="8" t="s">
        <v>14014</v>
      </c>
      <c r="E1058" s="8" t="s">
        <v>530</v>
      </c>
      <c r="F1058" s="8" t="s">
        <v>14015</v>
      </c>
    </row>
    <row r="1059" customHeight="1" spans="1:6">
      <c r="A1059" s="6">
        <v>1058</v>
      </c>
      <c r="B1059" s="8" t="s">
        <v>14016</v>
      </c>
      <c r="C1059" s="8" t="s">
        <v>14017</v>
      </c>
      <c r="D1059" s="8" t="s">
        <v>14018</v>
      </c>
      <c r="E1059" s="8" t="s">
        <v>12449</v>
      </c>
      <c r="F1059" s="8" t="s">
        <v>14019</v>
      </c>
    </row>
    <row r="1060" customHeight="1" spans="1:6">
      <c r="A1060" s="6">
        <v>1059</v>
      </c>
      <c r="B1060" s="8" t="s">
        <v>14016</v>
      </c>
      <c r="C1060" s="8" t="s">
        <v>14017</v>
      </c>
      <c r="D1060" s="8" t="s">
        <v>14018</v>
      </c>
      <c r="E1060" s="8" t="s">
        <v>12449</v>
      </c>
      <c r="F1060" s="8" t="s">
        <v>14019</v>
      </c>
    </row>
    <row r="1061" customHeight="1" spans="1:6">
      <c r="A1061" s="6">
        <v>1060</v>
      </c>
      <c r="B1061" s="8" t="s">
        <v>14020</v>
      </c>
      <c r="C1061" s="8" t="s">
        <v>14021</v>
      </c>
      <c r="D1061" s="8" t="s">
        <v>14022</v>
      </c>
      <c r="E1061" s="8" t="s">
        <v>2566</v>
      </c>
      <c r="F1061" s="8" t="s">
        <v>14023</v>
      </c>
    </row>
    <row r="1062" customHeight="1" spans="1:6">
      <c r="A1062" s="6">
        <v>1061</v>
      </c>
      <c r="B1062" s="8" t="s">
        <v>14020</v>
      </c>
      <c r="C1062" s="8" t="s">
        <v>14021</v>
      </c>
      <c r="D1062" s="8" t="s">
        <v>14022</v>
      </c>
      <c r="E1062" s="8" t="s">
        <v>2566</v>
      </c>
      <c r="F1062" s="8" t="s">
        <v>14023</v>
      </c>
    </row>
    <row r="1063" customHeight="1" spans="1:6">
      <c r="A1063" s="6">
        <v>1062</v>
      </c>
      <c r="B1063" s="8" t="s">
        <v>14024</v>
      </c>
      <c r="C1063" s="8" t="s">
        <v>14025</v>
      </c>
      <c r="D1063" s="8" t="s">
        <v>14026</v>
      </c>
      <c r="E1063" s="8" t="s">
        <v>197</v>
      </c>
      <c r="F1063" s="8" t="s">
        <v>14027</v>
      </c>
    </row>
    <row r="1064" customHeight="1" spans="1:6">
      <c r="A1064" s="6">
        <v>1063</v>
      </c>
      <c r="B1064" s="8" t="s">
        <v>14024</v>
      </c>
      <c r="C1064" s="8" t="s">
        <v>14025</v>
      </c>
      <c r="D1064" s="8" t="s">
        <v>14026</v>
      </c>
      <c r="E1064" s="8" t="s">
        <v>197</v>
      </c>
      <c r="F1064" s="8" t="s">
        <v>14027</v>
      </c>
    </row>
    <row r="1065" customHeight="1" spans="1:6">
      <c r="A1065" s="6">
        <v>1064</v>
      </c>
      <c r="B1065" s="8" t="s">
        <v>14028</v>
      </c>
      <c r="C1065" s="8" t="s">
        <v>14029</v>
      </c>
      <c r="D1065" s="8" t="s">
        <v>14030</v>
      </c>
      <c r="E1065" s="8" t="s">
        <v>530</v>
      </c>
      <c r="F1065" s="8" t="s">
        <v>14031</v>
      </c>
    </row>
    <row r="1066" customHeight="1" spans="1:6">
      <c r="A1066" s="6">
        <v>1065</v>
      </c>
      <c r="B1066" s="8" t="s">
        <v>14028</v>
      </c>
      <c r="C1066" s="8" t="s">
        <v>14029</v>
      </c>
      <c r="D1066" s="8" t="s">
        <v>14030</v>
      </c>
      <c r="E1066" s="8" t="s">
        <v>530</v>
      </c>
      <c r="F1066" s="8" t="s">
        <v>14031</v>
      </c>
    </row>
    <row r="1067" customHeight="1" spans="1:6">
      <c r="A1067" s="6">
        <v>1066</v>
      </c>
      <c r="B1067" s="8" t="s">
        <v>14032</v>
      </c>
      <c r="C1067" s="8" t="s">
        <v>14033</v>
      </c>
      <c r="D1067" s="8" t="s">
        <v>14034</v>
      </c>
      <c r="E1067" s="8" t="s">
        <v>197</v>
      </c>
      <c r="F1067" s="8" t="s">
        <v>14035</v>
      </c>
    </row>
    <row r="1068" customHeight="1" spans="1:6">
      <c r="A1068" s="6">
        <v>1067</v>
      </c>
      <c r="B1068" s="8" t="s">
        <v>14032</v>
      </c>
      <c r="C1068" s="8" t="s">
        <v>14033</v>
      </c>
      <c r="D1068" s="8" t="s">
        <v>14034</v>
      </c>
      <c r="E1068" s="8" t="s">
        <v>197</v>
      </c>
      <c r="F1068" s="8" t="s">
        <v>14035</v>
      </c>
    </row>
    <row r="1069" customHeight="1" spans="1:6">
      <c r="A1069" s="6">
        <v>1068</v>
      </c>
      <c r="B1069" s="8" t="s">
        <v>14036</v>
      </c>
      <c r="C1069" s="8" t="s">
        <v>14037</v>
      </c>
      <c r="D1069" s="8" t="s">
        <v>14038</v>
      </c>
      <c r="E1069" s="8" t="s">
        <v>12449</v>
      </c>
      <c r="F1069" s="8" t="s">
        <v>14039</v>
      </c>
    </row>
    <row r="1070" customHeight="1" spans="1:6">
      <c r="A1070" s="6">
        <v>1069</v>
      </c>
      <c r="B1070" s="8" t="s">
        <v>14036</v>
      </c>
      <c r="C1070" s="8" t="s">
        <v>14037</v>
      </c>
      <c r="D1070" s="8" t="s">
        <v>14038</v>
      </c>
      <c r="E1070" s="8" t="s">
        <v>12449</v>
      </c>
      <c r="F1070" s="8" t="s">
        <v>14039</v>
      </c>
    </row>
    <row r="1071" customHeight="1" spans="1:6">
      <c r="A1071" s="6">
        <v>1070</v>
      </c>
      <c r="B1071" s="8" t="s">
        <v>14040</v>
      </c>
      <c r="C1071" s="8" t="s">
        <v>14041</v>
      </c>
      <c r="D1071" s="8" t="s">
        <v>14042</v>
      </c>
      <c r="E1071" s="8" t="s">
        <v>1622</v>
      </c>
      <c r="F1071" s="8" t="s">
        <v>14043</v>
      </c>
    </row>
    <row r="1072" customHeight="1" spans="1:6">
      <c r="A1072" s="6">
        <v>1071</v>
      </c>
      <c r="B1072" s="8" t="s">
        <v>14040</v>
      </c>
      <c r="C1072" s="8" t="s">
        <v>14041</v>
      </c>
      <c r="D1072" s="8" t="s">
        <v>14042</v>
      </c>
      <c r="E1072" s="8" t="s">
        <v>1622</v>
      </c>
      <c r="F1072" s="8" t="s">
        <v>14043</v>
      </c>
    </row>
    <row r="1073" customHeight="1" spans="1:6">
      <c r="A1073" s="6">
        <v>1072</v>
      </c>
      <c r="B1073" s="8" t="s">
        <v>14044</v>
      </c>
      <c r="C1073" s="8" t="s">
        <v>14045</v>
      </c>
      <c r="D1073" s="8" t="s">
        <v>14046</v>
      </c>
      <c r="E1073" s="8" t="s">
        <v>14047</v>
      </c>
      <c r="F1073" s="8" t="s">
        <v>14048</v>
      </c>
    </row>
    <row r="1074" customHeight="1" spans="1:6">
      <c r="A1074" s="6">
        <v>1073</v>
      </c>
      <c r="B1074" s="8" t="s">
        <v>14044</v>
      </c>
      <c r="C1074" s="8" t="s">
        <v>14045</v>
      </c>
      <c r="D1074" s="8" t="s">
        <v>14046</v>
      </c>
      <c r="E1074" s="8" t="s">
        <v>14047</v>
      </c>
      <c r="F1074" s="8" t="s">
        <v>14048</v>
      </c>
    </row>
    <row r="1075" customHeight="1" spans="1:6">
      <c r="A1075" s="6">
        <v>1074</v>
      </c>
      <c r="B1075" s="8" t="s">
        <v>14044</v>
      </c>
      <c r="C1075" s="8" t="s">
        <v>14045</v>
      </c>
      <c r="D1075" s="8" t="s">
        <v>14046</v>
      </c>
      <c r="E1075" s="8" t="s">
        <v>14047</v>
      </c>
      <c r="F1075" s="8" t="s">
        <v>14048</v>
      </c>
    </row>
    <row r="1076" customHeight="1" spans="1:6">
      <c r="A1076" s="6">
        <v>1075</v>
      </c>
      <c r="B1076" s="8" t="s">
        <v>14049</v>
      </c>
      <c r="C1076" s="8" t="s">
        <v>14050</v>
      </c>
      <c r="D1076" s="8" t="s">
        <v>14051</v>
      </c>
      <c r="E1076" s="8" t="s">
        <v>530</v>
      </c>
      <c r="F1076" s="8" t="s">
        <v>14052</v>
      </c>
    </row>
    <row r="1077" customHeight="1" spans="1:6">
      <c r="A1077" s="6">
        <v>1076</v>
      </c>
      <c r="B1077" s="8" t="s">
        <v>14049</v>
      </c>
      <c r="C1077" s="8" t="s">
        <v>14050</v>
      </c>
      <c r="D1077" s="8" t="s">
        <v>14051</v>
      </c>
      <c r="E1077" s="8" t="s">
        <v>530</v>
      </c>
      <c r="F1077" s="8" t="s">
        <v>14052</v>
      </c>
    </row>
    <row r="1078" customHeight="1" spans="1:6">
      <c r="A1078" s="6">
        <v>1077</v>
      </c>
      <c r="B1078" s="8" t="s">
        <v>14053</v>
      </c>
      <c r="C1078" s="8" t="s">
        <v>14054</v>
      </c>
      <c r="D1078" s="8" t="s">
        <v>14055</v>
      </c>
      <c r="E1078" s="8" t="s">
        <v>28</v>
      </c>
      <c r="F1078" s="8" t="s">
        <v>14056</v>
      </c>
    </row>
    <row r="1079" customHeight="1" spans="1:6">
      <c r="A1079" s="6">
        <v>1078</v>
      </c>
      <c r="B1079" s="8" t="s">
        <v>14053</v>
      </c>
      <c r="C1079" s="8" t="s">
        <v>14054</v>
      </c>
      <c r="D1079" s="8" t="s">
        <v>14055</v>
      </c>
      <c r="E1079" s="8" t="s">
        <v>28</v>
      </c>
      <c r="F1079" s="8" t="s">
        <v>14056</v>
      </c>
    </row>
    <row r="1080" customHeight="1" spans="1:6">
      <c r="A1080" s="6">
        <v>1079</v>
      </c>
      <c r="B1080" s="8" t="s">
        <v>14057</v>
      </c>
      <c r="C1080" s="8" t="s">
        <v>14058</v>
      </c>
      <c r="D1080" s="8" t="s">
        <v>14059</v>
      </c>
      <c r="E1080" s="8" t="s">
        <v>530</v>
      </c>
      <c r="F1080" s="8" t="s">
        <v>14060</v>
      </c>
    </row>
    <row r="1081" customHeight="1" spans="1:6">
      <c r="A1081" s="6">
        <v>1080</v>
      </c>
      <c r="B1081" s="8" t="s">
        <v>14057</v>
      </c>
      <c r="C1081" s="8" t="s">
        <v>14058</v>
      </c>
      <c r="D1081" s="8" t="s">
        <v>14059</v>
      </c>
      <c r="E1081" s="8" t="s">
        <v>530</v>
      </c>
      <c r="F1081" s="8" t="s">
        <v>14060</v>
      </c>
    </row>
    <row r="1082" customHeight="1" spans="1:6">
      <c r="A1082" s="6">
        <v>1081</v>
      </c>
      <c r="B1082" s="8" t="s">
        <v>14061</v>
      </c>
      <c r="C1082" s="8" t="s">
        <v>14062</v>
      </c>
      <c r="D1082" s="8" t="s">
        <v>14063</v>
      </c>
      <c r="E1082" s="8" t="s">
        <v>256</v>
      </c>
      <c r="F1082" s="8" t="s">
        <v>14064</v>
      </c>
    </row>
    <row r="1083" customHeight="1" spans="1:6">
      <c r="A1083" s="6">
        <v>1082</v>
      </c>
      <c r="B1083" s="8" t="s">
        <v>14061</v>
      </c>
      <c r="C1083" s="8" t="s">
        <v>14062</v>
      </c>
      <c r="D1083" s="8" t="s">
        <v>14063</v>
      </c>
      <c r="E1083" s="8" t="s">
        <v>256</v>
      </c>
      <c r="F1083" s="8" t="s">
        <v>14064</v>
      </c>
    </row>
    <row r="1084" customHeight="1" spans="1:6">
      <c r="A1084" s="6">
        <v>1083</v>
      </c>
      <c r="B1084" s="8" t="s">
        <v>14065</v>
      </c>
      <c r="C1084" s="8" t="s">
        <v>14066</v>
      </c>
      <c r="D1084" s="8" t="s">
        <v>14067</v>
      </c>
      <c r="E1084" s="8" t="s">
        <v>28</v>
      </c>
      <c r="F1084" s="8" t="s">
        <v>14068</v>
      </c>
    </row>
    <row r="1085" customHeight="1" spans="1:6">
      <c r="A1085" s="6">
        <v>1084</v>
      </c>
      <c r="B1085" s="8" t="s">
        <v>14065</v>
      </c>
      <c r="C1085" s="8" t="s">
        <v>14066</v>
      </c>
      <c r="D1085" s="8" t="s">
        <v>14067</v>
      </c>
      <c r="E1085" s="8" t="s">
        <v>28</v>
      </c>
      <c r="F1085" s="8" t="s">
        <v>14068</v>
      </c>
    </row>
    <row r="1086" customHeight="1" spans="1:6">
      <c r="A1086" s="6">
        <v>1085</v>
      </c>
      <c r="B1086" s="8" t="s">
        <v>14069</v>
      </c>
      <c r="C1086" s="8" t="s">
        <v>14070</v>
      </c>
      <c r="D1086" s="8" t="s">
        <v>14071</v>
      </c>
      <c r="E1086" s="8" t="s">
        <v>4950</v>
      </c>
      <c r="F1086" s="8" t="s">
        <v>14072</v>
      </c>
    </row>
    <row r="1087" customHeight="1" spans="1:6">
      <c r="A1087" s="6">
        <v>1086</v>
      </c>
      <c r="B1087" s="8" t="s">
        <v>14069</v>
      </c>
      <c r="C1087" s="8" t="s">
        <v>14070</v>
      </c>
      <c r="D1087" s="8" t="s">
        <v>14071</v>
      </c>
      <c r="E1087" s="8" t="s">
        <v>4950</v>
      </c>
      <c r="F1087" s="8" t="s">
        <v>14072</v>
      </c>
    </row>
    <row r="1088" customHeight="1" spans="1:6">
      <c r="A1088" s="6">
        <v>1087</v>
      </c>
      <c r="B1088" s="8" t="s">
        <v>14073</v>
      </c>
      <c r="C1088" s="8" t="s">
        <v>14074</v>
      </c>
      <c r="D1088" s="8" t="s">
        <v>14075</v>
      </c>
      <c r="E1088" s="8" t="s">
        <v>216</v>
      </c>
      <c r="F1088" s="8" t="s">
        <v>14076</v>
      </c>
    </row>
    <row r="1089" customHeight="1" spans="1:6">
      <c r="A1089" s="6">
        <v>1088</v>
      </c>
      <c r="B1089" s="8" t="s">
        <v>14073</v>
      </c>
      <c r="C1089" s="8" t="s">
        <v>14074</v>
      </c>
      <c r="D1089" s="8" t="s">
        <v>14075</v>
      </c>
      <c r="E1089" s="8" t="s">
        <v>216</v>
      </c>
      <c r="F1089" s="8" t="s">
        <v>14076</v>
      </c>
    </row>
    <row r="1090" customHeight="1" spans="1:6">
      <c r="A1090" s="6">
        <v>1089</v>
      </c>
      <c r="B1090" s="8" t="s">
        <v>14077</v>
      </c>
      <c r="C1090" s="8" t="s">
        <v>14078</v>
      </c>
      <c r="D1090" s="8" t="s">
        <v>14079</v>
      </c>
      <c r="E1090" s="8" t="s">
        <v>1189</v>
      </c>
      <c r="F1090" s="8" t="s">
        <v>14080</v>
      </c>
    </row>
    <row r="1091" customHeight="1" spans="1:6">
      <c r="A1091" s="6">
        <v>1090</v>
      </c>
      <c r="B1091" s="8" t="s">
        <v>14077</v>
      </c>
      <c r="C1091" s="8" t="s">
        <v>14078</v>
      </c>
      <c r="D1091" s="8" t="s">
        <v>14079</v>
      </c>
      <c r="E1091" s="8" t="s">
        <v>1189</v>
      </c>
      <c r="F1091" s="8" t="s">
        <v>14080</v>
      </c>
    </row>
    <row r="1092" customHeight="1" spans="1:6">
      <c r="A1092" s="6">
        <v>1091</v>
      </c>
      <c r="B1092" s="8" t="s">
        <v>14081</v>
      </c>
      <c r="C1092" s="8" t="s">
        <v>14082</v>
      </c>
      <c r="D1092" s="8" t="s">
        <v>14083</v>
      </c>
      <c r="E1092" s="8" t="s">
        <v>216</v>
      </c>
      <c r="F1092" s="8" t="s">
        <v>14084</v>
      </c>
    </row>
    <row r="1093" customHeight="1" spans="1:6">
      <c r="A1093" s="6">
        <v>1092</v>
      </c>
      <c r="B1093" s="8" t="s">
        <v>14081</v>
      </c>
      <c r="C1093" s="8" t="s">
        <v>14082</v>
      </c>
      <c r="D1093" s="8" t="s">
        <v>14083</v>
      </c>
      <c r="E1093" s="8" t="s">
        <v>216</v>
      </c>
      <c r="F1093" s="8" t="s">
        <v>14084</v>
      </c>
    </row>
    <row r="1094" customHeight="1" spans="1:6">
      <c r="A1094" s="6">
        <v>1093</v>
      </c>
      <c r="B1094" s="8" t="s">
        <v>14085</v>
      </c>
      <c r="C1094" s="8" t="s">
        <v>14086</v>
      </c>
      <c r="D1094" s="8" t="s">
        <v>14087</v>
      </c>
      <c r="E1094" s="8" t="s">
        <v>1189</v>
      </c>
      <c r="F1094" s="8" t="s">
        <v>14088</v>
      </c>
    </row>
    <row r="1095" customHeight="1" spans="1:6">
      <c r="A1095" s="6">
        <v>1094</v>
      </c>
      <c r="B1095" s="8" t="s">
        <v>14085</v>
      </c>
      <c r="C1095" s="8" t="s">
        <v>14086</v>
      </c>
      <c r="D1095" s="8" t="s">
        <v>14087</v>
      </c>
      <c r="E1095" s="8" t="s">
        <v>1189</v>
      </c>
      <c r="F1095" s="8" t="s">
        <v>14088</v>
      </c>
    </row>
    <row r="1096" customHeight="1" spans="1:6">
      <c r="A1096" s="6">
        <v>1095</v>
      </c>
      <c r="B1096" s="8" t="s">
        <v>14089</v>
      </c>
      <c r="C1096" s="8" t="s">
        <v>14090</v>
      </c>
      <c r="D1096" s="8" t="s">
        <v>14091</v>
      </c>
      <c r="E1096" s="8" t="s">
        <v>7202</v>
      </c>
      <c r="F1096" s="8" t="s">
        <v>14092</v>
      </c>
    </row>
    <row r="1097" customHeight="1" spans="1:6">
      <c r="A1097" s="6">
        <v>1096</v>
      </c>
      <c r="B1097" s="8" t="s">
        <v>14089</v>
      </c>
      <c r="C1097" s="8" t="s">
        <v>14090</v>
      </c>
      <c r="D1097" s="8" t="s">
        <v>14091</v>
      </c>
      <c r="E1097" s="8" t="s">
        <v>7202</v>
      </c>
      <c r="F1097" s="8" t="s">
        <v>14092</v>
      </c>
    </row>
    <row r="1098" customHeight="1" spans="1:6">
      <c r="A1098" s="6">
        <v>1097</v>
      </c>
      <c r="B1098" s="8" t="s">
        <v>14093</v>
      </c>
      <c r="C1098" s="8" t="s">
        <v>14094</v>
      </c>
      <c r="D1098" s="8" t="s">
        <v>14095</v>
      </c>
      <c r="E1098" s="8" t="s">
        <v>1189</v>
      </c>
      <c r="F1098" s="8" t="s">
        <v>14096</v>
      </c>
    </row>
    <row r="1099" customHeight="1" spans="1:6">
      <c r="A1099" s="6">
        <v>1098</v>
      </c>
      <c r="B1099" s="8" t="s">
        <v>14093</v>
      </c>
      <c r="C1099" s="8" t="s">
        <v>14094</v>
      </c>
      <c r="D1099" s="8" t="s">
        <v>14095</v>
      </c>
      <c r="E1099" s="8" t="s">
        <v>1189</v>
      </c>
      <c r="F1099" s="8" t="s">
        <v>14096</v>
      </c>
    </row>
    <row r="1100" customHeight="1" spans="1:6">
      <c r="A1100" s="6">
        <v>1099</v>
      </c>
      <c r="B1100" s="8" t="s">
        <v>14097</v>
      </c>
      <c r="C1100" s="8" t="s">
        <v>14098</v>
      </c>
      <c r="D1100" s="8" t="s">
        <v>14099</v>
      </c>
      <c r="E1100" s="8" t="s">
        <v>6669</v>
      </c>
      <c r="F1100" s="8" t="s">
        <v>14100</v>
      </c>
    </row>
    <row r="1101" customHeight="1" spans="1:6">
      <c r="A1101" s="6">
        <v>1100</v>
      </c>
      <c r="B1101" s="8" t="s">
        <v>14097</v>
      </c>
      <c r="C1101" s="8" t="s">
        <v>14098</v>
      </c>
      <c r="D1101" s="8" t="s">
        <v>14099</v>
      </c>
      <c r="E1101" s="8" t="s">
        <v>6669</v>
      </c>
      <c r="F1101" s="8" t="s">
        <v>14100</v>
      </c>
    </row>
    <row r="1102" customHeight="1" spans="1:6">
      <c r="A1102" s="6">
        <v>1101</v>
      </c>
      <c r="B1102" s="7" t="str">
        <f t="shared" ref="B1102:B1104" si="37">"978-7-108-03831-9"</f>
        <v>978-7-108-03831-9</v>
      </c>
      <c r="C1102" s="7" t="str">
        <f t="shared" ref="C1102:C1104" si="38">"咖啡机中的间谍：个人隐私的终结"</f>
        <v>咖啡机中的间谍：个人隐私的终结</v>
      </c>
      <c r="D1102" s="7" t="str">
        <f t="shared" ref="D1102:D1104" si="39">"(英) 吉隆·奥哈拉， 奈杰尔·沙德博尔特著；毕小青译"</f>
        <v>(英) 吉隆·奥哈拉， 奈杰尔·沙德博尔特著；毕小青译</v>
      </c>
      <c r="E1102" s="7" t="str">
        <f t="shared" ref="E1102:E1104" si="40">"三联书店"</f>
        <v>三联书店</v>
      </c>
      <c r="F1102" s="7" t="str">
        <f t="shared" ref="F1102:F1104" si="41">"TP393.08/351"</f>
        <v>TP393.08/351</v>
      </c>
    </row>
    <row r="1103" customHeight="1" spans="1:6">
      <c r="A1103" s="6">
        <v>1102</v>
      </c>
      <c r="B1103" s="7" t="str">
        <f t="shared" si="37"/>
        <v>978-7-108-03831-9</v>
      </c>
      <c r="C1103" s="7" t="str">
        <f t="shared" si="38"/>
        <v>咖啡机中的间谍：个人隐私的终结</v>
      </c>
      <c r="D1103" s="7" t="str">
        <f t="shared" si="39"/>
        <v>(英) 吉隆·奥哈拉， 奈杰尔·沙德博尔特著；毕小青译</v>
      </c>
      <c r="E1103" s="7" t="str">
        <f t="shared" si="40"/>
        <v>三联书店</v>
      </c>
      <c r="F1103" s="7" t="str">
        <f t="shared" si="41"/>
        <v>TP393.08/351</v>
      </c>
    </row>
    <row r="1104" customHeight="1" spans="1:6">
      <c r="A1104" s="6">
        <v>1103</v>
      </c>
      <c r="B1104" s="7" t="str">
        <f t="shared" si="37"/>
        <v>978-7-108-03831-9</v>
      </c>
      <c r="C1104" s="7" t="str">
        <f t="shared" si="38"/>
        <v>咖啡机中的间谍：个人隐私的终结</v>
      </c>
      <c r="D1104" s="7" t="str">
        <f t="shared" si="39"/>
        <v>(英) 吉隆·奥哈拉， 奈杰尔·沙德博尔特著；毕小青译</v>
      </c>
      <c r="E1104" s="7" t="str">
        <f t="shared" si="40"/>
        <v>三联书店</v>
      </c>
      <c r="F1104" s="7" t="str">
        <f t="shared" si="41"/>
        <v>TP393.08/351</v>
      </c>
    </row>
    <row r="1105" customHeight="1" spans="1:6">
      <c r="A1105" s="6">
        <v>1104</v>
      </c>
      <c r="B1105" s="8" t="s">
        <v>14101</v>
      </c>
      <c r="C1105" s="8" t="s">
        <v>14102</v>
      </c>
      <c r="D1105" s="8" t="s">
        <v>14103</v>
      </c>
      <c r="E1105" s="8" t="s">
        <v>571</v>
      </c>
      <c r="F1105" s="8" t="s">
        <v>14104</v>
      </c>
    </row>
    <row r="1106" customHeight="1" spans="1:6">
      <c r="A1106" s="6">
        <v>1105</v>
      </c>
      <c r="B1106" s="8" t="s">
        <v>14101</v>
      </c>
      <c r="C1106" s="8" t="s">
        <v>14102</v>
      </c>
      <c r="D1106" s="8" t="s">
        <v>14103</v>
      </c>
      <c r="E1106" s="8" t="s">
        <v>571</v>
      </c>
      <c r="F1106" s="8" t="s">
        <v>14104</v>
      </c>
    </row>
    <row r="1107" customHeight="1" spans="1:6">
      <c r="A1107" s="6">
        <v>1106</v>
      </c>
      <c r="B1107" s="8" t="s">
        <v>14105</v>
      </c>
      <c r="C1107" s="8" t="s">
        <v>14106</v>
      </c>
      <c r="D1107" s="8" t="s">
        <v>14107</v>
      </c>
      <c r="E1107" s="8" t="s">
        <v>2566</v>
      </c>
      <c r="F1107" s="8" t="s">
        <v>14108</v>
      </c>
    </row>
    <row r="1108" customHeight="1" spans="1:6">
      <c r="A1108" s="6">
        <v>1107</v>
      </c>
      <c r="B1108" s="8" t="s">
        <v>14105</v>
      </c>
      <c r="C1108" s="8" t="s">
        <v>14106</v>
      </c>
      <c r="D1108" s="8" t="s">
        <v>14107</v>
      </c>
      <c r="E1108" s="8" t="s">
        <v>2566</v>
      </c>
      <c r="F1108" s="8" t="s">
        <v>14108</v>
      </c>
    </row>
    <row r="1109" customHeight="1" spans="1:6">
      <c r="A1109" s="6">
        <v>1108</v>
      </c>
      <c r="B1109" s="8" t="s">
        <v>14109</v>
      </c>
      <c r="C1109" s="8" t="s">
        <v>14110</v>
      </c>
      <c r="D1109" s="8" t="s">
        <v>14111</v>
      </c>
      <c r="E1109" s="8" t="s">
        <v>1189</v>
      </c>
      <c r="F1109" s="8" t="s">
        <v>14112</v>
      </c>
    </row>
    <row r="1110" customHeight="1" spans="1:6">
      <c r="A1110" s="6">
        <v>1109</v>
      </c>
      <c r="B1110" s="8" t="s">
        <v>14109</v>
      </c>
      <c r="C1110" s="8" t="s">
        <v>14110</v>
      </c>
      <c r="D1110" s="8" t="s">
        <v>14111</v>
      </c>
      <c r="E1110" s="8" t="s">
        <v>1189</v>
      </c>
      <c r="F1110" s="8" t="s">
        <v>14112</v>
      </c>
    </row>
    <row r="1111" customHeight="1" spans="1:6">
      <c r="A1111" s="6">
        <v>1110</v>
      </c>
      <c r="B1111" s="8" t="s">
        <v>14113</v>
      </c>
      <c r="C1111" s="8" t="s">
        <v>14114</v>
      </c>
      <c r="D1111" s="8" t="s">
        <v>2079</v>
      </c>
      <c r="E1111" s="8" t="s">
        <v>3146</v>
      </c>
      <c r="F1111" s="8" t="s">
        <v>14115</v>
      </c>
    </row>
    <row r="1112" customHeight="1" spans="1:6">
      <c r="A1112" s="6">
        <v>1111</v>
      </c>
      <c r="B1112" s="8" t="s">
        <v>14113</v>
      </c>
      <c r="C1112" s="8" t="s">
        <v>14114</v>
      </c>
      <c r="D1112" s="8" t="s">
        <v>2079</v>
      </c>
      <c r="E1112" s="8" t="s">
        <v>3146</v>
      </c>
      <c r="F1112" s="8" t="s">
        <v>14115</v>
      </c>
    </row>
    <row r="1113" customHeight="1" spans="1:6">
      <c r="A1113" s="6">
        <v>1112</v>
      </c>
      <c r="B1113" s="8" t="s">
        <v>14116</v>
      </c>
      <c r="C1113" s="8" t="s">
        <v>14117</v>
      </c>
      <c r="D1113" s="8" t="s">
        <v>14118</v>
      </c>
      <c r="E1113" s="8" t="s">
        <v>256</v>
      </c>
      <c r="F1113" s="8" t="s">
        <v>14119</v>
      </c>
    </row>
    <row r="1114" customHeight="1" spans="1:6">
      <c r="A1114" s="6">
        <v>1113</v>
      </c>
      <c r="B1114" s="8" t="s">
        <v>14116</v>
      </c>
      <c r="C1114" s="8" t="s">
        <v>14117</v>
      </c>
      <c r="D1114" s="8" t="s">
        <v>14118</v>
      </c>
      <c r="E1114" s="8" t="s">
        <v>256</v>
      </c>
      <c r="F1114" s="8" t="s">
        <v>14119</v>
      </c>
    </row>
    <row r="1115" customHeight="1" spans="1:6">
      <c r="A1115" s="6">
        <v>1114</v>
      </c>
      <c r="B1115" s="8" t="s">
        <v>14120</v>
      </c>
      <c r="C1115" s="8" t="s">
        <v>14121</v>
      </c>
      <c r="D1115" s="8" t="s">
        <v>14122</v>
      </c>
      <c r="E1115" s="8" t="s">
        <v>530</v>
      </c>
      <c r="F1115" s="8" t="s">
        <v>14123</v>
      </c>
    </row>
    <row r="1116" customHeight="1" spans="1:6">
      <c r="A1116" s="6">
        <v>1115</v>
      </c>
      <c r="B1116" s="8" t="s">
        <v>14120</v>
      </c>
      <c r="C1116" s="8" t="s">
        <v>14121</v>
      </c>
      <c r="D1116" s="8" t="s">
        <v>14122</v>
      </c>
      <c r="E1116" s="8" t="s">
        <v>530</v>
      </c>
      <c r="F1116" s="8" t="s">
        <v>14123</v>
      </c>
    </row>
    <row r="1117" customHeight="1" spans="1:6">
      <c r="A1117" s="6">
        <v>1116</v>
      </c>
      <c r="B1117" s="8" t="s">
        <v>14124</v>
      </c>
      <c r="C1117" s="8" t="s">
        <v>14125</v>
      </c>
      <c r="D1117" s="8" t="s">
        <v>14126</v>
      </c>
      <c r="E1117" s="8" t="s">
        <v>530</v>
      </c>
      <c r="F1117" s="8" t="s">
        <v>14127</v>
      </c>
    </row>
    <row r="1118" customHeight="1" spans="1:6">
      <c r="A1118" s="6">
        <v>1117</v>
      </c>
      <c r="B1118" s="8" t="s">
        <v>14124</v>
      </c>
      <c r="C1118" s="8" t="s">
        <v>14125</v>
      </c>
      <c r="D1118" s="8" t="s">
        <v>14126</v>
      </c>
      <c r="E1118" s="8" t="s">
        <v>530</v>
      </c>
      <c r="F1118" s="8" t="s">
        <v>14127</v>
      </c>
    </row>
    <row r="1119" customHeight="1" spans="1:6">
      <c r="A1119" s="6">
        <v>1118</v>
      </c>
      <c r="B1119" s="8" t="s">
        <v>14128</v>
      </c>
      <c r="C1119" s="8" t="s">
        <v>14129</v>
      </c>
      <c r="D1119" s="8" t="s">
        <v>14130</v>
      </c>
      <c r="E1119" s="8" t="s">
        <v>3180</v>
      </c>
      <c r="F1119" s="8" t="s">
        <v>14131</v>
      </c>
    </row>
    <row r="1120" customHeight="1" spans="1:6">
      <c r="A1120" s="6">
        <v>1119</v>
      </c>
      <c r="B1120" s="8" t="s">
        <v>14128</v>
      </c>
      <c r="C1120" s="8" t="s">
        <v>14129</v>
      </c>
      <c r="D1120" s="8" t="s">
        <v>14130</v>
      </c>
      <c r="E1120" s="8" t="s">
        <v>3180</v>
      </c>
      <c r="F1120" s="8" t="s">
        <v>14131</v>
      </c>
    </row>
    <row r="1121" customHeight="1" spans="1:6">
      <c r="A1121" s="6">
        <v>1120</v>
      </c>
      <c r="B1121" s="8" t="s">
        <v>14132</v>
      </c>
      <c r="C1121" s="8" t="s">
        <v>14133</v>
      </c>
      <c r="D1121" s="8" t="s">
        <v>14134</v>
      </c>
      <c r="E1121" s="8" t="s">
        <v>530</v>
      </c>
      <c r="F1121" s="8" t="s">
        <v>14135</v>
      </c>
    </row>
    <row r="1122" customHeight="1" spans="1:6">
      <c r="A1122" s="6">
        <v>1121</v>
      </c>
      <c r="B1122" s="8" t="s">
        <v>14132</v>
      </c>
      <c r="C1122" s="8" t="s">
        <v>14133</v>
      </c>
      <c r="D1122" s="8" t="s">
        <v>14134</v>
      </c>
      <c r="E1122" s="8" t="s">
        <v>530</v>
      </c>
      <c r="F1122" s="8" t="s">
        <v>14135</v>
      </c>
    </row>
    <row r="1123" customHeight="1" spans="1:6">
      <c r="A1123" s="6">
        <v>1122</v>
      </c>
      <c r="B1123" s="8" t="s">
        <v>14136</v>
      </c>
      <c r="C1123" s="8" t="s">
        <v>14137</v>
      </c>
      <c r="D1123" s="13"/>
      <c r="E1123" s="8" t="s">
        <v>468</v>
      </c>
      <c r="F1123" s="8" t="s">
        <v>14138</v>
      </c>
    </row>
    <row r="1124" customHeight="1" spans="1:6">
      <c r="A1124" s="6">
        <v>1123</v>
      </c>
      <c r="B1124" s="8" t="s">
        <v>14139</v>
      </c>
      <c r="C1124" s="8" t="s">
        <v>14140</v>
      </c>
      <c r="D1124" s="8" t="s">
        <v>14141</v>
      </c>
      <c r="E1124" s="8" t="s">
        <v>1189</v>
      </c>
      <c r="F1124" s="8" t="s">
        <v>14142</v>
      </c>
    </row>
    <row r="1125" customHeight="1" spans="1:6">
      <c r="A1125" s="6">
        <v>1124</v>
      </c>
      <c r="B1125" s="8" t="s">
        <v>14139</v>
      </c>
      <c r="C1125" s="8" t="s">
        <v>14140</v>
      </c>
      <c r="D1125" s="8" t="s">
        <v>14141</v>
      </c>
      <c r="E1125" s="8" t="s">
        <v>1189</v>
      </c>
      <c r="F1125" s="8" t="s">
        <v>14142</v>
      </c>
    </row>
    <row r="1126" customHeight="1" spans="1:6">
      <c r="A1126" s="6">
        <v>1125</v>
      </c>
      <c r="B1126" s="8" t="s">
        <v>14143</v>
      </c>
      <c r="C1126" s="8" t="s">
        <v>14144</v>
      </c>
      <c r="D1126" s="8" t="s">
        <v>14145</v>
      </c>
      <c r="E1126" s="8" t="s">
        <v>2566</v>
      </c>
      <c r="F1126" s="8" t="s">
        <v>14146</v>
      </c>
    </row>
    <row r="1127" customHeight="1" spans="1:6">
      <c r="A1127" s="6">
        <v>1126</v>
      </c>
      <c r="B1127" s="8" t="s">
        <v>14143</v>
      </c>
      <c r="C1127" s="8" t="s">
        <v>14144</v>
      </c>
      <c r="D1127" s="8" t="s">
        <v>14145</v>
      </c>
      <c r="E1127" s="8" t="s">
        <v>2566</v>
      </c>
      <c r="F1127" s="8" t="s">
        <v>14146</v>
      </c>
    </row>
    <row r="1128" customHeight="1" spans="1:6">
      <c r="A1128" s="6">
        <v>1127</v>
      </c>
      <c r="B1128" s="8" t="s">
        <v>14147</v>
      </c>
      <c r="C1128" s="8" t="s">
        <v>14148</v>
      </c>
      <c r="D1128" s="8" t="s">
        <v>14149</v>
      </c>
      <c r="E1128" s="8" t="s">
        <v>1189</v>
      </c>
      <c r="F1128" s="8" t="s">
        <v>14150</v>
      </c>
    </row>
    <row r="1129" customHeight="1" spans="1:6">
      <c r="A1129" s="6">
        <v>1128</v>
      </c>
      <c r="B1129" s="8" t="s">
        <v>14147</v>
      </c>
      <c r="C1129" s="8" t="s">
        <v>14148</v>
      </c>
      <c r="D1129" s="8" t="s">
        <v>14149</v>
      </c>
      <c r="E1129" s="8" t="s">
        <v>1189</v>
      </c>
      <c r="F1129" s="8" t="s">
        <v>14150</v>
      </c>
    </row>
    <row r="1130" customHeight="1" spans="1:6">
      <c r="A1130" s="6">
        <v>1129</v>
      </c>
      <c r="B1130" s="8" t="s">
        <v>14151</v>
      </c>
      <c r="C1130" s="8" t="s">
        <v>14152</v>
      </c>
      <c r="D1130" s="8" t="s">
        <v>14153</v>
      </c>
      <c r="E1130" s="8" t="s">
        <v>375</v>
      </c>
      <c r="F1130" s="8" t="s">
        <v>14154</v>
      </c>
    </row>
    <row r="1131" customHeight="1" spans="1:6">
      <c r="A1131" s="6">
        <v>1130</v>
      </c>
      <c r="B1131" s="8" t="s">
        <v>14151</v>
      </c>
      <c r="C1131" s="8" t="s">
        <v>14152</v>
      </c>
      <c r="D1131" s="8" t="s">
        <v>14153</v>
      </c>
      <c r="E1131" s="8" t="s">
        <v>375</v>
      </c>
      <c r="F1131" s="8" t="s">
        <v>14154</v>
      </c>
    </row>
    <row r="1132" customHeight="1" spans="1:6">
      <c r="A1132" s="6">
        <v>1131</v>
      </c>
      <c r="B1132" s="8" t="s">
        <v>14155</v>
      </c>
      <c r="C1132" s="8" t="s">
        <v>14156</v>
      </c>
      <c r="D1132" s="8" t="s">
        <v>14157</v>
      </c>
      <c r="E1132" s="8" t="s">
        <v>256</v>
      </c>
      <c r="F1132" s="8" t="s">
        <v>14158</v>
      </c>
    </row>
    <row r="1133" customHeight="1" spans="1:6">
      <c r="A1133" s="6">
        <v>1132</v>
      </c>
      <c r="B1133" s="8" t="s">
        <v>14155</v>
      </c>
      <c r="C1133" s="8" t="s">
        <v>14156</v>
      </c>
      <c r="D1133" s="8" t="s">
        <v>14157</v>
      </c>
      <c r="E1133" s="8" t="s">
        <v>256</v>
      </c>
      <c r="F1133" s="8" t="s">
        <v>14158</v>
      </c>
    </row>
    <row r="1134" customHeight="1" spans="1:6">
      <c r="A1134" s="6">
        <v>1133</v>
      </c>
      <c r="B1134" s="8" t="s">
        <v>14159</v>
      </c>
      <c r="C1134" s="8" t="s">
        <v>14160</v>
      </c>
      <c r="D1134" s="8" t="s">
        <v>14161</v>
      </c>
      <c r="E1134" s="8" t="s">
        <v>2068</v>
      </c>
      <c r="F1134" s="8" t="s">
        <v>14162</v>
      </c>
    </row>
    <row r="1135" customHeight="1" spans="1:6">
      <c r="A1135" s="6">
        <v>1134</v>
      </c>
      <c r="B1135" s="8" t="s">
        <v>14159</v>
      </c>
      <c r="C1135" s="8" t="s">
        <v>14160</v>
      </c>
      <c r="D1135" s="8" t="s">
        <v>14161</v>
      </c>
      <c r="E1135" s="8" t="s">
        <v>2068</v>
      </c>
      <c r="F1135" s="8" t="s">
        <v>14162</v>
      </c>
    </row>
    <row r="1136" customHeight="1" spans="1:6">
      <c r="A1136" s="6">
        <v>1135</v>
      </c>
      <c r="B1136" s="8" t="s">
        <v>14163</v>
      </c>
      <c r="C1136" s="8" t="s">
        <v>14164</v>
      </c>
      <c r="D1136" s="8" t="s">
        <v>14165</v>
      </c>
      <c r="E1136" s="8" t="s">
        <v>4855</v>
      </c>
      <c r="F1136" s="8" t="s">
        <v>14166</v>
      </c>
    </row>
    <row r="1137" customHeight="1" spans="1:6">
      <c r="A1137" s="6">
        <v>1136</v>
      </c>
      <c r="B1137" s="8" t="s">
        <v>14163</v>
      </c>
      <c r="C1137" s="8" t="s">
        <v>14164</v>
      </c>
      <c r="D1137" s="8" t="s">
        <v>14165</v>
      </c>
      <c r="E1137" s="8" t="s">
        <v>4855</v>
      </c>
      <c r="F1137" s="8" t="s">
        <v>14166</v>
      </c>
    </row>
    <row r="1138" customHeight="1" spans="1:6">
      <c r="A1138" s="6">
        <v>1137</v>
      </c>
      <c r="B1138" s="8" t="s">
        <v>14167</v>
      </c>
      <c r="C1138" s="8" t="s">
        <v>14168</v>
      </c>
      <c r="D1138" s="8" t="s">
        <v>14169</v>
      </c>
      <c r="E1138" s="8" t="s">
        <v>9114</v>
      </c>
      <c r="F1138" s="8" t="s">
        <v>14170</v>
      </c>
    </row>
    <row r="1139" customHeight="1" spans="1:6">
      <c r="A1139" s="6">
        <v>1138</v>
      </c>
      <c r="B1139" s="8" t="s">
        <v>14167</v>
      </c>
      <c r="C1139" s="8" t="s">
        <v>14168</v>
      </c>
      <c r="D1139" s="8" t="s">
        <v>14169</v>
      </c>
      <c r="E1139" s="8" t="s">
        <v>9114</v>
      </c>
      <c r="F1139" s="8" t="s">
        <v>14170</v>
      </c>
    </row>
    <row r="1140" customHeight="1" spans="1:6">
      <c r="A1140" s="6">
        <v>1139</v>
      </c>
      <c r="B1140" s="8" t="s">
        <v>14171</v>
      </c>
      <c r="C1140" s="8" t="s">
        <v>14172</v>
      </c>
      <c r="D1140" s="8" t="s">
        <v>14173</v>
      </c>
      <c r="E1140" s="8" t="s">
        <v>1189</v>
      </c>
      <c r="F1140" s="8" t="s">
        <v>14174</v>
      </c>
    </row>
    <row r="1141" customHeight="1" spans="1:6">
      <c r="A1141" s="6">
        <v>1140</v>
      </c>
      <c r="B1141" s="8" t="s">
        <v>14171</v>
      </c>
      <c r="C1141" s="8" t="s">
        <v>14172</v>
      </c>
      <c r="D1141" s="8" t="s">
        <v>14173</v>
      </c>
      <c r="E1141" s="8" t="s">
        <v>1189</v>
      </c>
      <c r="F1141" s="8" t="s">
        <v>14174</v>
      </c>
    </row>
    <row r="1142" customHeight="1" spans="1:6">
      <c r="A1142" s="6">
        <v>1141</v>
      </c>
      <c r="B1142" s="8" t="s">
        <v>14175</v>
      </c>
      <c r="C1142" s="8" t="s">
        <v>14176</v>
      </c>
      <c r="D1142" s="8" t="s">
        <v>14177</v>
      </c>
      <c r="E1142" s="8" t="s">
        <v>1189</v>
      </c>
      <c r="F1142" s="8" t="s">
        <v>14178</v>
      </c>
    </row>
    <row r="1143" customHeight="1" spans="1:6">
      <c r="A1143" s="6">
        <v>1142</v>
      </c>
      <c r="B1143" s="8" t="s">
        <v>14175</v>
      </c>
      <c r="C1143" s="8" t="s">
        <v>14176</v>
      </c>
      <c r="D1143" s="8" t="s">
        <v>14177</v>
      </c>
      <c r="E1143" s="8" t="s">
        <v>1189</v>
      </c>
      <c r="F1143" s="8" t="s">
        <v>14178</v>
      </c>
    </row>
    <row r="1144" customHeight="1" spans="1:6">
      <c r="A1144" s="6">
        <v>1143</v>
      </c>
      <c r="B1144" s="8" t="s">
        <v>14179</v>
      </c>
      <c r="C1144" s="8" t="s">
        <v>14180</v>
      </c>
      <c r="D1144" s="8" t="s">
        <v>14181</v>
      </c>
      <c r="E1144" s="8" t="s">
        <v>216</v>
      </c>
      <c r="F1144" s="8" t="s">
        <v>14182</v>
      </c>
    </row>
    <row r="1145" customHeight="1" spans="1:6">
      <c r="A1145" s="6">
        <v>1144</v>
      </c>
      <c r="B1145" s="8" t="s">
        <v>14179</v>
      </c>
      <c r="C1145" s="8" t="s">
        <v>14180</v>
      </c>
      <c r="D1145" s="8" t="s">
        <v>14181</v>
      </c>
      <c r="E1145" s="8" t="s">
        <v>216</v>
      </c>
      <c r="F1145" s="8" t="s">
        <v>14182</v>
      </c>
    </row>
    <row r="1146" customHeight="1" spans="1:6">
      <c r="A1146" s="6">
        <v>1145</v>
      </c>
      <c r="B1146" s="8" t="s">
        <v>14183</v>
      </c>
      <c r="C1146" s="8" t="s">
        <v>14184</v>
      </c>
      <c r="D1146" s="8" t="s">
        <v>14185</v>
      </c>
      <c r="E1146" s="8" t="s">
        <v>189</v>
      </c>
      <c r="F1146" s="8" t="s">
        <v>14186</v>
      </c>
    </row>
    <row r="1147" customHeight="1" spans="1:6">
      <c r="A1147" s="6">
        <v>1146</v>
      </c>
      <c r="B1147" s="8" t="s">
        <v>14183</v>
      </c>
      <c r="C1147" s="8" t="s">
        <v>14184</v>
      </c>
      <c r="D1147" s="8" t="s">
        <v>14185</v>
      </c>
      <c r="E1147" s="8" t="s">
        <v>189</v>
      </c>
      <c r="F1147" s="8" t="s">
        <v>14186</v>
      </c>
    </row>
    <row r="1148" customHeight="1" spans="1:6">
      <c r="A1148" s="6">
        <v>1147</v>
      </c>
      <c r="B1148" s="8" t="s">
        <v>14187</v>
      </c>
      <c r="C1148" s="8" t="s">
        <v>14188</v>
      </c>
      <c r="D1148" s="8" t="s">
        <v>14189</v>
      </c>
      <c r="E1148" s="8" t="s">
        <v>4950</v>
      </c>
      <c r="F1148" s="8" t="s">
        <v>14190</v>
      </c>
    </row>
    <row r="1149" customHeight="1" spans="1:6">
      <c r="A1149" s="6">
        <v>1148</v>
      </c>
      <c r="B1149" s="8" t="s">
        <v>14187</v>
      </c>
      <c r="C1149" s="8" t="s">
        <v>14188</v>
      </c>
      <c r="D1149" s="8" t="s">
        <v>14189</v>
      </c>
      <c r="E1149" s="8" t="s">
        <v>4950</v>
      </c>
      <c r="F1149" s="8" t="s">
        <v>14190</v>
      </c>
    </row>
    <row r="1150" customHeight="1" spans="1:6">
      <c r="A1150" s="6">
        <v>1149</v>
      </c>
      <c r="B1150" s="8" t="s">
        <v>14191</v>
      </c>
      <c r="C1150" s="8" t="s">
        <v>14192</v>
      </c>
      <c r="D1150" s="8" t="s">
        <v>14193</v>
      </c>
      <c r="E1150" s="8" t="s">
        <v>665</v>
      </c>
      <c r="F1150" s="8" t="s">
        <v>14194</v>
      </c>
    </row>
    <row r="1151" customHeight="1" spans="1:6">
      <c r="A1151" s="6">
        <v>1150</v>
      </c>
      <c r="B1151" s="8" t="s">
        <v>14191</v>
      </c>
      <c r="C1151" s="8" t="s">
        <v>14192</v>
      </c>
      <c r="D1151" s="8" t="s">
        <v>14193</v>
      </c>
      <c r="E1151" s="8" t="s">
        <v>665</v>
      </c>
      <c r="F1151" s="8" t="s">
        <v>14194</v>
      </c>
    </row>
    <row r="1152" customHeight="1" spans="1:6">
      <c r="A1152" s="6">
        <v>1151</v>
      </c>
      <c r="B1152" s="8" t="s">
        <v>14195</v>
      </c>
      <c r="C1152" s="8" t="s">
        <v>14196</v>
      </c>
      <c r="D1152" s="8" t="s">
        <v>14197</v>
      </c>
      <c r="E1152" s="8" t="s">
        <v>530</v>
      </c>
      <c r="F1152" s="8" t="s">
        <v>14198</v>
      </c>
    </row>
    <row r="1153" customHeight="1" spans="1:6">
      <c r="A1153" s="6">
        <v>1152</v>
      </c>
      <c r="B1153" s="8" t="s">
        <v>14195</v>
      </c>
      <c r="C1153" s="8" t="s">
        <v>14196</v>
      </c>
      <c r="D1153" s="8" t="s">
        <v>14197</v>
      </c>
      <c r="E1153" s="8" t="s">
        <v>530</v>
      </c>
      <c r="F1153" s="8" t="s">
        <v>14198</v>
      </c>
    </row>
    <row r="1154" customHeight="1" spans="1:6">
      <c r="A1154" s="6">
        <v>1153</v>
      </c>
      <c r="B1154" s="8" t="s">
        <v>14199</v>
      </c>
      <c r="C1154" s="8" t="s">
        <v>14200</v>
      </c>
      <c r="D1154" s="8" t="s">
        <v>14201</v>
      </c>
      <c r="E1154" s="8" t="s">
        <v>3146</v>
      </c>
      <c r="F1154" s="8" t="s">
        <v>14202</v>
      </c>
    </row>
    <row r="1155" customHeight="1" spans="1:6">
      <c r="A1155" s="6">
        <v>1154</v>
      </c>
      <c r="B1155" s="8" t="s">
        <v>14199</v>
      </c>
      <c r="C1155" s="8" t="s">
        <v>14200</v>
      </c>
      <c r="D1155" s="8" t="s">
        <v>14201</v>
      </c>
      <c r="E1155" s="8" t="s">
        <v>3146</v>
      </c>
      <c r="F1155" s="8" t="s">
        <v>14202</v>
      </c>
    </row>
    <row r="1156" customHeight="1" spans="1:6">
      <c r="A1156" s="6">
        <v>1155</v>
      </c>
      <c r="B1156" s="8" t="s">
        <v>14203</v>
      </c>
      <c r="C1156" s="8" t="s">
        <v>14204</v>
      </c>
      <c r="D1156" s="8" t="s">
        <v>14205</v>
      </c>
      <c r="E1156" s="8" t="s">
        <v>3146</v>
      </c>
      <c r="F1156" s="8" t="s">
        <v>14206</v>
      </c>
    </row>
    <row r="1157" customHeight="1" spans="1:6">
      <c r="A1157" s="6">
        <v>1156</v>
      </c>
      <c r="B1157" s="8" t="s">
        <v>14203</v>
      </c>
      <c r="C1157" s="8" t="s">
        <v>14204</v>
      </c>
      <c r="D1157" s="8" t="s">
        <v>14205</v>
      </c>
      <c r="E1157" s="8" t="s">
        <v>3146</v>
      </c>
      <c r="F1157" s="8" t="s">
        <v>14206</v>
      </c>
    </row>
    <row r="1158" customHeight="1" spans="1:6">
      <c r="A1158" s="6">
        <v>1157</v>
      </c>
      <c r="B1158" s="8" t="s">
        <v>14207</v>
      </c>
      <c r="C1158" s="8" t="s">
        <v>14208</v>
      </c>
      <c r="D1158" s="8" t="s">
        <v>14209</v>
      </c>
      <c r="E1158" s="8" t="s">
        <v>985</v>
      </c>
      <c r="F1158" s="8" t="s">
        <v>14210</v>
      </c>
    </row>
    <row r="1159" customHeight="1" spans="1:6">
      <c r="A1159" s="6">
        <v>1158</v>
      </c>
      <c r="B1159" s="8" t="s">
        <v>14207</v>
      </c>
      <c r="C1159" s="8" t="s">
        <v>14208</v>
      </c>
      <c r="D1159" s="8" t="s">
        <v>14209</v>
      </c>
      <c r="E1159" s="8" t="s">
        <v>985</v>
      </c>
      <c r="F1159" s="8" t="s">
        <v>14210</v>
      </c>
    </row>
    <row r="1160" customHeight="1" spans="1:6">
      <c r="A1160" s="6">
        <v>1159</v>
      </c>
      <c r="B1160" s="8" t="s">
        <v>14211</v>
      </c>
      <c r="C1160" s="8" t="s">
        <v>14212</v>
      </c>
      <c r="D1160" s="8" t="s">
        <v>13625</v>
      </c>
      <c r="E1160" s="8" t="s">
        <v>216</v>
      </c>
      <c r="F1160" s="8" t="s">
        <v>14213</v>
      </c>
    </row>
    <row r="1161" customHeight="1" spans="1:6">
      <c r="A1161" s="6">
        <v>1160</v>
      </c>
      <c r="B1161" s="8" t="s">
        <v>14211</v>
      </c>
      <c r="C1161" s="8" t="s">
        <v>14212</v>
      </c>
      <c r="D1161" s="8" t="s">
        <v>13625</v>
      </c>
      <c r="E1161" s="8" t="s">
        <v>216</v>
      </c>
      <c r="F1161" s="8" t="s">
        <v>14213</v>
      </c>
    </row>
    <row r="1162" customHeight="1" spans="1:6">
      <c r="A1162" s="6">
        <v>1161</v>
      </c>
      <c r="B1162" s="8" t="s">
        <v>14214</v>
      </c>
      <c r="C1162" s="8" t="s">
        <v>14215</v>
      </c>
      <c r="D1162" s="8" t="s">
        <v>14216</v>
      </c>
      <c r="E1162" s="8" t="s">
        <v>4855</v>
      </c>
      <c r="F1162" s="8" t="s">
        <v>14217</v>
      </c>
    </row>
    <row r="1163" customHeight="1" spans="1:6">
      <c r="A1163" s="6">
        <v>1162</v>
      </c>
      <c r="B1163" s="8" t="s">
        <v>14214</v>
      </c>
      <c r="C1163" s="8" t="s">
        <v>14215</v>
      </c>
      <c r="D1163" s="8" t="s">
        <v>14216</v>
      </c>
      <c r="E1163" s="8" t="s">
        <v>4855</v>
      </c>
      <c r="F1163" s="8" t="s">
        <v>14217</v>
      </c>
    </row>
    <row r="1164" customHeight="1" spans="1:6">
      <c r="A1164" s="6">
        <v>1163</v>
      </c>
      <c r="B1164" s="8" t="s">
        <v>14218</v>
      </c>
      <c r="C1164" s="8" t="s">
        <v>14219</v>
      </c>
      <c r="D1164" s="8" t="s">
        <v>14220</v>
      </c>
      <c r="E1164" s="8" t="s">
        <v>288</v>
      </c>
      <c r="F1164" s="8" t="s">
        <v>14221</v>
      </c>
    </row>
    <row r="1165" customHeight="1" spans="1:6">
      <c r="A1165" s="6">
        <v>1164</v>
      </c>
      <c r="B1165" s="8" t="s">
        <v>14218</v>
      </c>
      <c r="C1165" s="8" t="s">
        <v>14219</v>
      </c>
      <c r="D1165" s="8" t="s">
        <v>14220</v>
      </c>
      <c r="E1165" s="8" t="s">
        <v>288</v>
      </c>
      <c r="F1165" s="8" t="s">
        <v>14221</v>
      </c>
    </row>
    <row r="1166" customHeight="1" spans="1:6">
      <c r="A1166" s="6">
        <v>1165</v>
      </c>
      <c r="B1166" s="8" t="s">
        <v>14222</v>
      </c>
      <c r="C1166" s="8" t="s">
        <v>14223</v>
      </c>
      <c r="D1166" s="8" t="s">
        <v>14224</v>
      </c>
      <c r="E1166" s="8" t="s">
        <v>216</v>
      </c>
      <c r="F1166" s="8" t="s">
        <v>14225</v>
      </c>
    </row>
    <row r="1167" customHeight="1" spans="1:6">
      <c r="A1167" s="6">
        <v>1166</v>
      </c>
      <c r="B1167" s="8" t="s">
        <v>14222</v>
      </c>
      <c r="C1167" s="8" t="s">
        <v>14223</v>
      </c>
      <c r="D1167" s="8" t="s">
        <v>14224</v>
      </c>
      <c r="E1167" s="8" t="s">
        <v>216</v>
      </c>
      <c r="F1167" s="8" t="s">
        <v>14225</v>
      </c>
    </row>
    <row r="1168" customHeight="1" spans="1:6">
      <c r="A1168" s="6">
        <v>1167</v>
      </c>
      <c r="B1168" s="8" t="s">
        <v>14226</v>
      </c>
      <c r="C1168" s="8" t="s">
        <v>14227</v>
      </c>
      <c r="D1168" s="8" t="s">
        <v>14228</v>
      </c>
      <c r="E1168" s="8" t="s">
        <v>216</v>
      </c>
      <c r="F1168" s="8" t="s">
        <v>14229</v>
      </c>
    </row>
    <row r="1169" customHeight="1" spans="1:6">
      <c r="A1169" s="6">
        <v>1168</v>
      </c>
      <c r="B1169" s="8" t="s">
        <v>14226</v>
      </c>
      <c r="C1169" s="8" t="s">
        <v>14227</v>
      </c>
      <c r="D1169" s="8" t="s">
        <v>14228</v>
      </c>
      <c r="E1169" s="8" t="s">
        <v>216</v>
      </c>
      <c r="F1169" s="8" t="s">
        <v>14229</v>
      </c>
    </row>
    <row r="1170" customHeight="1" spans="1:6">
      <c r="A1170" s="6">
        <v>1169</v>
      </c>
      <c r="B1170" s="8" t="s">
        <v>14230</v>
      </c>
      <c r="C1170" s="8" t="s">
        <v>14231</v>
      </c>
      <c r="D1170" s="8" t="s">
        <v>14232</v>
      </c>
      <c r="E1170" s="8" t="s">
        <v>530</v>
      </c>
      <c r="F1170" s="8" t="s">
        <v>14233</v>
      </c>
    </row>
    <row r="1171" customHeight="1" spans="1:6">
      <c r="A1171" s="6">
        <v>1170</v>
      </c>
      <c r="B1171" s="8" t="s">
        <v>14230</v>
      </c>
      <c r="C1171" s="8" t="s">
        <v>14231</v>
      </c>
      <c r="D1171" s="8" t="s">
        <v>14232</v>
      </c>
      <c r="E1171" s="8" t="s">
        <v>530</v>
      </c>
      <c r="F1171" s="8" t="s">
        <v>14233</v>
      </c>
    </row>
    <row r="1172" customHeight="1" spans="1:6">
      <c r="A1172" s="6">
        <v>1171</v>
      </c>
      <c r="B1172" s="8" t="s">
        <v>14234</v>
      </c>
      <c r="C1172" s="8" t="s">
        <v>14235</v>
      </c>
      <c r="D1172" s="8" t="s">
        <v>14236</v>
      </c>
      <c r="E1172" s="8" t="s">
        <v>3146</v>
      </c>
      <c r="F1172" s="8" t="s">
        <v>14237</v>
      </c>
    </row>
    <row r="1173" customHeight="1" spans="1:6">
      <c r="A1173" s="6">
        <v>1172</v>
      </c>
      <c r="B1173" s="8" t="s">
        <v>14234</v>
      </c>
      <c r="C1173" s="8" t="s">
        <v>14235</v>
      </c>
      <c r="D1173" s="8" t="s">
        <v>14236</v>
      </c>
      <c r="E1173" s="8" t="s">
        <v>3146</v>
      </c>
      <c r="F1173" s="8" t="s">
        <v>14237</v>
      </c>
    </row>
    <row r="1174" customHeight="1" spans="1:6">
      <c r="A1174" s="6">
        <v>1173</v>
      </c>
      <c r="B1174" s="8" t="s">
        <v>14238</v>
      </c>
      <c r="C1174" s="8" t="s">
        <v>14239</v>
      </c>
      <c r="D1174" s="8" t="s">
        <v>14240</v>
      </c>
      <c r="E1174" s="8" t="s">
        <v>5152</v>
      </c>
      <c r="F1174" s="8" t="s">
        <v>14241</v>
      </c>
    </row>
    <row r="1175" customHeight="1" spans="1:6">
      <c r="A1175" s="6">
        <v>1174</v>
      </c>
      <c r="B1175" s="8" t="s">
        <v>14238</v>
      </c>
      <c r="C1175" s="8" t="s">
        <v>14239</v>
      </c>
      <c r="D1175" s="8" t="s">
        <v>14240</v>
      </c>
      <c r="E1175" s="8" t="s">
        <v>5152</v>
      </c>
      <c r="F1175" s="8" t="s">
        <v>14241</v>
      </c>
    </row>
    <row r="1176" customHeight="1" spans="1:6">
      <c r="A1176" s="6">
        <v>1175</v>
      </c>
      <c r="B1176" s="8" t="s">
        <v>14242</v>
      </c>
      <c r="C1176" s="8" t="s">
        <v>14243</v>
      </c>
      <c r="D1176" s="8" t="s">
        <v>14244</v>
      </c>
      <c r="E1176" s="8" t="s">
        <v>1948</v>
      </c>
      <c r="F1176" s="8" t="s">
        <v>14245</v>
      </c>
    </row>
    <row r="1177" customHeight="1" spans="1:6">
      <c r="A1177" s="6">
        <v>1176</v>
      </c>
      <c r="B1177" s="8" t="s">
        <v>14242</v>
      </c>
      <c r="C1177" s="8" t="s">
        <v>14243</v>
      </c>
      <c r="D1177" s="8" t="s">
        <v>14244</v>
      </c>
      <c r="E1177" s="8" t="s">
        <v>1948</v>
      </c>
      <c r="F1177" s="8" t="s">
        <v>14245</v>
      </c>
    </row>
    <row r="1178" customHeight="1" spans="1:6">
      <c r="A1178" s="6">
        <v>1177</v>
      </c>
      <c r="B1178" s="8" t="s">
        <v>14246</v>
      </c>
      <c r="C1178" s="8" t="s">
        <v>14247</v>
      </c>
      <c r="D1178" s="8" t="s">
        <v>14248</v>
      </c>
      <c r="E1178" s="8" t="s">
        <v>7202</v>
      </c>
      <c r="F1178" s="8" t="s">
        <v>14249</v>
      </c>
    </row>
    <row r="1179" customHeight="1" spans="1:6">
      <c r="A1179" s="6">
        <v>1178</v>
      </c>
      <c r="B1179" s="8" t="s">
        <v>14246</v>
      </c>
      <c r="C1179" s="8" t="s">
        <v>14247</v>
      </c>
      <c r="D1179" s="8" t="s">
        <v>14248</v>
      </c>
      <c r="E1179" s="8" t="s">
        <v>7202</v>
      </c>
      <c r="F1179" s="8" t="s">
        <v>14249</v>
      </c>
    </row>
    <row r="1180" customHeight="1" spans="1:6">
      <c r="A1180" s="6">
        <v>1179</v>
      </c>
      <c r="B1180" s="8" t="s">
        <v>14250</v>
      </c>
      <c r="C1180" s="8" t="s">
        <v>14251</v>
      </c>
      <c r="D1180" s="8" t="s">
        <v>14252</v>
      </c>
      <c r="E1180" s="8" t="s">
        <v>530</v>
      </c>
      <c r="F1180" s="8" t="s">
        <v>14253</v>
      </c>
    </row>
    <row r="1181" customHeight="1" spans="1:6">
      <c r="A1181" s="6">
        <v>1180</v>
      </c>
      <c r="B1181" s="8" t="s">
        <v>14250</v>
      </c>
      <c r="C1181" s="8" t="s">
        <v>14251</v>
      </c>
      <c r="D1181" s="8" t="s">
        <v>14252</v>
      </c>
      <c r="E1181" s="8" t="s">
        <v>530</v>
      </c>
      <c r="F1181" s="8" t="s">
        <v>14253</v>
      </c>
    </row>
    <row r="1182" customHeight="1" spans="1:6">
      <c r="A1182" s="6">
        <v>1181</v>
      </c>
      <c r="B1182" s="8" t="s">
        <v>14254</v>
      </c>
      <c r="C1182" s="8" t="s">
        <v>14255</v>
      </c>
      <c r="D1182" s="8" t="s">
        <v>14256</v>
      </c>
      <c r="E1182" s="8" t="s">
        <v>216</v>
      </c>
      <c r="F1182" s="8" t="s">
        <v>14257</v>
      </c>
    </row>
    <row r="1183" customHeight="1" spans="1:6">
      <c r="A1183" s="6">
        <v>1182</v>
      </c>
      <c r="B1183" s="8" t="s">
        <v>14254</v>
      </c>
      <c r="C1183" s="8" t="s">
        <v>14255</v>
      </c>
      <c r="D1183" s="8" t="s">
        <v>14256</v>
      </c>
      <c r="E1183" s="8" t="s">
        <v>216</v>
      </c>
      <c r="F1183" s="8" t="s">
        <v>14257</v>
      </c>
    </row>
    <row r="1184" customHeight="1" spans="1:6">
      <c r="A1184" s="6">
        <v>1183</v>
      </c>
      <c r="B1184" s="8" t="s">
        <v>14258</v>
      </c>
      <c r="C1184" s="8" t="s">
        <v>14259</v>
      </c>
      <c r="D1184" s="8" t="s">
        <v>14260</v>
      </c>
      <c r="E1184" s="8" t="s">
        <v>1008</v>
      </c>
      <c r="F1184" s="8" t="s">
        <v>14261</v>
      </c>
    </row>
    <row r="1185" customHeight="1" spans="1:6">
      <c r="A1185" s="6">
        <v>1184</v>
      </c>
      <c r="B1185" s="8" t="s">
        <v>14258</v>
      </c>
      <c r="C1185" s="8" t="s">
        <v>14259</v>
      </c>
      <c r="D1185" s="8" t="s">
        <v>14260</v>
      </c>
      <c r="E1185" s="8" t="s">
        <v>1008</v>
      </c>
      <c r="F1185" s="8" t="s">
        <v>14261</v>
      </c>
    </row>
    <row r="1186" customHeight="1" spans="1:6">
      <c r="A1186" s="6">
        <v>1185</v>
      </c>
      <c r="B1186" s="8" t="s">
        <v>14262</v>
      </c>
      <c r="C1186" s="8" t="s">
        <v>14263</v>
      </c>
      <c r="D1186" s="8" t="s">
        <v>14264</v>
      </c>
      <c r="E1186" s="8" t="s">
        <v>7884</v>
      </c>
      <c r="F1186" s="8" t="s">
        <v>14265</v>
      </c>
    </row>
    <row r="1187" customHeight="1" spans="1:6">
      <c r="A1187" s="6">
        <v>1186</v>
      </c>
      <c r="B1187" s="8" t="s">
        <v>14262</v>
      </c>
      <c r="C1187" s="8" t="s">
        <v>14263</v>
      </c>
      <c r="D1187" s="8" t="s">
        <v>14264</v>
      </c>
      <c r="E1187" s="8" t="s">
        <v>7884</v>
      </c>
      <c r="F1187" s="8" t="s">
        <v>14265</v>
      </c>
    </row>
    <row r="1188" customHeight="1" spans="1:6">
      <c r="A1188" s="6">
        <v>1187</v>
      </c>
      <c r="B1188" s="8" t="s">
        <v>14266</v>
      </c>
      <c r="C1188" s="8" t="s">
        <v>14267</v>
      </c>
      <c r="D1188" s="8" t="s">
        <v>14268</v>
      </c>
      <c r="E1188" s="8" t="s">
        <v>23</v>
      </c>
      <c r="F1188" s="8" t="s">
        <v>14269</v>
      </c>
    </row>
    <row r="1189" customHeight="1" spans="1:6">
      <c r="A1189" s="6">
        <v>1188</v>
      </c>
      <c r="B1189" s="8" t="s">
        <v>14266</v>
      </c>
      <c r="C1189" s="8" t="s">
        <v>14267</v>
      </c>
      <c r="D1189" s="8" t="s">
        <v>14268</v>
      </c>
      <c r="E1189" s="8" t="s">
        <v>23</v>
      </c>
      <c r="F1189" s="8" t="s">
        <v>14269</v>
      </c>
    </row>
    <row r="1190" customHeight="1" spans="1:6">
      <c r="A1190" s="6">
        <v>1189</v>
      </c>
      <c r="B1190" s="8" t="s">
        <v>14270</v>
      </c>
      <c r="C1190" s="8" t="s">
        <v>14271</v>
      </c>
      <c r="D1190" s="8" t="s">
        <v>14272</v>
      </c>
      <c r="E1190" s="8" t="s">
        <v>216</v>
      </c>
      <c r="F1190" s="8" t="s">
        <v>14273</v>
      </c>
    </row>
    <row r="1191" customHeight="1" spans="1:6">
      <c r="A1191" s="6">
        <v>1190</v>
      </c>
      <c r="B1191" s="8" t="s">
        <v>14270</v>
      </c>
      <c r="C1191" s="8" t="s">
        <v>14271</v>
      </c>
      <c r="D1191" s="8" t="s">
        <v>14272</v>
      </c>
      <c r="E1191" s="8" t="s">
        <v>216</v>
      </c>
      <c r="F1191" s="8" t="s">
        <v>14273</v>
      </c>
    </row>
    <row r="1192" customHeight="1" spans="1:6">
      <c r="A1192" s="6">
        <v>1191</v>
      </c>
      <c r="B1192" s="8" t="s">
        <v>14274</v>
      </c>
      <c r="C1192" s="8" t="s">
        <v>14275</v>
      </c>
      <c r="D1192" s="8" t="s">
        <v>14276</v>
      </c>
      <c r="E1192" s="8" t="s">
        <v>3146</v>
      </c>
      <c r="F1192" s="8" t="s">
        <v>14277</v>
      </c>
    </row>
    <row r="1193" customHeight="1" spans="1:6">
      <c r="A1193" s="6">
        <v>1192</v>
      </c>
      <c r="B1193" s="8" t="s">
        <v>14274</v>
      </c>
      <c r="C1193" s="8" t="s">
        <v>14275</v>
      </c>
      <c r="D1193" s="8" t="s">
        <v>14276</v>
      </c>
      <c r="E1193" s="8" t="s">
        <v>3146</v>
      </c>
      <c r="F1193" s="8" t="s">
        <v>14277</v>
      </c>
    </row>
    <row r="1194" customHeight="1" spans="1:6">
      <c r="A1194" s="6">
        <v>1193</v>
      </c>
      <c r="B1194" s="8" t="s">
        <v>14278</v>
      </c>
      <c r="C1194" s="8" t="s">
        <v>14279</v>
      </c>
      <c r="D1194" s="8" t="s">
        <v>14280</v>
      </c>
      <c r="E1194" s="8" t="s">
        <v>189</v>
      </c>
      <c r="F1194" s="8" t="s">
        <v>14281</v>
      </c>
    </row>
    <row r="1195" customHeight="1" spans="1:6">
      <c r="A1195" s="6">
        <v>1194</v>
      </c>
      <c r="B1195" s="8" t="s">
        <v>14278</v>
      </c>
      <c r="C1195" s="8" t="s">
        <v>14279</v>
      </c>
      <c r="D1195" s="8" t="s">
        <v>14280</v>
      </c>
      <c r="E1195" s="8" t="s">
        <v>189</v>
      </c>
      <c r="F1195" s="8" t="s">
        <v>14281</v>
      </c>
    </row>
    <row r="1196" customHeight="1" spans="1:6">
      <c r="A1196" s="6">
        <v>1195</v>
      </c>
      <c r="B1196" s="8" t="s">
        <v>14282</v>
      </c>
      <c r="C1196" s="8" t="s">
        <v>14283</v>
      </c>
      <c r="D1196" s="8" t="s">
        <v>14284</v>
      </c>
      <c r="E1196" s="8" t="s">
        <v>656</v>
      </c>
      <c r="F1196" s="8" t="s">
        <v>14285</v>
      </c>
    </row>
    <row r="1197" customHeight="1" spans="1:6">
      <c r="A1197" s="6">
        <v>1196</v>
      </c>
      <c r="B1197" s="8" t="s">
        <v>14282</v>
      </c>
      <c r="C1197" s="8" t="s">
        <v>14283</v>
      </c>
      <c r="D1197" s="8" t="s">
        <v>14284</v>
      </c>
      <c r="E1197" s="8" t="s">
        <v>656</v>
      </c>
      <c r="F1197" s="8" t="s">
        <v>14285</v>
      </c>
    </row>
    <row r="1198" customHeight="1" spans="1:6">
      <c r="A1198" s="6">
        <v>1197</v>
      </c>
      <c r="B1198" s="8" t="s">
        <v>14286</v>
      </c>
      <c r="C1198" s="8" t="s">
        <v>14287</v>
      </c>
      <c r="D1198" s="8" t="s">
        <v>14288</v>
      </c>
      <c r="E1198" s="8" t="s">
        <v>1534</v>
      </c>
      <c r="F1198" s="8" t="s">
        <v>14289</v>
      </c>
    </row>
    <row r="1199" customHeight="1" spans="1:6">
      <c r="A1199" s="6">
        <v>1198</v>
      </c>
      <c r="B1199" s="8" t="s">
        <v>14286</v>
      </c>
      <c r="C1199" s="8" t="s">
        <v>14287</v>
      </c>
      <c r="D1199" s="8" t="s">
        <v>14288</v>
      </c>
      <c r="E1199" s="8" t="s">
        <v>1534</v>
      </c>
      <c r="F1199" s="8" t="s">
        <v>14289</v>
      </c>
    </row>
    <row r="1200" customHeight="1" spans="1:6">
      <c r="A1200" s="6">
        <v>1199</v>
      </c>
      <c r="B1200" s="8" t="s">
        <v>14290</v>
      </c>
      <c r="C1200" s="8" t="s">
        <v>14291</v>
      </c>
      <c r="D1200" s="8" t="s">
        <v>14292</v>
      </c>
      <c r="E1200" s="8" t="s">
        <v>2284</v>
      </c>
      <c r="F1200" s="8" t="s">
        <v>14293</v>
      </c>
    </row>
    <row r="1201" customHeight="1" spans="1:6">
      <c r="A1201" s="6">
        <v>1200</v>
      </c>
      <c r="B1201" s="8" t="s">
        <v>14290</v>
      </c>
      <c r="C1201" s="8" t="s">
        <v>14291</v>
      </c>
      <c r="D1201" s="8" t="s">
        <v>14292</v>
      </c>
      <c r="E1201" s="8" t="s">
        <v>2284</v>
      </c>
      <c r="F1201" s="8" t="s">
        <v>14293</v>
      </c>
    </row>
    <row r="1202" customHeight="1" spans="1:6">
      <c r="A1202" s="6">
        <v>1201</v>
      </c>
      <c r="B1202" s="8" t="s">
        <v>14294</v>
      </c>
      <c r="C1202" s="8" t="s">
        <v>14295</v>
      </c>
      <c r="D1202" s="8" t="s">
        <v>14296</v>
      </c>
      <c r="E1202" s="8" t="s">
        <v>239</v>
      </c>
      <c r="F1202" s="8" t="s">
        <v>14297</v>
      </c>
    </row>
    <row r="1203" customHeight="1" spans="1:6">
      <c r="A1203" s="6">
        <v>1202</v>
      </c>
      <c r="B1203" s="8" t="s">
        <v>14294</v>
      </c>
      <c r="C1203" s="8" t="s">
        <v>14295</v>
      </c>
      <c r="D1203" s="8" t="s">
        <v>14296</v>
      </c>
      <c r="E1203" s="8" t="s">
        <v>239</v>
      </c>
      <c r="F1203" s="8" t="s">
        <v>14297</v>
      </c>
    </row>
    <row r="1204" customHeight="1" spans="1:6">
      <c r="A1204" s="6">
        <v>1203</v>
      </c>
      <c r="B1204" s="8" t="s">
        <v>14298</v>
      </c>
      <c r="C1204" s="8" t="s">
        <v>14299</v>
      </c>
      <c r="D1204" s="8" t="s">
        <v>14300</v>
      </c>
      <c r="E1204" s="8" t="s">
        <v>3</v>
      </c>
      <c r="F1204" s="8" t="s">
        <v>14301</v>
      </c>
    </row>
    <row r="1205" customHeight="1" spans="1:6">
      <c r="A1205" s="6">
        <v>1204</v>
      </c>
      <c r="B1205" s="8" t="s">
        <v>14298</v>
      </c>
      <c r="C1205" s="8" t="s">
        <v>14299</v>
      </c>
      <c r="D1205" s="8" t="s">
        <v>14300</v>
      </c>
      <c r="E1205" s="8" t="s">
        <v>3</v>
      </c>
      <c r="F1205" s="8" t="s">
        <v>14301</v>
      </c>
    </row>
    <row r="1206" customHeight="1" spans="1:6">
      <c r="A1206" s="6">
        <v>1205</v>
      </c>
      <c r="B1206" s="8" t="s">
        <v>14302</v>
      </c>
      <c r="C1206" s="8" t="s">
        <v>14303</v>
      </c>
      <c r="D1206" s="8" t="s">
        <v>14304</v>
      </c>
      <c r="E1206" s="8" t="s">
        <v>256</v>
      </c>
      <c r="F1206" s="8" t="s">
        <v>14305</v>
      </c>
    </row>
    <row r="1207" customHeight="1" spans="1:6">
      <c r="A1207" s="6">
        <v>1206</v>
      </c>
      <c r="B1207" s="8" t="s">
        <v>14302</v>
      </c>
      <c r="C1207" s="8" t="s">
        <v>14303</v>
      </c>
      <c r="D1207" s="8" t="s">
        <v>14304</v>
      </c>
      <c r="E1207" s="8" t="s">
        <v>256</v>
      </c>
      <c r="F1207" s="8" t="s">
        <v>14305</v>
      </c>
    </row>
    <row r="1208" customHeight="1" spans="1:6">
      <c r="A1208" s="6">
        <v>1207</v>
      </c>
      <c r="B1208" s="8" t="s">
        <v>14306</v>
      </c>
      <c r="C1208" s="8" t="s">
        <v>14307</v>
      </c>
      <c r="D1208" s="8" t="s">
        <v>14308</v>
      </c>
      <c r="E1208" s="8" t="s">
        <v>810</v>
      </c>
      <c r="F1208" s="8" t="s">
        <v>14309</v>
      </c>
    </row>
    <row r="1209" customHeight="1" spans="1:6">
      <c r="A1209" s="6">
        <v>1208</v>
      </c>
      <c r="B1209" s="8" t="s">
        <v>14306</v>
      </c>
      <c r="C1209" s="8" t="s">
        <v>14307</v>
      </c>
      <c r="D1209" s="8" t="s">
        <v>14308</v>
      </c>
      <c r="E1209" s="8" t="s">
        <v>810</v>
      </c>
      <c r="F1209" s="8" t="s">
        <v>14309</v>
      </c>
    </row>
    <row r="1210" customHeight="1" spans="1:6">
      <c r="A1210" s="6">
        <v>1209</v>
      </c>
      <c r="B1210" s="8" t="s">
        <v>14310</v>
      </c>
      <c r="C1210" s="8" t="s">
        <v>14311</v>
      </c>
      <c r="D1210" s="8" t="s">
        <v>14312</v>
      </c>
      <c r="E1210" s="8" t="s">
        <v>197</v>
      </c>
      <c r="F1210" s="8" t="s">
        <v>14313</v>
      </c>
    </row>
    <row r="1211" customHeight="1" spans="1:6">
      <c r="A1211" s="6">
        <v>1210</v>
      </c>
      <c r="B1211" s="8" t="s">
        <v>14310</v>
      </c>
      <c r="C1211" s="8" t="s">
        <v>14311</v>
      </c>
      <c r="D1211" s="8" t="s">
        <v>14312</v>
      </c>
      <c r="E1211" s="8" t="s">
        <v>197</v>
      </c>
      <c r="F1211" s="8" t="s">
        <v>14313</v>
      </c>
    </row>
    <row r="1212" customHeight="1" spans="1:6">
      <c r="A1212" s="6">
        <v>1211</v>
      </c>
      <c r="B1212" s="8" t="s">
        <v>14314</v>
      </c>
      <c r="C1212" s="8" t="s">
        <v>14315</v>
      </c>
      <c r="D1212" s="8" t="s">
        <v>14316</v>
      </c>
      <c r="E1212" s="8" t="s">
        <v>216</v>
      </c>
      <c r="F1212" s="8" t="s">
        <v>14317</v>
      </c>
    </row>
    <row r="1213" customHeight="1" spans="1:6">
      <c r="A1213" s="6">
        <v>1212</v>
      </c>
      <c r="B1213" s="8" t="s">
        <v>14314</v>
      </c>
      <c r="C1213" s="8" t="s">
        <v>14315</v>
      </c>
      <c r="D1213" s="8" t="s">
        <v>14316</v>
      </c>
      <c r="E1213" s="8" t="s">
        <v>216</v>
      </c>
      <c r="F1213" s="8" t="s">
        <v>14317</v>
      </c>
    </row>
    <row r="1214" customHeight="1" spans="1:6">
      <c r="A1214" s="6">
        <v>1213</v>
      </c>
      <c r="B1214" s="8" t="s">
        <v>14318</v>
      </c>
      <c r="C1214" s="8" t="s">
        <v>14319</v>
      </c>
      <c r="D1214" s="8" t="s">
        <v>14320</v>
      </c>
      <c r="E1214" s="8" t="s">
        <v>4855</v>
      </c>
      <c r="F1214" s="8" t="s">
        <v>14321</v>
      </c>
    </row>
    <row r="1215" customHeight="1" spans="1:6">
      <c r="A1215" s="6">
        <v>1214</v>
      </c>
      <c r="B1215" s="8" t="s">
        <v>14318</v>
      </c>
      <c r="C1215" s="8" t="s">
        <v>14319</v>
      </c>
      <c r="D1215" s="8" t="s">
        <v>14320</v>
      </c>
      <c r="E1215" s="8" t="s">
        <v>4855</v>
      </c>
      <c r="F1215" s="8" t="s">
        <v>14321</v>
      </c>
    </row>
    <row r="1216" customHeight="1" spans="1:6">
      <c r="A1216" s="6">
        <v>1215</v>
      </c>
      <c r="B1216" s="8" t="s">
        <v>14322</v>
      </c>
      <c r="C1216" s="8" t="s">
        <v>14323</v>
      </c>
      <c r="D1216" s="8" t="s">
        <v>14324</v>
      </c>
      <c r="E1216" s="8" t="s">
        <v>197</v>
      </c>
      <c r="F1216" s="8" t="s">
        <v>14325</v>
      </c>
    </row>
    <row r="1217" customHeight="1" spans="1:6">
      <c r="A1217" s="6">
        <v>1216</v>
      </c>
      <c r="B1217" s="8" t="s">
        <v>14322</v>
      </c>
      <c r="C1217" s="8" t="s">
        <v>14323</v>
      </c>
      <c r="D1217" s="8" t="s">
        <v>14324</v>
      </c>
      <c r="E1217" s="8" t="s">
        <v>197</v>
      </c>
      <c r="F1217" s="8" t="s">
        <v>14325</v>
      </c>
    </row>
    <row r="1218" customHeight="1" spans="1:6">
      <c r="A1218" s="6">
        <v>1217</v>
      </c>
      <c r="B1218" s="8" t="s">
        <v>14326</v>
      </c>
      <c r="C1218" s="8" t="s">
        <v>14327</v>
      </c>
      <c r="D1218" s="8" t="s">
        <v>14328</v>
      </c>
      <c r="E1218" s="8" t="s">
        <v>1198</v>
      </c>
      <c r="F1218" s="8" t="s">
        <v>14329</v>
      </c>
    </row>
    <row r="1219" customHeight="1" spans="1:6">
      <c r="A1219" s="6">
        <v>1218</v>
      </c>
      <c r="B1219" s="8" t="s">
        <v>14326</v>
      </c>
      <c r="C1219" s="8" t="s">
        <v>14327</v>
      </c>
      <c r="D1219" s="8" t="s">
        <v>14328</v>
      </c>
      <c r="E1219" s="8" t="s">
        <v>1198</v>
      </c>
      <c r="F1219" s="8" t="s">
        <v>14329</v>
      </c>
    </row>
    <row r="1220" customHeight="1" spans="1:6">
      <c r="A1220" s="6">
        <v>1219</v>
      </c>
      <c r="B1220" s="8" t="s">
        <v>14330</v>
      </c>
      <c r="C1220" s="8" t="s">
        <v>14331</v>
      </c>
      <c r="D1220" s="8" t="s">
        <v>14332</v>
      </c>
      <c r="E1220" s="8" t="s">
        <v>3146</v>
      </c>
      <c r="F1220" s="8" t="s">
        <v>14333</v>
      </c>
    </row>
    <row r="1221" customHeight="1" spans="1:6">
      <c r="A1221" s="6">
        <v>1220</v>
      </c>
      <c r="B1221" s="8" t="s">
        <v>14330</v>
      </c>
      <c r="C1221" s="8" t="s">
        <v>14331</v>
      </c>
      <c r="D1221" s="8" t="s">
        <v>14332</v>
      </c>
      <c r="E1221" s="8" t="s">
        <v>3146</v>
      </c>
      <c r="F1221" s="8" t="s">
        <v>14333</v>
      </c>
    </row>
    <row r="1222" customHeight="1" spans="1:6">
      <c r="A1222" s="6">
        <v>1221</v>
      </c>
      <c r="B1222" s="8" t="s">
        <v>14334</v>
      </c>
      <c r="C1222" s="8" t="s">
        <v>14335</v>
      </c>
      <c r="D1222" s="8" t="s">
        <v>14336</v>
      </c>
      <c r="E1222" s="8" t="s">
        <v>2566</v>
      </c>
      <c r="F1222" s="8" t="s">
        <v>14337</v>
      </c>
    </row>
    <row r="1223" customHeight="1" spans="1:6">
      <c r="A1223" s="6">
        <v>1222</v>
      </c>
      <c r="B1223" s="8" t="s">
        <v>14334</v>
      </c>
      <c r="C1223" s="8" t="s">
        <v>14335</v>
      </c>
      <c r="D1223" s="8" t="s">
        <v>14336</v>
      </c>
      <c r="E1223" s="8" t="s">
        <v>2566</v>
      </c>
      <c r="F1223" s="8" t="s">
        <v>14337</v>
      </c>
    </row>
    <row r="1224" customHeight="1" spans="1:6">
      <c r="A1224" s="6">
        <v>1223</v>
      </c>
      <c r="B1224" s="8" t="s">
        <v>14338</v>
      </c>
      <c r="C1224" s="8" t="s">
        <v>14339</v>
      </c>
      <c r="D1224" s="8" t="s">
        <v>4786</v>
      </c>
      <c r="E1224" s="8" t="s">
        <v>216</v>
      </c>
      <c r="F1224" s="8" t="s">
        <v>14340</v>
      </c>
    </row>
    <row r="1225" customHeight="1" spans="1:6">
      <c r="A1225" s="6">
        <v>1224</v>
      </c>
      <c r="B1225" s="8" t="s">
        <v>14338</v>
      </c>
      <c r="C1225" s="8" t="s">
        <v>14339</v>
      </c>
      <c r="D1225" s="8" t="s">
        <v>4786</v>
      </c>
      <c r="E1225" s="8" t="s">
        <v>216</v>
      </c>
      <c r="F1225" s="8" t="s">
        <v>14340</v>
      </c>
    </row>
    <row r="1226" customHeight="1" spans="1:6">
      <c r="A1226" s="6">
        <v>1225</v>
      </c>
      <c r="B1226" s="8" t="s">
        <v>14341</v>
      </c>
      <c r="C1226" s="8" t="s">
        <v>14342</v>
      </c>
      <c r="D1226" s="8" t="s">
        <v>14343</v>
      </c>
      <c r="E1226" s="8" t="s">
        <v>2566</v>
      </c>
      <c r="F1226" s="8" t="s">
        <v>14344</v>
      </c>
    </row>
    <row r="1227" customHeight="1" spans="1:6">
      <c r="A1227" s="6">
        <v>1226</v>
      </c>
      <c r="B1227" s="8" t="s">
        <v>14341</v>
      </c>
      <c r="C1227" s="8" t="s">
        <v>14342</v>
      </c>
      <c r="D1227" s="8" t="s">
        <v>14343</v>
      </c>
      <c r="E1227" s="8" t="s">
        <v>2566</v>
      </c>
      <c r="F1227" s="8" t="s">
        <v>14344</v>
      </c>
    </row>
    <row r="1228" customHeight="1" spans="1:6">
      <c r="A1228" s="6">
        <v>1227</v>
      </c>
      <c r="B1228" s="8" t="s">
        <v>14345</v>
      </c>
      <c r="C1228" s="8" t="s">
        <v>14346</v>
      </c>
      <c r="D1228" s="8" t="s">
        <v>14347</v>
      </c>
      <c r="E1228" s="8" t="s">
        <v>12514</v>
      </c>
      <c r="F1228" s="8" t="s">
        <v>14348</v>
      </c>
    </row>
    <row r="1229" customHeight="1" spans="1:6">
      <c r="A1229" s="6">
        <v>1228</v>
      </c>
      <c r="B1229" s="8" t="s">
        <v>14345</v>
      </c>
      <c r="C1229" s="8" t="s">
        <v>14346</v>
      </c>
      <c r="D1229" s="8" t="s">
        <v>14347</v>
      </c>
      <c r="E1229" s="8" t="s">
        <v>12514</v>
      </c>
      <c r="F1229" s="8" t="s">
        <v>14348</v>
      </c>
    </row>
    <row r="1230" customHeight="1" spans="1:6">
      <c r="A1230" s="6">
        <v>1229</v>
      </c>
      <c r="B1230" s="8" t="s">
        <v>14349</v>
      </c>
      <c r="C1230" s="8" t="s">
        <v>14350</v>
      </c>
      <c r="D1230" s="8" t="s">
        <v>14351</v>
      </c>
      <c r="E1230" s="8" t="s">
        <v>216</v>
      </c>
      <c r="F1230" s="8" t="s">
        <v>14352</v>
      </c>
    </row>
    <row r="1231" customHeight="1" spans="1:6">
      <c r="A1231" s="6">
        <v>1230</v>
      </c>
      <c r="B1231" s="8" t="s">
        <v>14349</v>
      </c>
      <c r="C1231" s="8" t="s">
        <v>14350</v>
      </c>
      <c r="D1231" s="8" t="s">
        <v>14351</v>
      </c>
      <c r="E1231" s="8" t="s">
        <v>216</v>
      </c>
      <c r="F1231" s="8" t="s">
        <v>14352</v>
      </c>
    </row>
    <row r="1232" customHeight="1" spans="1:6">
      <c r="A1232" s="6">
        <v>1231</v>
      </c>
      <c r="B1232" s="8" t="s">
        <v>14353</v>
      </c>
      <c r="C1232" s="8" t="s">
        <v>14354</v>
      </c>
      <c r="D1232" s="8" t="s">
        <v>14355</v>
      </c>
      <c r="E1232" s="8" t="s">
        <v>3146</v>
      </c>
      <c r="F1232" s="8" t="s">
        <v>14356</v>
      </c>
    </row>
    <row r="1233" customHeight="1" spans="1:6">
      <c r="A1233" s="6">
        <v>1232</v>
      </c>
      <c r="B1233" s="8" t="s">
        <v>14353</v>
      </c>
      <c r="C1233" s="8" t="s">
        <v>14354</v>
      </c>
      <c r="D1233" s="8" t="s">
        <v>14355</v>
      </c>
      <c r="E1233" s="8" t="s">
        <v>3146</v>
      </c>
      <c r="F1233" s="8" t="s">
        <v>14356</v>
      </c>
    </row>
    <row r="1234" customHeight="1" spans="1:6">
      <c r="A1234" s="6">
        <v>1233</v>
      </c>
      <c r="B1234" s="8" t="s">
        <v>14357</v>
      </c>
      <c r="C1234" s="8" t="s">
        <v>14358</v>
      </c>
      <c r="D1234" s="13"/>
      <c r="E1234" s="8" t="s">
        <v>1534</v>
      </c>
      <c r="F1234" s="8" t="s">
        <v>14359</v>
      </c>
    </row>
    <row r="1235" customHeight="1" spans="1:6">
      <c r="A1235" s="6">
        <v>1234</v>
      </c>
      <c r="B1235" s="8" t="s">
        <v>14357</v>
      </c>
      <c r="C1235" s="8" t="s">
        <v>14358</v>
      </c>
      <c r="D1235" s="13"/>
      <c r="E1235" s="8" t="s">
        <v>1534</v>
      </c>
      <c r="F1235" s="8" t="s">
        <v>14359</v>
      </c>
    </row>
    <row r="1236" customHeight="1" spans="1:6">
      <c r="A1236" s="6">
        <v>1235</v>
      </c>
      <c r="B1236" s="8" t="s">
        <v>14360</v>
      </c>
      <c r="C1236" s="8" t="s">
        <v>14361</v>
      </c>
      <c r="D1236" s="8" t="s">
        <v>14362</v>
      </c>
      <c r="E1236" s="8" t="s">
        <v>3146</v>
      </c>
      <c r="F1236" s="8" t="s">
        <v>14363</v>
      </c>
    </row>
    <row r="1237" customHeight="1" spans="1:6">
      <c r="A1237" s="6">
        <v>1236</v>
      </c>
      <c r="B1237" s="8" t="s">
        <v>14360</v>
      </c>
      <c r="C1237" s="8" t="s">
        <v>14361</v>
      </c>
      <c r="D1237" s="8" t="s">
        <v>14362</v>
      </c>
      <c r="E1237" s="8" t="s">
        <v>3146</v>
      </c>
      <c r="F1237" s="8" t="s">
        <v>14363</v>
      </c>
    </row>
    <row r="1238" customHeight="1" spans="1:6">
      <c r="A1238" s="6">
        <v>1237</v>
      </c>
      <c r="B1238" s="7" t="str">
        <f t="shared" ref="B1238:B1240" si="42">"978-7-115-56644-7"</f>
        <v>978-7-115-56644-7</v>
      </c>
      <c r="C1238" s="7" t="str">
        <f t="shared" ref="C1238:C1240" si="43">"计算机网络技术基础"</f>
        <v>计算机网络技术基础</v>
      </c>
      <c r="D1238" s="7" t="str">
        <f t="shared" ref="D1238:D1240" si="44">"杨云， 胡海波主编"</f>
        <v>杨云， 胡海波主编</v>
      </c>
      <c r="E1238" s="7" t="str">
        <f t="shared" ref="E1238:E1240" si="45">"人民邮电出版社"</f>
        <v>人民邮电出版社</v>
      </c>
      <c r="F1238" s="7" t="str">
        <f t="shared" ref="F1238:F1240" si="46">"TP393/658"</f>
        <v>TP393/658</v>
      </c>
    </row>
    <row r="1239" customHeight="1" spans="1:6">
      <c r="A1239" s="6">
        <v>1238</v>
      </c>
      <c r="B1239" s="7" t="str">
        <f t="shared" si="42"/>
        <v>978-7-115-56644-7</v>
      </c>
      <c r="C1239" s="7" t="str">
        <f t="shared" si="43"/>
        <v>计算机网络技术基础</v>
      </c>
      <c r="D1239" s="7" t="str">
        <f t="shared" si="44"/>
        <v>杨云， 胡海波主编</v>
      </c>
      <c r="E1239" s="7" t="str">
        <f t="shared" si="45"/>
        <v>人民邮电出版社</v>
      </c>
      <c r="F1239" s="7" t="str">
        <f t="shared" si="46"/>
        <v>TP393/658</v>
      </c>
    </row>
    <row r="1240" customHeight="1" spans="1:6">
      <c r="A1240" s="6">
        <v>1239</v>
      </c>
      <c r="B1240" s="7" t="str">
        <f t="shared" si="42"/>
        <v>978-7-115-56644-7</v>
      </c>
      <c r="C1240" s="7" t="str">
        <f t="shared" si="43"/>
        <v>计算机网络技术基础</v>
      </c>
      <c r="D1240" s="7" t="str">
        <f t="shared" si="44"/>
        <v>杨云， 胡海波主编</v>
      </c>
      <c r="E1240" s="7" t="str">
        <f t="shared" si="45"/>
        <v>人民邮电出版社</v>
      </c>
      <c r="F1240" s="7" t="str">
        <f t="shared" si="46"/>
        <v>TP393/658</v>
      </c>
    </row>
    <row r="1241" customHeight="1" spans="1:6">
      <c r="A1241" s="6">
        <v>1240</v>
      </c>
      <c r="B1241" s="8" t="s">
        <v>14364</v>
      </c>
      <c r="C1241" s="8" t="s">
        <v>14365</v>
      </c>
      <c r="D1241" s="8" t="s">
        <v>14366</v>
      </c>
      <c r="E1241" s="8" t="s">
        <v>239</v>
      </c>
      <c r="F1241" s="8" t="s">
        <v>14367</v>
      </c>
    </row>
    <row r="1242" customHeight="1" spans="1:6">
      <c r="A1242" s="6">
        <v>1241</v>
      </c>
      <c r="B1242" s="8" t="s">
        <v>14364</v>
      </c>
      <c r="C1242" s="8" t="s">
        <v>14365</v>
      </c>
      <c r="D1242" s="8" t="s">
        <v>14366</v>
      </c>
      <c r="E1242" s="8" t="s">
        <v>239</v>
      </c>
      <c r="F1242" s="8" t="s">
        <v>14367</v>
      </c>
    </row>
    <row r="1243" customHeight="1" spans="1:6">
      <c r="A1243" s="6">
        <v>1242</v>
      </c>
      <c r="B1243" s="8" t="s">
        <v>14368</v>
      </c>
      <c r="C1243" s="8" t="s">
        <v>14369</v>
      </c>
      <c r="D1243" s="8" t="s">
        <v>14370</v>
      </c>
      <c r="E1243" s="8" t="s">
        <v>571</v>
      </c>
      <c r="F1243" s="8" t="s">
        <v>14371</v>
      </c>
    </row>
    <row r="1244" customHeight="1" spans="1:6">
      <c r="A1244" s="6">
        <v>1243</v>
      </c>
      <c r="B1244" s="8" t="s">
        <v>14368</v>
      </c>
      <c r="C1244" s="8" t="s">
        <v>14369</v>
      </c>
      <c r="D1244" s="8" t="s">
        <v>14370</v>
      </c>
      <c r="E1244" s="8" t="s">
        <v>571</v>
      </c>
      <c r="F1244" s="8" t="s">
        <v>14371</v>
      </c>
    </row>
    <row r="1245" customHeight="1" spans="1:6">
      <c r="A1245" s="6">
        <v>1244</v>
      </c>
      <c r="B1245" s="8" t="s">
        <v>14372</v>
      </c>
      <c r="C1245" s="8" t="s">
        <v>14373</v>
      </c>
      <c r="D1245" s="8" t="s">
        <v>14374</v>
      </c>
      <c r="E1245" s="8" t="s">
        <v>571</v>
      </c>
      <c r="F1245" s="8" t="s">
        <v>14375</v>
      </c>
    </row>
    <row r="1246" customHeight="1" spans="1:6">
      <c r="A1246" s="6">
        <v>1245</v>
      </c>
      <c r="B1246" s="8" t="s">
        <v>14372</v>
      </c>
      <c r="C1246" s="8" t="s">
        <v>14373</v>
      </c>
      <c r="D1246" s="8" t="s">
        <v>14374</v>
      </c>
      <c r="E1246" s="8" t="s">
        <v>571</v>
      </c>
      <c r="F1246" s="8" t="s">
        <v>14375</v>
      </c>
    </row>
    <row r="1247" customHeight="1" spans="1:6">
      <c r="A1247" s="6">
        <v>1246</v>
      </c>
      <c r="B1247" s="8" t="s">
        <v>14376</v>
      </c>
      <c r="C1247" s="8" t="s">
        <v>14377</v>
      </c>
      <c r="D1247" s="8" t="s">
        <v>14378</v>
      </c>
      <c r="E1247" s="8" t="s">
        <v>360</v>
      </c>
      <c r="F1247" s="8" t="s">
        <v>14379</v>
      </c>
    </row>
    <row r="1248" customHeight="1" spans="1:6">
      <c r="A1248" s="6">
        <v>1247</v>
      </c>
      <c r="B1248" s="8" t="s">
        <v>14376</v>
      </c>
      <c r="C1248" s="8" t="s">
        <v>14377</v>
      </c>
      <c r="D1248" s="8" t="s">
        <v>14378</v>
      </c>
      <c r="E1248" s="8" t="s">
        <v>360</v>
      </c>
      <c r="F1248" s="8" t="s">
        <v>14379</v>
      </c>
    </row>
    <row r="1249" customHeight="1" spans="1:6">
      <c r="A1249" s="6">
        <v>1248</v>
      </c>
      <c r="B1249" s="8" t="s">
        <v>14380</v>
      </c>
      <c r="C1249" s="8" t="s">
        <v>14381</v>
      </c>
      <c r="D1249" s="8" t="s">
        <v>14382</v>
      </c>
      <c r="E1249" s="8" t="s">
        <v>1534</v>
      </c>
      <c r="F1249" s="8" t="s">
        <v>14383</v>
      </c>
    </row>
    <row r="1250" customHeight="1" spans="1:6">
      <c r="A1250" s="6">
        <v>1249</v>
      </c>
      <c r="B1250" s="8" t="s">
        <v>14380</v>
      </c>
      <c r="C1250" s="8" t="s">
        <v>14381</v>
      </c>
      <c r="D1250" s="8" t="s">
        <v>14382</v>
      </c>
      <c r="E1250" s="8" t="s">
        <v>1534</v>
      </c>
      <c r="F1250" s="8" t="s">
        <v>14383</v>
      </c>
    </row>
    <row r="1251" customHeight="1" spans="1:6">
      <c r="A1251" s="6">
        <v>1250</v>
      </c>
      <c r="B1251" s="8" t="s">
        <v>14384</v>
      </c>
      <c r="C1251" s="8" t="s">
        <v>14385</v>
      </c>
      <c r="D1251" s="8" t="s">
        <v>14386</v>
      </c>
      <c r="E1251" s="8" t="s">
        <v>7202</v>
      </c>
      <c r="F1251" s="8" t="s">
        <v>14387</v>
      </c>
    </row>
    <row r="1252" customHeight="1" spans="1:6">
      <c r="A1252" s="6">
        <v>1251</v>
      </c>
      <c r="B1252" s="8" t="s">
        <v>14384</v>
      </c>
      <c r="C1252" s="8" t="s">
        <v>14385</v>
      </c>
      <c r="D1252" s="8" t="s">
        <v>14386</v>
      </c>
      <c r="E1252" s="8" t="s">
        <v>7202</v>
      </c>
      <c r="F1252" s="8" t="s">
        <v>14387</v>
      </c>
    </row>
    <row r="1253" customHeight="1" spans="1:6">
      <c r="A1253" s="6">
        <v>1252</v>
      </c>
      <c r="B1253" s="8" t="s">
        <v>14388</v>
      </c>
      <c r="C1253" s="8" t="s">
        <v>14389</v>
      </c>
      <c r="D1253" s="8" t="s">
        <v>14390</v>
      </c>
      <c r="E1253" s="8" t="s">
        <v>1948</v>
      </c>
      <c r="F1253" s="8" t="s">
        <v>14391</v>
      </c>
    </row>
    <row r="1254" customHeight="1" spans="1:6">
      <c r="A1254" s="6">
        <v>1253</v>
      </c>
      <c r="B1254" s="8" t="s">
        <v>14388</v>
      </c>
      <c r="C1254" s="8" t="s">
        <v>14389</v>
      </c>
      <c r="D1254" s="8" t="s">
        <v>14390</v>
      </c>
      <c r="E1254" s="8" t="s">
        <v>1948</v>
      </c>
      <c r="F1254" s="8" t="s">
        <v>14391</v>
      </c>
    </row>
    <row r="1255" customHeight="1" spans="1:6">
      <c r="A1255" s="6">
        <v>1254</v>
      </c>
      <c r="B1255" s="8" t="s">
        <v>14392</v>
      </c>
      <c r="C1255" s="8" t="s">
        <v>14393</v>
      </c>
      <c r="D1255" s="8" t="s">
        <v>14394</v>
      </c>
      <c r="E1255" s="8" t="s">
        <v>530</v>
      </c>
      <c r="F1255" s="8" t="s">
        <v>14395</v>
      </c>
    </row>
    <row r="1256" customHeight="1" spans="1:6">
      <c r="A1256" s="6">
        <v>1255</v>
      </c>
      <c r="B1256" s="8" t="s">
        <v>14392</v>
      </c>
      <c r="C1256" s="8" t="s">
        <v>14393</v>
      </c>
      <c r="D1256" s="8" t="s">
        <v>14394</v>
      </c>
      <c r="E1256" s="8" t="s">
        <v>530</v>
      </c>
      <c r="F1256" s="8" t="s">
        <v>14395</v>
      </c>
    </row>
    <row r="1257" customHeight="1" spans="1:6">
      <c r="A1257" s="6">
        <v>1256</v>
      </c>
      <c r="B1257" s="8" t="s">
        <v>14396</v>
      </c>
      <c r="C1257" s="8" t="s">
        <v>14397</v>
      </c>
      <c r="D1257" s="8" t="s">
        <v>14398</v>
      </c>
      <c r="E1257" s="8" t="s">
        <v>530</v>
      </c>
      <c r="F1257" s="8" t="s">
        <v>14399</v>
      </c>
    </row>
    <row r="1258" customHeight="1" spans="1:6">
      <c r="A1258" s="6">
        <v>1257</v>
      </c>
      <c r="B1258" s="8" t="s">
        <v>14396</v>
      </c>
      <c r="C1258" s="8" t="s">
        <v>14397</v>
      </c>
      <c r="D1258" s="8" t="s">
        <v>14398</v>
      </c>
      <c r="E1258" s="8" t="s">
        <v>530</v>
      </c>
      <c r="F1258" s="8" t="s">
        <v>14399</v>
      </c>
    </row>
    <row r="1259" customHeight="1" spans="1:6">
      <c r="A1259" s="6">
        <v>1258</v>
      </c>
      <c r="B1259" s="8" t="s">
        <v>14400</v>
      </c>
      <c r="C1259" s="8" t="s">
        <v>14401</v>
      </c>
      <c r="D1259" s="8" t="s">
        <v>14402</v>
      </c>
      <c r="E1259" s="8" t="s">
        <v>4855</v>
      </c>
      <c r="F1259" s="8" t="s">
        <v>14403</v>
      </c>
    </row>
    <row r="1260" customHeight="1" spans="1:6">
      <c r="A1260" s="6">
        <v>1259</v>
      </c>
      <c r="B1260" s="8" t="s">
        <v>14400</v>
      </c>
      <c r="C1260" s="8" t="s">
        <v>14401</v>
      </c>
      <c r="D1260" s="8" t="s">
        <v>14402</v>
      </c>
      <c r="E1260" s="8" t="s">
        <v>4855</v>
      </c>
      <c r="F1260" s="8" t="s">
        <v>14403</v>
      </c>
    </row>
    <row r="1261" customHeight="1" spans="1:6">
      <c r="A1261" s="6">
        <v>1260</v>
      </c>
      <c r="B1261" s="8" t="s">
        <v>14404</v>
      </c>
      <c r="C1261" s="8" t="s">
        <v>14405</v>
      </c>
      <c r="D1261" s="8" t="s">
        <v>14406</v>
      </c>
      <c r="E1261" s="8" t="s">
        <v>1948</v>
      </c>
      <c r="F1261" s="8" t="s">
        <v>14407</v>
      </c>
    </row>
    <row r="1262" customHeight="1" spans="1:6">
      <c r="A1262" s="6">
        <v>1261</v>
      </c>
      <c r="B1262" s="8" t="s">
        <v>14404</v>
      </c>
      <c r="C1262" s="8" t="s">
        <v>14405</v>
      </c>
      <c r="D1262" s="8" t="s">
        <v>14406</v>
      </c>
      <c r="E1262" s="8" t="s">
        <v>1948</v>
      </c>
      <c r="F1262" s="8" t="s">
        <v>14407</v>
      </c>
    </row>
    <row r="1263" customHeight="1" spans="1:6">
      <c r="A1263" s="6">
        <v>1262</v>
      </c>
      <c r="B1263" s="8" t="s">
        <v>14408</v>
      </c>
      <c r="C1263" s="8" t="s">
        <v>14409</v>
      </c>
      <c r="D1263" s="8" t="s">
        <v>14410</v>
      </c>
      <c r="E1263" s="8" t="s">
        <v>216</v>
      </c>
      <c r="F1263" s="8" t="s">
        <v>14411</v>
      </c>
    </row>
    <row r="1264" customHeight="1" spans="1:6">
      <c r="A1264" s="6">
        <v>1263</v>
      </c>
      <c r="B1264" s="8" t="s">
        <v>14408</v>
      </c>
      <c r="C1264" s="8" t="s">
        <v>14409</v>
      </c>
      <c r="D1264" s="8" t="s">
        <v>14410</v>
      </c>
      <c r="E1264" s="8" t="s">
        <v>216</v>
      </c>
      <c r="F1264" s="8" t="s">
        <v>14411</v>
      </c>
    </row>
    <row r="1265" customHeight="1" spans="1:6">
      <c r="A1265" s="6">
        <v>1264</v>
      </c>
      <c r="B1265" s="8" t="s">
        <v>14412</v>
      </c>
      <c r="C1265" s="8" t="s">
        <v>14413</v>
      </c>
      <c r="D1265" s="8" t="s">
        <v>14414</v>
      </c>
      <c r="E1265" s="8" t="s">
        <v>2566</v>
      </c>
      <c r="F1265" s="8" t="s">
        <v>14415</v>
      </c>
    </row>
    <row r="1266" customHeight="1" spans="1:6">
      <c r="A1266" s="6">
        <v>1265</v>
      </c>
      <c r="B1266" s="8" t="s">
        <v>14412</v>
      </c>
      <c r="C1266" s="8" t="s">
        <v>14413</v>
      </c>
      <c r="D1266" s="8" t="s">
        <v>14414</v>
      </c>
      <c r="E1266" s="8" t="s">
        <v>2566</v>
      </c>
      <c r="F1266" s="8" t="s">
        <v>14415</v>
      </c>
    </row>
    <row r="1267" customHeight="1" spans="1:6">
      <c r="A1267" s="6">
        <v>1266</v>
      </c>
      <c r="B1267" s="8" t="s">
        <v>14416</v>
      </c>
      <c r="C1267" s="8" t="s">
        <v>14417</v>
      </c>
      <c r="D1267" s="8" t="s">
        <v>14418</v>
      </c>
      <c r="E1267" s="8" t="s">
        <v>4950</v>
      </c>
      <c r="F1267" s="8" t="s">
        <v>14419</v>
      </c>
    </row>
    <row r="1268" customHeight="1" spans="1:6">
      <c r="A1268" s="6">
        <v>1267</v>
      </c>
      <c r="B1268" s="8" t="s">
        <v>14416</v>
      </c>
      <c r="C1268" s="8" t="s">
        <v>14417</v>
      </c>
      <c r="D1268" s="8" t="s">
        <v>14418</v>
      </c>
      <c r="E1268" s="8" t="s">
        <v>4950</v>
      </c>
      <c r="F1268" s="8" t="s">
        <v>14419</v>
      </c>
    </row>
    <row r="1269" customHeight="1" spans="1:6">
      <c r="A1269" s="6">
        <v>1268</v>
      </c>
      <c r="B1269" s="8" t="s">
        <v>14420</v>
      </c>
      <c r="C1269" s="8" t="s">
        <v>14421</v>
      </c>
      <c r="D1269" s="8" t="s">
        <v>14422</v>
      </c>
      <c r="E1269" s="8" t="s">
        <v>239</v>
      </c>
      <c r="F1269" s="8" t="s">
        <v>14423</v>
      </c>
    </row>
    <row r="1270" customHeight="1" spans="1:6">
      <c r="A1270" s="6">
        <v>1269</v>
      </c>
      <c r="B1270" s="8" t="s">
        <v>14420</v>
      </c>
      <c r="C1270" s="8" t="s">
        <v>14421</v>
      </c>
      <c r="D1270" s="8" t="s">
        <v>14422</v>
      </c>
      <c r="E1270" s="8" t="s">
        <v>239</v>
      </c>
      <c r="F1270" s="8" t="s">
        <v>14423</v>
      </c>
    </row>
    <row r="1271" customHeight="1" spans="1:6">
      <c r="A1271" s="6">
        <v>1270</v>
      </c>
      <c r="B1271" s="8" t="s">
        <v>14424</v>
      </c>
      <c r="C1271" s="8" t="s">
        <v>14425</v>
      </c>
      <c r="D1271" s="8" t="s">
        <v>14426</v>
      </c>
      <c r="E1271" s="8" t="s">
        <v>14427</v>
      </c>
      <c r="F1271" s="8" t="s">
        <v>14428</v>
      </c>
    </row>
    <row r="1272" customHeight="1" spans="1:6">
      <c r="A1272" s="6">
        <v>1271</v>
      </c>
      <c r="B1272" s="8" t="s">
        <v>14424</v>
      </c>
      <c r="C1272" s="8" t="s">
        <v>14425</v>
      </c>
      <c r="D1272" s="8" t="s">
        <v>14426</v>
      </c>
      <c r="E1272" s="8" t="s">
        <v>14427</v>
      </c>
      <c r="F1272" s="8" t="s">
        <v>14428</v>
      </c>
    </row>
    <row r="1273" customHeight="1" spans="1:6">
      <c r="A1273" s="6">
        <v>1272</v>
      </c>
      <c r="B1273" s="8" t="s">
        <v>14429</v>
      </c>
      <c r="C1273" s="8" t="s">
        <v>14430</v>
      </c>
      <c r="D1273" s="8" t="s">
        <v>14431</v>
      </c>
      <c r="E1273" s="8" t="s">
        <v>239</v>
      </c>
      <c r="F1273" s="8" t="s">
        <v>14432</v>
      </c>
    </row>
    <row r="1274" customHeight="1" spans="1:6">
      <c r="A1274" s="6">
        <v>1273</v>
      </c>
      <c r="B1274" s="8" t="s">
        <v>14429</v>
      </c>
      <c r="C1274" s="8" t="s">
        <v>14430</v>
      </c>
      <c r="D1274" s="8" t="s">
        <v>14431</v>
      </c>
      <c r="E1274" s="8" t="s">
        <v>239</v>
      </c>
      <c r="F1274" s="8" t="s">
        <v>14432</v>
      </c>
    </row>
    <row r="1275" customHeight="1" spans="1:6">
      <c r="A1275" s="6">
        <v>1274</v>
      </c>
      <c r="B1275" s="8" t="s">
        <v>14433</v>
      </c>
      <c r="C1275" s="8" t="s">
        <v>14434</v>
      </c>
      <c r="D1275" s="8" t="s">
        <v>14435</v>
      </c>
      <c r="E1275" s="8" t="s">
        <v>4950</v>
      </c>
      <c r="F1275" s="8" t="s">
        <v>14436</v>
      </c>
    </row>
    <row r="1276" customHeight="1" spans="1:6">
      <c r="A1276" s="6">
        <v>1275</v>
      </c>
      <c r="B1276" s="8" t="s">
        <v>14433</v>
      </c>
      <c r="C1276" s="8" t="s">
        <v>14434</v>
      </c>
      <c r="D1276" s="8" t="s">
        <v>14435</v>
      </c>
      <c r="E1276" s="8" t="s">
        <v>4950</v>
      </c>
      <c r="F1276" s="8" t="s">
        <v>14436</v>
      </c>
    </row>
    <row r="1277" customHeight="1" spans="1:6">
      <c r="A1277" s="6">
        <v>1276</v>
      </c>
      <c r="B1277" s="8" t="s">
        <v>14437</v>
      </c>
      <c r="C1277" s="8" t="s">
        <v>14438</v>
      </c>
      <c r="D1277" s="8" t="s">
        <v>14439</v>
      </c>
      <c r="E1277" s="8" t="s">
        <v>3180</v>
      </c>
      <c r="F1277" s="8" t="s">
        <v>14440</v>
      </c>
    </row>
    <row r="1278" customHeight="1" spans="1:6">
      <c r="A1278" s="6">
        <v>1277</v>
      </c>
      <c r="B1278" s="8" t="s">
        <v>14437</v>
      </c>
      <c r="C1278" s="8" t="s">
        <v>14438</v>
      </c>
      <c r="D1278" s="8" t="s">
        <v>14439</v>
      </c>
      <c r="E1278" s="8" t="s">
        <v>3180</v>
      </c>
      <c r="F1278" s="8" t="s">
        <v>14440</v>
      </c>
    </row>
    <row r="1279" customHeight="1" spans="1:6">
      <c r="A1279" s="6">
        <v>1278</v>
      </c>
      <c r="B1279" s="8" t="s">
        <v>14441</v>
      </c>
      <c r="C1279" s="8" t="s">
        <v>14442</v>
      </c>
      <c r="D1279" s="8" t="s">
        <v>14443</v>
      </c>
      <c r="E1279" s="8" t="s">
        <v>8825</v>
      </c>
      <c r="F1279" s="8" t="s">
        <v>14444</v>
      </c>
    </row>
    <row r="1280" customHeight="1" spans="1:6">
      <c r="A1280" s="6">
        <v>1279</v>
      </c>
      <c r="B1280" s="8" t="s">
        <v>14441</v>
      </c>
      <c r="C1280" s="8" t="s">
        <v>14442</v>
      </c>
      <c r="D1280" s="8" t="s">
        <v>14443</v>
      </c>
      <c r="E1280" s="8" t="s">
        <v>8825</v>
      </c>
      <c r="F1280" s="8" t="s">
        <v>14444</v>
      </c>
    </row>
    <row r="1281" customHeight="1" spans="1:6">
      <c r="A1281" s="6">
        <v>1280</v>
      </c>
      <c r="B1281" s="8" t="s">
        <v>14445</v>
      </c>
      <c r="C1281" s="8" t="s">
        <v>14446</v>
      </c>
      <c r="D1281" s="8" t="s">
        <v>14447</v>
      </c>
      <c r="E1281" s="8" t="s">
        <v>288</v>
      </c>
      <c r="F1281" s="8" t="s">
        <v>14448</v>
      </c>
    </row>
    <row r="1282" customHeight="1" spans="1:6">
      <c r="A1282" s="6">
        <v>1281</v>
      </c>
      <c r="B1282" s="8" t="s">
        <v>14445</v>
      </c>
      <c r="C1282" s="8" t="s">
        <v>14446</v>
      </c>
      <c r="D1282" s="8" t="s">
        <v>14447</v>
      </c>
      <c r="E1282" s="8" t="s">
        <v>288</v>
      </c>
      <c r="F1282" s="8" t="s">
        <v>14448</v>
      </c>
    </row>
    <row r="1283" customHeight="1" spans="1:6">
      <c r="A1283" s="6">
        <v>1282</v>
      </c>
      <c r="B1283" s="7" t="str">
        <f>"978-7-5576-8994-0"</f>
        <v>978-7-5576-8994-0</v>
      </c>
      <c r="C1283" s="7" t="str">
        <f>"食物简史"</f>
        <v>食物简史</v>
      </c>
      <c r="D1283" s="7" t="str">
        <f>"(法) 雅克·阿塔利著；吕一民， 应远马， 朱晓罕译"</f>
        <v>(法) 雅克·阿塔利著；吕一民， 应远马， 朱晓罕译</v>
      </c>
      <c r="E1283" s="7" t="str">
        <f>"天津科学技术出版社"</f>
        <v>天津科学技术出版社</v>
      </c>
      <c r="F1283" s="7" t="str">
        <f>"TS2/12"</f>
        <v>TS2/12</v>
      </c>
    </row>
    <row r="1284" customHeight="1" spans="1:6">
      <c r="A1284" s="6">
        <v>1283</v>
      </c>
      <c r="B1284" s="7" t="str">
        <f>"978-7-5576-8994-0"</f>
        <v>978-7-5576-8994-0</v>
      </c>
      <c r="C1284" s="7" t="str">
        <f>"食物简史"</f>
        <v>食物简史</v>
      </c>
      <c r="D1284" s="7" t="str">
        <f>"(法) 雅克·阿塔利著；吕一民， 应远马， 朱晓罕译"</f>
        <v>(法) 雅克·阿塔利著；吕一民， 应远马， 朱晓罕译</v>
      </c>
      <c r="E1284" s="7" t="str">
        <f>"天津科学技术出版社"</f>
        <v>天津科学技术出版社</v>
      </c>
      <c r="F1284" s="7" t="str">
        <f>"TS2/12"</f>
        <v>TS2/12</v>
      </c>
    </row>
    <row r="1285" customHeight="1" spans="1:6">
      <c r="A1285" s="6">
        <v>1284</v>
      </c>
      <c r="B1285" s="7" t="str">
        <f>"978-7-5201-6734-5"</f>
        <v>978-7-5201-6734-5</v>
      </c>
      <c r="C1285" s="7" t="str">
        <f>"试毒小组：20世纪之交一位化学家全力以赴的食品安全征战：one chemist's single minded crusade for food safety at the turn of the twentieth century"</f>
        <v>试毒小组：20世纪之交一位化学家全力以赴的食品安全征战：one chemist's single minded crusade for food safety at the turn of the twentieth century</v>
      </c>
      <c r="D1285" s="7" t="str">
        <f>"(美) 黛博拉·布卢姆著Deborah Blum；欧阳凤， 林娟译"</f>
        <v>(美) 黛博拉·布卢姆著Deborah Blum；欧阳凤， 林娟译</v>
      </c>
      <c r="E1285" s="7" t="str">
        <f>"社会科学文献出版社"</f>
        <v>社会科学文献出版社</v>
      </c>
      <c r="F1285" s="7" t="str">
        <f>"TS201.6/25"</f>
        <v>TS201.6/25</v>
      </c>
    </row>
    <row r="1286" customHeight="1" spans="1:6">
      <c r="A1286" s="6">
        <v>1285</v>
      </c>
      <c r="B1286" s="7" t="str">
        <f>"978-7-5201-6734-5"</f>
        <v>978-7-5201-6734-5</v>
      </c>
      <c r="C1286" s="7" t="str">
        <f>"试毒小组：20世纪之交一位化学家全力以赴的食品安全征战：one chemist's single minded crusade for food safety at the turn of the twentieth century"</f>
        <v>试毒小组：20世纪之交一位化学家全力以赴的食品安全征战：one chemist's single minded crusade for food safety at the turn of the twentieth century</v>
      </c>
      <c r="D1286" s="7" t="str">
        <f>"(美) 黛博拉·布卢姆著Deborah Blum；欧阳凤， 林娟译"</f>
        <v>(美) 黛博拉·布卢姆著Deborah Blum；欧阳凤， 林娟译</v>
      </c>
      <c r="E1286" s="7" t="str">
        <f>"社会科学文献出版社"</f>
        <v>社会科学文献出版社</v>
      </c>
      <c r="F1286" s="7" t="str">
        <f>"TS201.6/25"</f>
        <v>TS201.6/25</v>
      </c>
    </row>
    <row r="1287" customHeight="1" spans="1:6">
      <c r="A1287" s="6">
        <v>1286</v>
      </c>
      <c r="B1287" s="8" t="s">
        <v>14449</v>
      </c>
      <c r="C1287" s="8" t="s">
        <v>14450</v>
      </c>
      <c r="D1287" s="8" t="s">
        <v>14451</v>
      </c>
      <c r="E1287" s="8" t="s">
        <v>10491</v>
      </c>
      <c r="F1287" s="8" t="s">
        <v>14452</v>
      </c>
    </row>
    <row r="1288" customHeight="1" spans="1:6">
      <c r="A1288" s="6">
        <v>1287</v>
      </c>
      <c r="B1288" s="8" t="s">
        <v>14449</v>
      </c>
      <c r="C1288" s="8" t="s">
        <v>14450</v>
      </c>
      <c r="D1288" s="8" t="s">
        <v>14451</v>
      </c>
      <c r="E1288" s="8" t="s">
        <v>10491</v>
      </c>
      <c r="F1288" s="8" t="s">
        <v>14452</v>
      </c>
    </row>
    <row r="1289" customHeight="1" spans="1:6">
      <c r="A1289" s="6">
        <v>1288</v>
      </c>
      <c r="B1289" s="7" t="str">
        <f>"978-7-5680-7075-1"</f>
        <v>978-7-5680-7075-1</v>
      </c>
      <c r="C1289" s="7" t="str">
        <f>"朗姆酒"</f>
        <v>朗姆酒</v>
      </c>
      <c r="D1289" s="7" t="str">
        <f>"(英) 戴夫·布鲁姆著；周小雪译"</f>
        <v>(英) 戴夫·布鲁姆著；周小雪译</v>
      </c>
      <c r="E1289" s="7" t="str">
        <f t="shared" ref="E1289:E1292" si="47">"华中科技大学出版社"</f>
        <v>华中科技大学出版社</v>
      </c>
      <c r="F1289" s="7" t="str">
        <f>"TS262.3/14"</f>
        <v>TS262.3/14</v>
      </c>
    </row>
    <row r="1290" customHeight="1" spans="1:6">
      <c r="A1290" s="6">
        <v>1289</v>
      </c>
      <c r="B1290" s="7" t="str">
        <f>"978-7-5680-7075-1"</f>
        <v>978-7-5680-7075-1</v>
      </c>
      <c r="C1290" s="7" t="str">
        <f>"朗姆酒"</f>
        <v>朗姆酒</v>
      </c>
      <c r="D1290" s="7" t="str">
        <f>"(英) 戴夫·布鲁姆著；周小雪译"</f>
        <v>(英) 戴夫·布鲁姆著；周小雪译</v>
      </c>
      <c r="E1290" s="7" t="str">
        <f t="shared" si="47"/>
        <v>华中科技大学出版社</v>
      </c>
      <c r="F1290" s="7" t="str">
        <f>"TS262.3/14"</f>
        <v>TS262.3/14</v>
      </c>
    </row>
    <row r="1291" customHeight="1" spans="1:6">
      <c r="A1291" s="6">
        <v>1290</v>
      </c>
      <c r="B1291" s="7" t="str">
        <f>"978-7-5680-7055-3"</f>
        <v>978-7-5680-7055-3</v>
      </c>
      <c r="C1291" s="7" t="str">
        <f>"威士忌"</f>
        <v>威士忌</v>
      </c>
      <c r="D1291" s="7" t="str">
        <f>"(英) 戴夫·布鲁姆著；何祺桢译"</f>
        <v>(英) 戴夫·布鲁姆著；何祺桢译</v>
      </c>
      <c r="E1291" s="7" t="str">
        <f t="shared" si="47"/>
        <v>华中科技大学出版社</v>
      </c>
      <c r="F1291" s="7" t="str">
        <f>"TS262.3/15"</f>
        <v>TS262.3/15</v>
      </c>
    </row>
    <row r="1292" customHeight="1" spans="1:6">
      <c r="A1292" s="6">
        <v>1291</v>
      </c>
      <c r="B1292" s="7" t="str">
        <f>"978-7-5680-7055-3"</f>
        <v>978-7-5680-7055-3</v>
      </c>
      <c r="C1292" s="7" t="str">
        <f>"威士忌"</f>
        <v>威士忌</v>
      </c>
      <c r="D1292" s="7" t="str">
        <f>"(英) 戴夫·布鲁姆著；何祺桢译"</f>
        <v>(英) 戴夫·布鲁姆著；何祺桢译</v>
      </c>
      <c r="E1292" s="7" t="str">
        <f t="shared" si="47"/>
        <v>华中科技大学出版社</v>
      </c>
      <c r="F1292" s="7" t="str">
        <f>"TS262.3/15"</f>
        <v>TS262.3/15</v>
      </c>
    </row>
    <row r="1293" customHeight="1" spans="1:6">
      <c r="A1293" s="6">
        <v>1292</v>
      </c>
      <c r="B1293" s="7" t="str">
        <f>"978-7-5198-4810-1"</f>
        <v>978-7-5198-4810-1</v>
      </c>
      <c r="C1293" s="7" t="str">
        <f>"咖啡圣经"</f>
        <v>咖啡圣经</v>
      </c>
      <c r="D1293" s="7" t="str">
        <f>"唐纳德·博斯特罗姆著；郑冰， 东方檀译"</f>
        <v>唐纳德·博斯特罗姆著；郑冰， 东方檀译</v>
      </c>
      <c r="E1293" s="7" t="str">
        <f>"中国电力出版社"</f>
        <v>中国电力出版社</v>
      </c>
      <c r="F1293" s="7" t="str">
        <f>"TS273/21"</f>
        <v>TS273/21</v>
      </c>
    </row>
    <row r="1294" customHeight="1" spans="1:6">
      <c r="A1294" s="6">
        <v>1293</v>
      </c>
      <c r="B1294" s="8" t="s">
        <v>14453</v>
      </c>
      <c r="C1294" s="8" t="s">
        <v>14454</v>
      </c>
      <c r="D1294" s="8" t="s">
        <v>14455</v>
      </c>
      <c r="E1294" s="8" t="s">
        <v>5127</v>
      </c>
      <c r="F1294" s="8" t="s">
        <v>14456</v>
      </c>
    </row>
    <row r="1295" customHeight="1" spans="1:6">
      <c r="A1295" s="6">
        <v>1294</v>
      </c>
      <c r="B1295" s="8" t="s">
        <v>14453</v>
      </c>
      <c r="C1295" s="8" t="s">
        <v>14454</v>
      </c>
      <c r="D1295" s="8" t="s">
        <v>14455</v>
      </c>
      <c r="E1295" s="8" t="s">
        <v>5127</v>
      </c>
      <c r="F1295" s="8" t="s">
        <v>14456</v>
      </c>
    </row>
    <row r="1296" customHeight="1" spans="1:6">
      <c r="A1296" s="6">
        <v>1295</v>
      </c>
      <c r="B1296" s="8" t="s">
        <v>14457</v>
      </c>
      <c r="C1296" s="8" t="s">
        <v>14458</v>
      </c>
      <c r="D1296" s="8" t="s">
        <v>14459</v>
      </c>
      <c r="E1296" s="8" t="s">
        <v>5127</v>
      </c>
      <c r="F1296" s="8" t="s">
        <v>14460</v>
      </c>
    </row>
    <row r="1297" customHeight="1" spans="1:6">
      <c r="A1297" s="6">
        <v>1296</v>
      </c>
      <c r="B1297" s="8" t="s">
        <v>14457</v>
      </c>
      <c r="C1297" s="8" t="s">
        <v>14458</v>
      </c>
      <c r="D1297" s="8" t="s">
        <v>14459</v>
      </c>
      <c r="E1297" s="8" t="s">
        <v>5127</v>
      </c>
      <c r="F1297" s="8" t="s">
        <v>14460</v>
      </c>
    </row>
    <row r="1298" customHeight="1" spans="1:6">
      <c r="A1298" s="6">
        <v>1297</v>
      </c>
      <c r="B1298" s="7" t="str">
        <f t="shared" ref="B1298:B1300" si="48">"978-7-108-04473-0"</f>
        <v>978-7-108-04473-0</v>
      </c>
      <c r="C1298" s="7" t="str">
        <f t="shared" ref="C1298:C1300" si="49">"烟火撩人：香烟的历史：histoire d'une allumeuse"</f>
        <v>烟火撩人：香烟的历史：histoire d'une allumeuse</v>
      </c>
      <c r="D1298" s="7" t="str">
        <f t="shared" ref="D1298:D1300" si="50">"(法) 迪迪埃·努里松著；陈睿， 李敏译"</f>
        <v>(法) 迪迪埃·努里松著；陈睿， 李敏译</v>
      </c>
      <c r="E1298" s="7" t="str">
        <f t="shared" ref="E1298:E1300" si="51">"三联书店"</f>
        <v>三联书店</v>
      </c>
      <c r="F1298" s="7" t="str">
        <f t="shared" ref="F1298:F1300" si="52">"TS45/2"</f>
        <v>TS45/2</v>
      </c>
    </row>
    <row r="1299" customHeight="1" spans="1:6">
      <c r="A1299" s="6">
        <v>1298</v>
      </c>
      <c r="B1299" s="7" t="str">
        <f t="shared" si="48"/>
        <v>978-7-108-04473-0</v>
      </c>
      <c r="C1299" s="7" t="str">
        <f t="shared" si="49"/>
        <v>烟火撩人：香烟的历史：histoire d'une allumeuse</v>
      </c>
      <c r="D1299" s="7" t="str">
        <f t="shared" si="50"/>
        <v>(法) 迪迪埃·努里松著；陈睿， 李敏译</v>
      </c>
      <c r="E1299" s="7" t="str">
        <f t="shared" si="51"/>
        <v>三联书店</v>
      </c>
      <c r="F1299" s="7" t="str">
        <f t="shared" si="52"/>
        <v>TS45/2</v>
      </c>
    </row>
    <row r="1300" customHeight="1" spans="1:6">
      <c r="A1300" s="6">
        <v>1299</v>
      </c>
      <c r="B1300" s="7" t="str">
        <f t="shared" si="48"/>
        <v>978-7-108-04473-0</v>
      </c>
      <c r="C1300" s="7" t="str">
        <f t="shared" si="49"/>
        <v>烟火撩人：香烟的历史：histoire d'une allumeuse</v>
      </c>
      <c r="D1300" s="7" t="str">
        <f t="shared" si="50"/>
        <v>(法) 迪迪埃·努里松著；陈睿， 李敏译</v>
      </c>
      <c r="E1300" s="7" t="str">
        <f t="shared" si="51"/>
        <v>三联书店</v>
      </c>
      <c r="F1300" s="7" t="str">
        <f t="shared" si="52"/>
        <v>TS45/2</v>
      </c>
    </row>
    <row r="1301" customHeight="1" spans="1:6">
      <c r="A1301" s="6">
        <v>1300</v>
      </c>
      <c r="B1301" s="8" t="s">
        <v>14461</v>
      </c>
      <c r="C1301" s="8" t="s">
        <v>14462</v>
      </c>
      <c r="D1301" s="8" t="s">
        <v>14463</v>
      </c>
      <c r="E1301" s="8" t="s">
        <v>330</v>
      </c>
      <c r="F1301" s="8" t="s">
        <v>14464</v>
      </c>
    </row>
    <row r="1302" customHeight="1" spans="1:6">
      <c r="A1302" s="6">
        <v>1301</v>
      </c>
      <c r="B1302" s="8" t="s">
        <v>14461</v>
      </c>
      <c r="C1302" s="8" t="s">
        <v>14462</v>
      </c>
      <c r="D1302" s="8" t="s">
        <v>14463</v>
      </c>
      <c r="E1302" s="8" t="s">
        <v>330</v>
      </c>
      <c r="F1302" s="8" t="s">
        <v>14464</v>
      </c>
    </row>
    <row r="1303" customHeight="1" spans="1:6">
      <c r="A1303" s="6">
        <v>1302</v>
      </c>
      <c r="B1303" s="7" t="str">
        <f t="shared" ref="B1303:B1305" si="53">"978-7-5606-5966-4"</f>
        <v>978-7-5606-5966-4</v>
      </c>
      <c r="C1303" s="7" t="str">
        <f t="shared" ref="C1303:C1305" si="54">"3D建模和3D打印技术"</f>
        <v>3D建模和3D打印技术</v>
      </c>
      <c r="D1303" s="7" t="str">
        <f t="shared" ref="D1303:D1305" si="55">"主编陈智勇， 李洲稷， 黄晓婧"</f>
        <v>主编陈智勇， 李洲稷， 黄晓婧</v>
      </c>
      <c r="E1303" s="7" t="str">
        <f t="shared" ref="E1303:E1305" si="56">"西安电子科技大学出版社"</f>
        <v>西安电子科技大学出版社</v>
      </c>
      <c r="F1303" s="7" t="str">
        <f t="shared" ref="F1303:F1305" si="57">"TS853/24"</f>
        <v>TS853/24</v>
      </c>
    </row>
    <row r="1304" customHeight="1" spans="1:6">
      <c r="A1304" s="6">
        <v>1303</v>
      </c>
      <c r="B1304" s="7" t="str">
        <f t="shared" si="53"/>
        <v>978-7-5606-5966-4</v>
      </c>
      <c r="C1304" s="7" t="str">
        <f t="shared" si="54"/>
        <v>3D建模和3D打印技术</v>
      </c>
      <c r="D1304" s="7" t="str">
        <f t="shared" si="55"/>
        <v>主编陈智勇， 李洲稷， 黄晓婧</v>
      </c>
      <c r="E1304" s="7" t="str">
        <f t="shared" si="56"/>
        <v>西安电子科技大学出版社</v>
      </c>
      <c r="F1304" s="7" t="str">
        <f t="shared" si="57"/>
        <v>TS853/24</v>
      </c>
    </row>
    <row r="1305" customHeight="1" spans="1:6">
      <c r="A1305" s="6">
        <v>1304</v>
      </c>
      <c r="B1305" s="7" t="str">
        <f t="shared" si="53"/>
        <v>978-7-5606-5966-4</v>
      </c>
      <c r="C1305" s="7" t="str">
        <f t="shared" si="54"/>
        <v>3D建模和3D打印技术</v>
      </c>
      <c r="D1305" s="7" t="str">
        <f t="shared" si="55"/>
        <v>主编陈智勇， 李洲稷， 黄晓婧</v>
      </c>
      <c r="E1305" s="7" t="str">
        <f t="shared" si="56"/>
        <v>西安电子科技大学出版社</v>
      </c>
      <c r="F1305" s="7" t="str">
        <f t="shared" si="57"/>
        <v>TS853/24</v>
      </c>
    </row>
    <row r="1306" customHeight="1" spans="1:6">
      <c r="A1306" s="6">
        <v>1305</v>
      </c>
      <c r="B1306" s="7" t="str">
        <f>"978-7-5221-1163-6"</f>
        <v>978-7-5221-1163-6</v>
      </c>
      <c r="C1306" s="7" t="str">
        <f>"科技打印未来：探索3D打印技术"</f>
        <v>科技打印未来：探索3D打印技术</v>
      </c>
      <c r="D1306" s="7" t="str">
        <f>"葛媛媛著"</f>
        <v>葛媛媛著</v>
      </c>
      <c r="E1306" s="7" t="str">
        <f>"中国原子能出版社"</f>
        <v>中国原子能出版社</v>
      </c>
      <c r="F1306" s="7" t="str">
        <f>"TS853/25"</f>
        <v>TS853/25</v>
      </c>
    </row>
    <row r="1307" customHeight="1" spans="1:6">
      <c r="A1307" s="6">
        <v>1306</v>
      </c>
      <c r="B1307" s="7" t="str">
        <f>"978-7-5221-1163-6"</f>
        <v>978-7-5221-1163-6</v>
      </c>
      <c r="C1307" s="7" t="str">
        <f>"科技打印未来：探索3D打印技术"</f>
        <v>科技打印未来：探索3D打印技术</v>
      </c>
      <c r="D1307" s="7" t="str">
        <f>"葛媛媛著"</f>
        <v>葛媛媛著</v>
      </c>
      <c r="E1307" s="7" t="str">
        <f>"中国原子能出版社"</f>
        <v>中国原子能出版社</v>
      </c>
      <c r="F1307" s="7" t="str">
        <f>"TS853/25"</f>
        <v>TS853/25</v>
      </c>
    </row>
    <row r="1308" customHeight="1" spans="1:6">
      <c r="A1308" s="6">
        <v>1307</v>
      </c>
      <c r="B1308" s="9" t="str">
        <f>"978-7-115-56625-6"</f>
        <v>978-7-115-56625-6</v>
      </c>
      <c r="C1308" s="9" t="str">
        <f>"青少年3D打印课程：轻松玩转123D Design"</f>
        <v>青少年3D打印课程：轻松玩转123D Design</v>
      </c>
      <c r="D1308" s="9" t="str">
        <f>"沈志宏著"</f>
        <v>沈志宏著</v>
      </c>
      <c r="E1308" s="9" t="str">
        <f>"人民邮电出版社"</f>
        <v>人民邮电出版社</v>
      </c>
      <c r="F1308" s="9" t="str">
        <f>"TS853/26"</f>
        <v>TS853/26</v>
      </c>
    </row>
    <row r="1309" customHeight="1" spans="1:6">
      <c r="A1309" s="6">
        <v>1308</v>
      </c>
      <c r="B1309" s="8" t="s">
        <v>14465</v>
      </c>
      <c r="C1309" s="8" t="s">
        <v>14466</v>
      </c>
      <c r="D1309" s="8" t="s">
        <v>14467</v>
      </c>
      <c r="E1309" s="8" t="s">
        <v>3180</v>
      </c>
      <c r="F1309" s="8" t="s">
        <v>14468</v>
      </c>
    </row>
    <row r="1310" customHeight="1" spans="1:6">
      <c r="A1310" s="6">
        <v>1309</v>
      </c>
      <c r="B1310" s="8" t="s">
        <v>14465</v>
      </c>
      <c r="C1310" s="8" t="s">
        <v>14466</v>
      </c>
      <c r="D1310" s="8" t="s">
        <v>14467</v>
      </c>
      <c r="E1310" s="8" t="s">
        <v>3180</v>
      </c>
      <c r="F1310" s="8" t="s">
        <v>14468</v>
      </c>
    </row>
    <row r="1311" customHeight="1" spans="1:6">
      <c r="A1311" s="6">
        <v>1310</v>
      </c>
      <c r="B1311" s="8" t="s">
        <v>14469</v>
      </c>
      <c r="C1311" s="8" t="s">
        <v>14470</v>
      </c>
      <c r="D1311" s="8" t="s">
        <v>14471</v>
      </c>
      <c r="E1311" s="8" t="s">
        <v>3180</v>
      </c>
      <c r="F1311" s="8" t="s">
        <v>14472</v>
      </c>
    </row>
    <row r="1312" customHeight="1" spans="1:6">
      <c r="A1312" s="6">
        <v>1311</v>
      </c>
      <c r="B1312" s="8" t="s">
        <v>14469</v>
      </c>
      <c r="C1312" s="8" t="s">
        <v>14470</v>
      </c>
      <c r="D1312" s="8" t="s">
        <v>14471</v>
      </c>
      <c r="E1312" s="8" t="s">
        <v>3180</v>
      </c>
      <c r="F1312" s="8" t="s">
        <v>14472</v>
      </c>
    </row>
    <row r="1313" customHeight="1" spans="1:6">
      <c r="A1313" s="6">
        <v>1312</v>
      </c>
      <c r="B1313" s="7" t="str">
        <f>"978-7-5689-2746-8"</f>
        <v>978-7-5689-2746-8</v>
      </c>
      <c r="C1313" s="7" t="str">
        <f>"前沿时尚"</f>
        <v>前沿时尚</v>
      </c>
      <c r="D1313" s="7" t="str">
        <f>"(英) 卡洛琳·埃文斯著Caroline Evans；孙诗淇译"</f>
        <v>(英) 卡洛琳·埃文斯著Caroline Evans；孙诗淇译</v>
      </c>
      <c r="E1313" s="7" t="str">
        <f>"重庆大学出版社"</f>
        <v>重庆大学出版社</v>
      </c>
      <c r="F1313" s="7" t="str">
        <f>"TS941-091/3"</f>
        <v>TS941-091/3</v>
      </c>
    </row>
    <row r="1314" customHeight="1" spans="1:6">
      <c r="A1314" s="6">
        <v>1313</v>
      </c>
      <c r="B1314" s="7" t="str">
        <f>"978-7-5689-2746-8"</f>
        <v>978-7-5689-2746-8</v>
      </c>
      <c r="C1314" s="7" t="str">
        <f>"前沿时尚"</f>
        <v>前沿时尚</v>
      </c>
      <c r="D1314" s="7" t="str">
        <f>"(英) 卡洛琳·埃文斯著Caroline Evans；孙诗淇译"</f>
        <v>(英) 卡洛琳·埃文斯著Caroline Evans；孙诗淇译</v>
      </c>
      <c r="E1314" s="7" t="str">
        <f>"重庆大学出版社"</f>
        <v>重庆大学出版社</v>
      </c>
      <c r="F1314" s="7" t="str">
        <f>"TS941-091/3"</f>
        <v>TS941-091/3</v>
      </c>
    </row>
    <row r="1315" customHeight="1" spans="1:6">
      <c r="A1315" s="6">
        <v>1314</v>
      </c>
      <c r="B1315" s="8" t="s">
        <v>14473</v>
      </c>
      <c r="C1315" s="8" t="s">
        <v>14474</v>
      </c>
      <c r="D1315" s="8" t="s">
        <v>14475</v>
      </c>
      <c r="E1315" s="8" t="s">
        <v>3180</v>
      </c>
      <c r="F1315" s="8" t="s">
        <v>14476</v>
      </c>
    </row>
    <row r="1316" customHeight="1" spans="1:6">
      <c r="A1316" s="6">
        <v>1315</v>
      </c>
      <c r="B1316" s="8" t="s">
        <v>14473</v>
      </c>
      <c r="C1316" s="8" t="s">
        <v>14474</v>
      </c>
      <c r="D1316" s="8" t="s">
        <v>14475</v>
      </c>
      <c r="E1316" s="8" t="s">
        <v>3180</v>
      </c>
      <c r="F1316" s="8" t="s">
        <v>14476</v>
      </c>
    </row>
    <row r="1317" customHeight="1" spans="1:6">
      <c r="A1317" s="6">
        <v>1316</v>
      </c>
      <c r="B1317" s="8" t="s">
        <v>14477</v>
      </c>
      <c r="C1317" s="8" t="s">
        <v>14478</v>
      </c>
      <c r="D1317" s="8" t="s">
        <v>14479</v>
      </c>
      <c r="E1317" s="8" t="s">
        <v>2790</v>
      </c>
      <c r="F1317" s="8" t="s">
        <v>14480</v>
      </c>
    </row>
    <row r="1318" customHeight="1" spans="1:6">
      <c r="A1318" s="6">
        <v>1317</v>
      </c>
      <c r="B1318" s="8" t="s">
        <v>14477</v>
      </c>
      <c r="C1318" s="8" t="s">
        <v>14478</v>
      </c>
      <c r="D1318" s="8" t="s">
        <v>14479</v>
      </c>
      <c r="E1318" s="8" t="s">
        <v>2790</v>
      </c>
      <c r="F1318" s="8" t="s">
        <v>14480</v>
      </c>
    </row>
    <row r="1319" customHeight="1" spans="1:6">
      <c r="A1319" s="6">
        <v>1318</v>
      </c>
      <c r="B1319" s="7" t="str">
        <f>"978-7-229-15777-7"</f>
        <v>978-7-229-15777-7</v>
      </c>
      <c r="C1319" s="7" t="str">
        <f>"谁把橡皮戴在铅笔头上：文具的千年演化史"</f>
        <v>谁把橡皮戴在铅笔头上：文具的千年演化史</v>
      </c>
      <c r="D1319" s="7" t="str">
        <f>"(英) 詹姆斯·沃德著；张健译"</f>
        <v>(英) 詹姆斯·沃德著；张健译</v>
      </c>
      <c r="E1319" s="7" t="str">
        <f>"重庆出版社"</f>
        <v>重庆出版社</v>
      </c>
      <c r="F1319" s="7" t="str">
        <f>"TS951/7"</f>
        <v>TS951/7</v>
      </c>
    </row>
    <row r="1320" customHeight="1" spans="1:6">
      <c r="A1320" s="6">
        <v>1319</v>
      </c>
      <c r="B1320" s="7" t="str">
        <f>"978-7-229-15777-7"</f>
        <v>978-7-229-15777-7</v>
      </c>
      <c r="C1320" s="7" t="str">
        <f>"谁把橡皮戴在铅笔头上：文具的千年演化史"</f>
        <v>谁把橡皮戴在铅笔头上：文具的千年演化史</v>
      </c>
      <c r="D1320" s="7" t="str">
        <f>"(英) 詹姆斯·沃德著；张健译"</f>
        <v>(英) 詹姆斯·沃德著；张健译</v>
      </c>
      <c r="E1320" s="7" t="str">
        <f>"重庆出版社"</f>
        <v>重庆出版社</v>
      </c>
      <c r="F1320" s="7" t="str">
        <f>"TS951/7"</f>
        <v>TS951/7</v>
      </c>
    </row>
    <row r="1321" customHeight="1" spans="1:6">
      <c r="A1321" s="6">
        <v>1320</v>
      </c>
      <c r="B1321" s="7" t="str">
        <f t="shared" ref="B1321:B1323" si="58">"978-7-108-05724-2"</f>
        <v>978-7-108-05724-2</v>
      </c>
      <c r="C1321" s="7" t="str">
        <f t="shared" ref="C1321:C1323" si="59">"查理曼大帝的桌布：一部开胃的宴会史"</f>
        <v>查理曼大帝的桌布：一部开胃的宴会史</v>
      </c>
      <c r="D1321" s="7" t="str">
        <f t="shared" ref="D1321:D1323" si="60">"(英) 尼科拉·弗莱彻 (Nichola Fletcher) 著；李响译"</f>
        <v>(英) 尼科拉·弗莱彻 (Nichola Fletcher) 著；李响译</v>
      </c>
      <c r="E1321" s="7" t="str">
        <f t="shared" ref="E1321:E1323" si="61">"生活·读书·新知三联书店"</f>
        <v>生活·读书·新知三联书店</v>
      </c>
      <c r="F1321" s="7" t="str">
        <f t="shared" ref="F1321:F1323" si="62">"TS971.2/87=2D"</f>
        <v>TS971.2/87=2D</v>
      </c>
    </row>
    <row r="1322" customHeight="1" spans="1:6">
      <c r="A1322" s="6">
        <v>1321</v>
      </c>
      <c r="B1322" s="7" t="str">
        <f t="shared" si="58"/>
        <v>978-7-108-05724-2</v>
      </c>
      <c r="C1322" s="7" t="str">
        <f t="shared" si="59"/>
        <v>查理曼大帝的桌布：一部开胃的宴会史</v>
      </c>
      <c r="D1322" s="7" t="str">
        <f t="shared" si="60"/>
        <v>(英) 尼科拉·弗莱彻 (Nichola Fletcher) 著；李响译</v>
      </c>
      <c r="E1322" s="7" t="str">
        <f t="shared" si="61"/>
        <v>生活·读书·新知三联书店</v>
      </c>
      <c r="F1322" s="7" t="str">
        <f t="shared" si="62"/>
        <v>TS971.2/87=2D</v>
      </c>
    </row>
    <row r="1323" customHeight="1" spans="1:6">
      <c r="A1323" s="6">
        <v>1322</v>
      </c>
      <c r="B1323" s="7" t="str">
        <f t="shared" si="58"/>
        <v>978-7-108-05724-2</v>
      </c>
      <c r="C1323" s="7" t="str">
        <f t="shared" si="59"/>
        <v>查理曼大帝的桌布：一部开胃的宴会史</v>
      </c>
      <c r="D1323" s="7" t="str">
        <f t="shared" si="60"/>
        <v>(英) 尼科拉·弗莱彻 (Nichola Fletcher) 著；李响译</v>
      </c>
      <c r="E1323" s="7" t="str">
        <f t="shared" si="61"/>
        <v>生活·读书·新知三联书店</v>
      </c>
      <c r="F1323" s="7" t="str">
        <f t="shared" si="62"/>
        <v>TS971.2/87=2D</v>
      </c>
    </row>
    <row r="1324" customHeight="1" spans="1:6">
      <c r="A1324" s="6">
        <v>1323</v>
      </c>
      <c r="B1324" s="7" t="str">
        <f t="shared" ref="B1324:B1326" si="63">"978-7-108-04771-7"</f>
        <v>978-7-108-04771-7</v>
      </c>
      <c r="C1324" s="7" t="str">
        <f t="shared" ref="C1324:C1326" si="64">"菜单中的秘密：爱丽舍宫的飨宴"</f>
        <v>菜单中的秘密：爱丽舍宫的飨宴</v>
      </c>
      <c r="D1324" s="7" t="str">
        <f t="shared" ref="D1324:D1326" si="65">"(日) 西川惠著；尤可欣译"</f>
        <v>(日) 西川惠著；尤可欣译</v>
      </c>
      <c r="E1324" s="7" t="str">
        <f t="shared" ref="E1324:E1326" si="66">"三联书店"</f>
        <v>三联书店</v>
      </c>
      <c r="F1324" s="7" t="str">
        <f t="shared" ref="F1324:F1326" si="67">"TS971.2/88"</f>
        <v>TS971.2/88</v>
      </c>
    </row>
    <row r="1325" customHeight="1" spans="1:6">
      <c r="A1325" s="6">
        <v>1324</v>
      </c>
      <c r="B1325" s="7" t="str">
        <f t="shared" si="63"/>
        <v>978-7-108-04771-7</v>
      </c>
      <c r="C1325" s="7" t="str">
        <f t="shared" si="64"/>
        <v>菜单中的秘密：爱丽舍宫的飨宴</v>
      </c>
      <c r="D1325" s="7" t="str">
        <f t="shared" si="65"/>
        <v>(日) 西川惠著；尤可欣译</v>
      </c>
      <c r="E1325" s="7" t="str">
        <f t="shared" si="66"/>
        <v>三联书店</v>
      </c>
      <c r="F1325" s="7" t="str">
        <f t="shared" si="67"/>
        <v>TS971.2/88</v>
      </c>
    </row>
    <row r="1326" customHeight="1" spans="1:6">
      <c r="A1326" s="6">
        <v>1325</v>
      </c>
      <c r="B1326" s="7" t="str">
        <f t="shared" si="63"/>
        <v>978-7-108-04771-7</v>
      </c>
      <c r="C1326" s="7" t="str">
        <f t="shared" si="64"/>
        <v>菜单中的秘密：爱丽舍宫的飨宴</v>
      </c>
      <c r="D1326" s="7" t="str">
        <f t="shared" si="65"/>
        <v>(日) 西川惠著；尤可欣译</v>
      </c>
      <c r="E1326" s="7" t="str">
        <f t="shared" si="66"/>
        <v>三联书店</v>
      </c>
      <c r="F1326" s="7" t="str">
        <f t="shared" si="67"/>
        <v>TS971.2/88</v>
      </c>
    </row>
    <row r="1327" customHeight="1" spans="1:6">
      <c r="A1327" s="6">
        <v>1326</v>
      </c>
      <c r="B1327" s="8" t="s">
        <v>14481</v>
      </c>
      <c r="C1327" s="8" t="s">
        <v>14482</v>
      </c>
      <c r="D1327" s="8" t="s">
        <v>14483</v>
      </c>
      <c r="E1327" s="8" t="s">
        <v>370</v>
      </c>
      <c r="F1327" s="8" t="s">
        <v>14484</v>
      </c>
    </row>
    <row r="1328" customHeight="1" spans="1:6">
      <c r="A1328" s="6">
        <v>1327</v>
      </c>
      <c r="B1328" s="8" t="s">
        <v>14481</v>
      </c>
      <c r="C1328" s="8" t="s">
        <v>14482</v>
      </c>
      <c r="D1328" s="8" t="s">
        <v>14483</v>
      </c>
      <c r="E1328" s="8" t="s">
        <v>370</v>
      </c>
      <c r="F1328" s="8" t="s">
        <v>14484</v>
      </c>
    </row>
    <row r="1329" customHeight="1" spans="1:6">
      <c r="A1329" s="6">
        <v>1328</v>
      </c>
      <c r="B1329" s="7" t="str">
        <f t="shared" ref="B1329:B1331" si="68">"978-7-214-17018-7"</f>
        <v>978-7-214-17018-7</v>
      </c>
      <c r="C1329" s="7" t="str">
        <f t="shared" ref="C1329:C1331" si="69">"两访中国茶乡"</f>
        <v>两访中国茶乡</v>
      </c>
      <c r="D1329" s="7" t="str">
        <f t="shared" ref="D1329:D1331" si="70">"(英) 罗伯特·福琼著；敖雪岗译"</f>
        <v>(英) 罗伯特·福琼著；敖雪岗译</v>
      </c>
      <c r="E1329" s="7" t="str">
        <f t="shared" ref="E1329:E1331" si="71">"江苏人民出版社"</f>
        <v>江苏人民出版社</v>
      </c>
      <c r="F1329" s="7" t="str">
        <f t="shared" ref="F1329:F1331" si="72">"TS971.21/72"</f>
        <v>TS971.21/72</v>
      </c>
    </row>
    <row r="1330" customHeight="1" spans="1:6">
      <c r="A1330" s="6">
        <v>1329</v>
      </c>
      <c r="B1330" s="7" t="str">
        <f t="shared" si="68"/>
        <v>978-7-214-17018-7</v>
      </c>
      <c r="C1330" s="7" t="str">
        <f t="shared" si="69"/>
        <v>两访中国茶乡</v>
      </c>
      <c r="D1330" s="7" t="str">
        <f t="shared" si="70"/>
        <v>(英) 罗伯特·福琼著；敖雪岗译</v>
      </c>
      <c r="E1330" s="7" t="str">
        <f t="shared" si="71"/>
        <v>江苏人民出版社</v>
      </c>
      <c r="F1330" s="7" t="str">
        <f t="shared" si="72"/>
        <v>TS971.21/72</v>
      </c>
    </row>
    <row r="1331" customHeight="1" spans="1:6">
      <c r="A1331" s="6">
        <v>1330</v>
      </c>
      <c r="B1331" s="7" t="str">
        <f t="shared" si="68"/>
        <v>978-7-214-17018-7</v>
      </c>
      <c r="C1331" s="7" t="str">
        <f t="shared" si="69"/>
        <v>两访中国茶乡</v>
      </c>
      <c r="D1331" s="7" t="str">
        <f t="shared" si="70"/>
        <v>(英) 罗伯特·福琼著；敖雪岗译</v>
      </c>
      <c r="E1331" s="7" t="str">
        <f t="shared" si="71"/>
        <v>江苏人民出版社</v>
      </c>
      <c r="F1331" s="7" t="str">
        <f t="shared" si="72"/>
        <v>TS971.21/72</v>
      </c>
    </row>
    <row r="1332" customHeight="1" spans="1:6">
      <c r="A1332" s="6">
        <v>1331</v>
      </c>
      <c r="B1332" s="8" t="s">
        <v>14485</v>
      </c>
      <c r="C1332" s="8" t="s">
        <v>14486</v>
      </c>
      <c r="D1332" s="8" t="s">
        <v>14487</v>
      </c>
      <c r="E1332" s="8" t="s">
        <v>3180</v>
      </c>
      <c r="F1332" s="8" t="s">
        <v>14488</v>
      </c>
    </row>
    <row r="1333" customHeight="1" spans="1:6">
      <c r="A1333" s="6">
        <v>1332</v>
      </c>
      <c r="B1333" s="8" t="s">
        <v>14485</v>
      </c>
      <c r="C1333" s="8" t="s">
        <v>14486</v>
      </c>
      <c r="D1333" s="8" t="s">
        <v>14487</v>
      </c>
      <c r="E1333" s="8" t="s">
        <v>3180</v>
      </c>
      <c r="F1333" s="8" t="s">
        <v>14488</v>
      </c>
    </row>
    <row r="1334" customHeight="1" spans="1:6">
      <c r="A1334" s="6">
        <v>1333</v>
      </c>
      <c r="B1334" s="8" t="s">
        <v>14489</v>
      </c>
      <c r="C1334" s="8" t="s">
        <v>14490</v>
      </c>
      <c r="D1334" s="8" t="s">
        <v>14491</v>
      </c>
      <c r="E1334" s="8" t="s">
        <v>5127</v>
      </c>
      <c r="F1334" s="8" t="s">
        <v>14492</v>
      </c>
    </row>
    <row r="1335" customHeight="1" spans="1:6">
      <c r="A1335" s="6">
        <v>1334</v>
      </c>
      <c r="B1335" s="8" t="s">
        <v>14489</v>
      </c>
      <c r="C1335" s="8" t="s">
        <v>14490</v>
      </c>
      <c r="D1335" s="8" t="s">
        <v>14491</v>
      </c>
      <c r="E1335" s="8" t="s">
        <v>5127</v>
      </c>
      <c r="F1335" s="8" t="s">
        <v>14492</v>
      </c>
    </row>
    <row r="1336" customHeight="1" spans="1:6">
      <c r="A1336" s="6">
        <v>1335</v>
      </c>
      <c r="B1336" s="8" t="s">
        <v>14493</v>
      </c>
      <c r="C1336" s="8" t="s">
        <v>14494</v>
      </c>
      <c r="D1336" s="8" t="s">
        <v>14495</v>
      </c>
      <c r="E1336" s="8" t="s">
        <v>150</v>
      </c>
      <c r="F1336" s="8" t="s">
        <v>14496</v>
      </c>
    </row>
    <row r="1337" customHeight="1" spans="1:6">
      <c r="A1337" s="6">
        <v>1336</v>
      </c>
      <c r="B1337" s="8" t="s">
        <v>14493</v>
      </c>
      <c r="C1337" s="8" t="s">
        <v>14494</v>
      </c>
      <c r="D1337" s="8" t="s">
        <v>14495</v>
      </c>
      <c r="E1337" s="8" t="s">
        <v>150</v>
      </c>
      <c r="F1337" s="8" t="s">
        <v>14496</v>
      </c>
    </row>
    <row r="1338" customHeight="1" spans="1:6">
      <c r="A1338" s="6">
        <v>1337</v>
      </c>
      <c r="B1338" s="8" t="s">
        <v>14493</v>
      </c>
      <c r="C1338" s="8" t="s">
        <v>14494</v>
      </c>
      <c r="D1338" s="8" t="s">
        <v>14495</v>
      </c>
      <c r="E1338" s="8" t="s">
        <v>150</v>
      </c>
      <c r="F1338" s="8" t="s">
        <v>14496</v>
      </c>
    </row>
    <row r="1339" customHeight="1" spans="1:6">
      <c r="A1339" s="6">
        <v>1338</v>
      </c>
      <c r="B1339" s="7" t="str">
        <f>"978-7-5139-3113-7"</f>
        <v>978-7-5139-3113-7</v>
      </c>
      <c r="C1339" s="7" t="str">
        <f>"美食与文明：帝国塑造烹饪习俗的全球史"</f>
        <v>美食与文明：帝国塑造烹饪习俗的全球史</v>
      </c>
      <c r="D1339" s="7" t="str">
        <f>"(美) 蕾切尔·劳丹著；杨宁译"</f>
        <v>(美) 蕾切尔·劳丹著；杨宁译</v>
      </c>
      <c r="E1339" s="7" t="str">
        <f>"民主与建设出版社有限责任公司"</f>
        <v>民主与建设出版社有限责任公司</v>
      </c>
      <c r="F1339" s="7" t="str">
        <f>"TS972.1/223"</f>
        <v>TS972.1/223</v>
      </c>
    </row>
    <row r="1340" customHeight="1" spans="1:6">
      <c r="A1340" s="6">
        <v>1339</v>
      </c>
      <c r="B1340" s="7" t="str">
        <f>"978-7-5139-3113-7"</f>
        <v>978-7-5139-3113-7</v>
      </c>
      <c r="C1340" s="7" t="str">
        <f>"美食与文明：帝国塑造烹饪习俗的全球史"</f>
        <v>美食与文明：帝国塑造烹饪习俗的全球史</v>
      </c>
      <c r="D1340" s="7" t="str">
        <f>"(美) 蕾切尔·劳丹著；杨宁译"</f>
        <v>(美) 蕾切尔·劳丹著；杨宁译</v>
      </c>
      <c r="E1340" s="7" t="str">
        <f>"民主与建设出版社有限责任公司"</f>
        <v>民主与建设出版社有限责任公司</v>
      </c>
      <c r="F1340" s="7" t="str">
        <f>"TS972.1/223"</f>
        <v>TS972.1/223</v>
      </c>
    </row>
    <row r="1341" customHeight="1" spans="1:6">
      <c r="A1341" s="6">
        <v>1340</v>
      </c>
      <c r="B1341" s="9" t="str">
        <f t="shared" ref="B1341:B1343" si="73">"978-7-5057-5114-9"</f>
        <v>978-7-5057-5114-9</v>
      </c>
      <c r="C1341" s="9" t="str">
        <f t="shared" ref="C1341:C1343" si="74">"中国火锅：天下第一锅"</f>
        <v>中国火锅：天下第一锅</v>
      </c>
      <c r="D1341" s="9" t="str">
        <f t="shared" ref="D1341:D1343" si="75">"冯旭著；张越绘"</f>
        <v>冯旭著；张越绘</v>
      </c>
      <c r="E1341" s="9" t="str">
        <f t="shared" ref="E1341:E1343" si="76">"中国友谊出版公司"</f>
        <v>中国友谊出版公司</v>
      </c>
      <c r="F1341" s="9" t="str">
        <f t="shared" ref="F1341:F1343" si="77">"TS972.129.1/2"</f>
        <v>TS972.129.1/2</v>
      </c>
    </row>
    <row r="1342" customHeight="1" spans="1:6">
      <c r="A1342" s="6">
        <v>1341</v>
      </c>
      <c r="B1342" s="9" t="str">
        <f t="shared" si="73"/>
        <v>978-7-5057-5114-9</v>
      </c>
      <c r="C1342" s="9" t="str">
        <f t="shared" si="74"/>
        <v>中国火锅：天下第一锅</v>
      </c>
      <c r="D1342" s="9" t="str">
        <f t="shared" si="75"/>
        <v>冯旭著；张越绘</v>
      </c>
      <c r="E1342" s="9" t="str">
        <f t="shared" si="76"/>
        <v>中国友谊出版公司</v>
      </c>
      <c r="F1342" s="9" t="str">
        <f t="shared" si="77"/>
        <v>TS972.129.1/2</v>
      </c>
    </row>
    <row r="1343" customHeight="1" spans="1:6">
      <c r="A1343" s="6">
        <v>1342</v>
      </c>
      <c r="B1343" s="9" t="str">
        <f t="shared" si="73"/>
        <v>978-7-5057-5114-9</v>
      </c>
      <c r="C1343" s="9" t="str">
        <f t="shared" si="74"/>
        <v>中国火锅：天下第一锅</v>
      </c>
      <c r="D1343" s="9" t="str">
        <f t="shared" si="75"/>
        <v>冯旭著；张越绘</v>
      </c>
      <c r="E1343" s="9" t="str">
        <f t="shared" si="76"/>
        <v>中国友谊出版公司</v>
      </c>
      <c r="F1343" s="9" t="str">
        <f t="shared" si="77"/>
        <v>TS972.129.1/2</v>
      </c>
    </row>
    <row r="1344" customHeight="1" spans="1:6">
      <c r="A1344" s="6">
        <v>1343</v>
      </c>
      <c r="B1344" s="7" t="str">
        <f t="shared" ref="B1344:B1346" si="78">"978-7-108-06423-3"</f>
        <v>978-7-108-06423-3</v>
      </c>
      <c r="C1344" s="7" t="str">
        <f t="shared" ref="C1344:C1346" si="79">"筷子：饮食与文化"</f>
        <v>筷子：饮食与文化</v>
      </c>
      <c r="D1344" s="7" t="str">
        <f t="shared" ref="D1344:D1346" si="80">"(美) 王晴佳著；汪精玲译"</f>
        <v>(美) 王晴佳著；汪精玲译</v>
      </c>
      <c r="E1344" s="7" t="str">
        <f t="shared" ref="E1344:E1346" si="81">"三联书店"</f>
        <v>三联书店</v>
      </c>
      <c r="F1344" s="7" t="str">
        <f t="shared" ref="F1344:F1346" si="82">"TS972.23/9"</f>
        <v>TS972.23/9</v>
      </c>
    </row>
    <row r="1345" customHeight="1" spans="1:6">
      <c r="A1345" s="6">
        <v>1344</v>
      </c>
      <c r="B1345" s="7" t="str">
        <f t="shared" si="78"/>
        <v>978-7-108-06423-3</v>
      </c>
      <c r="C1345" s="7" t="str">
        <f t="shared" si="79"/>
        <v>筷子：饮食与文化</v>
      </c>
      <c r="D1345" s="7" t="str">
        <f t="shared" si="80"/>
        <v>(美) 王晴佳著；汪精玲译</v>
      </c>
      <c r="E1345" s="7" t="str">
        <f t="shared" si="81"/>
        <v>三联书店</v>
      </c>
      <c r="F1345" s="7" t="str">
        <f t="shared" si="82"/>
        <v>TS972.23/9</v>
      </c>
    </row>
    <row r="1346" customHeight="1" spans="1:6">
      <c r="A1346" s="6">
        <v>1345</v>
      </c>
      <c r="B1346" s="7" t="str">
        <f t="shared" si="78"/>
        <v>978-7-108-06423-3</v>
      </c>
      <c r="C1346" s="7" t="str">
        <f t="shared" si="79"/>
        <v>筷子：饮食与文化</v>
      </c>
      <c r="D1346" s="7" t="str">
        <f t="shared" si="80"/>
        <v>(美) 王晴佳著；汪精玲译</v>
      </c>
      <c r="E1346" s="7" t="str">
        <f t="shared" si="81"/>
        <v>三联书店</v>
      </c>
      <c r="F1346" s="7" t="str">
        <f t="shared" si="82"/>
        <v>TS972.23/9</v>
      </c>
    </row>
    <row r="1347" customHeight="1" spans="1:6">
      <c r="A1347" s="6">
        <v>1346</v>
      </c>
      <c r="B1347" s="8" t="s">
        <v>14497</v>
      </c>
      <c r="C1347" s="8" t="s">
        <v>14498</v>
      </c>
      <c r="D1347" s="8" t="s">
        <v>14499</v>
      </c>
      <c r="E1347" s="8" t="s">
        <v>8825</v>
      </c>
      <c r="F1347" s="8" t="s">
        <v>14500</v>
      </c>
    </row>
    <row r="1348" customHeight="1" spans="1:6">
      <c r="A1348" s="6">
        <v>1347</v>
      </c>
      <c r="B1348" s="8" t="s">
        <v>14497</v>
      </c>
      <c r="C1348" s="8" t="s">
        <v>14498</v>
      </c>
      <c r="D1348" s="8" t="s">
        <v>14499</v>
      </c>
      <c r="E1348" s="8" t="s">
        <v>8825</v>
      </c>
      <c r="F1348" s="8" t="s">
        <v>14500</v>
      </c>
    </row>
    <row r="1349" customHeight="1" spans="1:6">
      <c r="A1349" s="6">
        <v>1348</v>
      </c>
      <c r="B1349" s="8" t="s">
        <v>14501</v>
      </c>
      <c r="C1349" s="8" t="s">
        <v>14502</v>
      </c>
      <c r="D1349" s="8" t="s">
        <v>14503</v>
      </c>
      <c r="E1349" s="8" t="s">
        <v>1534</v>
      </c>
      <c r="F1349" s="8" t="s">
        <v>14504</v>
      </c>
    </row>
    <row r="1350" customHeight="1" spans="1:6">
      <c r="A1350" s="6">
        <v>1349</v>
      </c>
      <c r="B1350" s="8" t="s">
        <v>14501</v>
      </c>
      <c r="C1350" s="8" t="s">
        <v>14502</v>
      </c>
      <c r="D1350" s="8" t="s">
        <v>14503</v>
      </c>
      <c r="E1350" s="8" t="s">
        <v>1534</v>
      </c>
      <c r="F1350" s="8" t="s">
        <v>14504</v>
      </c>
    </row>
    <row r="1351" customHeight="1" spans="1:6">
      <c r="A1351" s="6">
        <v>1350</v>
      </c>
      <c r="B1351" s="8" t="s">
        <v>14505</v>
      </c>
      <c r="C1351" s="8" t="s">
        <v>14506</v>
      </c>
      <c r="D1351" s="8" t="s">
        <v>14507</v>
      </c>
      <c r="E1351" s="8" t="s">
        <v>216</v>
      </c>
      <c r="F1351" s="8" t="s">
        <v>14508</v>
      </c>
    </row>
    <row r="1352" customHeight="1" spans="1:6">
      <c r="A1352" s="6">
        <v>1351</v>
      </c>
      <c r="B1352" s="8" t="s">
        <v>14505</v>
      </c>
      <c r="C1352" s="8" t="s">
        <v>14506</v>
      </c>
      <c r="D1352" s="8" t="s">
        <v>14507</v>
      </c>
      <c r="E1352" s="8" t="s">
        <v>216</v>
      </c>
      <c r="F1352" s="8" t="s">
        <v>14508</v>
      </c>
    </row>
    <row r="1353" customHeight="1" spans="1:6">
      <c r="A1353" s="6">
        <v>1352</v>
      </c>
      <c r="B1353" s="7" t="str">
        <f>"978-7-115-55050-7"</f>
        <v>978-7-115-55050-7</v>
      </c>
      <c r="C1353" s="7" t="str">
        <f>"专业美甲设计与制作88例"</f>
        <v>专业美甲设计与制作88例</v>
      </c>
      <c r="D1353" s="7" t="str">
        <f>"JiaNail编著"</f>
        <v>JiaNail编著</v>
      </c>
      <c r="E1353" s="7" t="str">
        <f>"人民邮电出版社"</f>
        <v>人民邮电出版社</v>
      </c>
      <c r="F1353" s="7" t="str">
        <f>"TS974.15/6"</f>
        <v>TS974.15/6</v>
      </c>
    </row>
    <row r="1354" customHeight="1" spans="1:6">
      <c r="A1354" s="6">
        <v>1353</v>
      </c>
      <c r="B1354" s="7" t="str">
        <f>"978-7-115-55050-7"</f>
        <v>978-7-115-55050-7</v>
      </c>
      <c r="C1354" s="7" t="str">
        <f>"专业美甲设计与制作88例"</f>
        <v>专业美甲设计与制作88例</v>
      </c>
      <c r="D1354" s="7" t="str">
        <f>"JiaNail编著"</f>
        <v>JiaNail编著</v>
      </c>
      <c r="E1354" s="7" t="str">
        <f>"人民邮电出版社"</f>
        <v>人民邮电出版社</v>
      </c>
      <c r="F1354" s="7" t="str">
        <f>"TS974.15/6"</f>
        <v>TS974.15/6</v>
      </c>
    </row>
    <row r="1355" customHeight="1" spans="1:6">
      <c r="A1355" s="6">
        <v>1354</v>
      </c>
      <c r="B1355" s="7" t="str">
        <f>"978-7-5356-9541-3"</f>
        <v>978-7-5356-9541-3</v>
      </c>
      <c r="C1355" s="7" t="str">
        <f>"建筑的故事"</f>
        <v>建筑的故事</v>
      </c>
      <c r="D1355" s="7" t="str">
        <f>"(英) 帕特里克·纳特金斯著；杨惠君等译"</f>
        <v>(英) 帕特里克·纳特金斯著；杨惠君等译</v>
      </c>
      <c r="E1355" s="7" t="str">
        <f>"湖南美术出版社"</f>
        <v>湖南美术出版社</v>
      </c>
      <c r="F1355" s="7" t="str">
        <f>"TU-091/37.2"</f>
        <v>TU-091/37.2</v>
      </c>
    </row>
    <row r="1356" customHeight="1" spans="1:6">
      <c r="A1356" s="6">
        <v>1355</v>
      </c>
      <c r="B1356" s="7" t="str">
        <f t="shared" ref="B1356:B1358" si="83">"978-7-108-06744-9"</f>
        <v>978-7-108-06744-9</v>
      </c>
      <c r="C1356" s="7" t="str">
        <f t="shared" ref="C1356:C1358" si="84">"伦敦的石头：十二座建筑塑名城"</f>
        <v>伦敦的石头：十二座建筑塑名城</v>
      </c>
      <c r="D1356" s="7" t="str">
        <f t="shared" ref="D1356:D1358" si="85">"(英) 利奥·霍利斯著；罗隽， 何晓昕， 鲍捷译"</f>
        <v>(英) 利奥·霍利斯著；罗隽， 何晓昕， 鲍捷译</v>
      </c>
      <c r="E1356" s="7" t="str">
        <f t="shared" ref="E1356:E1358" si="86">"三联书店"</f>
        <v>三联书店</v>
      </c>
      <c r="F1356" s="7" t="str">
        <f t="shared" ref="F1356:F1358" si="87">"TU-095/3"</f>
        <v>TU-095/3</v>
      </c>
    </row>
    <row r="1357" customHeight="1" spans="1:6">
      <c r="A1357" s="6">
        <v>1356</v>
      </c>
      <c r="B1357" s="7" t="str">
        <f t="shared" si="83"/>
        <v>978-7-108-06744-9</v>
      </c>
      <c r="C1357" s="7" t="str">
        <f t="shared" si="84"/>
        <v>伦敦的石头：十二座建筑塑名城</v>
      </c>
      <c r="D1357" s="7" t="str">
        <f t="shared" si="85"/>
        <v>(英) 利奥·霍利斯著；罗隽， 何晓昕， 鲍捷译</v>
      </c>
      <c r="E1357" s="7" t="str">
        <f t="shared" si="86"/>
        <v>三联书店</v>
      </c>
      <c r="F1357" s="7" t="str">
        <f t="shared" si="87"/>
        <v>TU-095/3</v>
      </c>
    </row>
    <row r="1358" customHeight="1" spans="1:6">
      <c r="A1358" s="6">
        <v>1357</v>
      </c>
      <c r="B1358" s="7" t="str">
        <f t="shared" si="83"/>
        <v>978-7-108-06744-9</v>
      </c>
      <c r="C1358" s="7" t="str">
        <f t="shared" si="84"/>
        <v>伦敦的石头：十二座建筑塑名城</v>
      </c>
      <c r="D1358" s="7" t="str">
        <f t="shared" si="85"/>
        <v>(英) 利奥·霍利斯著；罗隽， 何晓昕， 鲍捷译</v>
      </c>
      <c r="E1358" s="7" t="str">
        <f t="shared" si="86"/>
        <v>三联书店</v>
      </c>
      <c r="F1358" s="7" t="str">
        <f t="shared" si="87"/>
        <v>TU-095/3</v>
      </c>
    </row>
    <row r="1359" customHeight="1" spans="1:6">
      <c r="A1359" s="6">
        <v>1358</v>
      </c>
      <c r="B1359" s="7" t="str">
        <f>"978-7-111-68276-9"</f>
        <v>978-7-111-68276-9</v>
      </c>
      <c r="C1359" s="7" t="str">
        <f>"色彩手册：思考建筑和城市色彩的100个提示"</f>
        <v>色彩手册：思考建筑和城市色彩的100个提示</v>
      </c>
      <c r="D1359" s="7" t="str">
        <f>"(日) 加藤幸枝著；成潜魏 ... [等] 译"</f>
        <v>(日) 加藤幸枝著；成潜魏 ... [等] 译</v>
      </c>
      <c r="E1359" s="7" t="str">
        <f>"机械工业出版社"</f>
        <v>机械工业出版社</v>
      </c>
      <c r="F1359" s="7" t="str">
        <f>"TU115/3"</f>
        <v>TU115/3</v>
      </c>
    </row>
    <row r="1360" customHeight="1" spans="1:6">
      <c r="A1360" s="6">
        <v>1359</v>
      </c>
      <c r="B1360" s="7" t="str">
        <f>"978-7-111-68276-9"</f>
        <v>978-7-111-68276-9</v>
      </c>
      <c r="C1360" s="7" t="str">
        <f>"色彩手册：思考建筑和城市色彩的100个提示"</f>
        <v>色彩手册：思考建筑和城市色彩的100个提示</v>
      </c>
      <c r="D1360" s="7" t="str">
        <f>"(日) 加藤幸枝著；成潜魏 ... [等] 译"</f>
        <v>(日) 加藤幸枝著；成潜魏 ... [等] 译</v>
      </c>
      <c r="E1360" s="7" t="str">
        <f>"机械工业出版社"</f>
        <v>机械工业出版社</v>
      </c>
      <c r="F1360" s="7" t="str">
        <f>"TU115/3"</f>
        <v>TU115/3</v>
      </c>
    </row>
    <row r="1361" customHeight="1" spans="1:6">
      <c r="A1361" s="6">
        <v>1360</v>
      </c>
      <c r="B1361" s="7" t="str">
        <f>"978-7-5685-2978-5"</f>
        <v>978-7-5685-2978-5</v>
      </c>
      <c r="C1361" s="7" t="str">
        <f>"品牌建筑"</f>
        <v>品牌建筑</v>
      </c>
      <c r="D1361" s="7" t="str">
        <f>"(丹) BIG建筑事务所等编；唐瑞 ... [等] 译"</f>
        <v>(丹) BIG建筑事务所等编；唐瑞 ... [等] 译</v>
      </c>
      <c r="E1361" s="7" t="str">
        <f>"大连理工大学出版社"</f>
        <v>大连理工大学出版社</v>
      </c>
      <c r="F1361" s="7" t="str">
        <f>"TU2/47"</f>
        <v>TU2/47</v>
      </c>
    </row>
    <row r="1362" customHeight="1" spans="1:6">
      <c r="A1362" s="6">
        <v>1361</v>
      </c>
      <c r="B1362" s="7" t="str">
        <f>"978-7-5685-2978-5"</f>
        <v>978-7-5685-2978-5</v>
      </c>
      <c r="C1362" s="7" t="str">
        <f>"品牌建筑"</f>
        <v>品牌建筑</v>
      </c>
      <c r="D1362" s="7" t="str">
        <f>"(丹) BIG建筑事务所等编；唐瑞 ... [等] 译"</f>
        <v>(丹) BIG建筑事务所等编；唐瑞 ... [等] 译</v>
      </c>
      <c r="E1362" s="7" t="str">
        <f>"大连理工大学出版社"</f>
        <v>大连理工大学出版社</v>
      </c>
      <c r="F1362" s="7" t="str">
        <f>"TU2/47"</f>
        <v>TU2/47</v>
      </c>
    </row>
    <row r="1363" customHeight="1" spans="1:6">
      <c r="A1363" s="6">
        <v>1362</v>
      </c>
      <c r="B1363" s="7" t="str">
        <f>"978-7-108-06776-0"</f>
        <v>978-7-108-06776-0</v>
      </c>
      <c r="C1363" s="7" t="str">
        <f>"20世纪世界建筑精品1000件．第2卷：拉丁美洲"</f>
        <v>20世纪世界建筑精品1000件．第2卷：拉丁美洲</v>
      </c>
      <c r="D1363" s="7" t="str">
        <f>"总主编 (美) K.弗兰姆普敦本卷主编 (阿) J.格鲁斯堡"</f>
        <v>总主编 (美) K.弗兰姆普敦本卷主编 (阿) J.格鲁斯堡</v>
      </c>
      <c r="E1363" s="7" t="str">
        <f>"三联书店"</f>
        <v>三联书店</v>
      </c>
      <c r="F1363" s="7" t="str">
        <f>"TU206/238/2"</f>
        <v>TU206/238/2</v>
      </c>
    </row>
    <row r="1364" customHeight="1" spans="1:6">
      <c r="A1364" s="6">
        <v>1363</v>
      </c>
      <c r="B1364" s="7" t="str">
        <f>"978-7-5594-0364-3"</f>
        <v>978-7-5594-0364-3</v>
      </c>
      <c r="C1364" s="7" t="str">
        <f>"外部空间设计"</f>
        <v>外部空间设计</v>
      </c>
      <c r="D1364" s="7" t="str">
        <f>"(日) 芦原义信著；尹培洞译"</f>
        <v>(日) 芦原义信著；尹培洞译</v>
      </c>
      <c r="E1364" s="7" t="str">
        <f>"江苏凤凰文艺出版社"</f>
        <v>江苏凤凰文艺出版社</v>
      </c>
      <c r="F1364" s="7" t="str">
        <f>"TU206/239"</f>
        <v>TU206/239</v>
      </c>
    </row>
    <row r="1365" customHeight="1" spans="1:6">
      <c r="A1365" s="6">
        <v>1364</v>
      </c>
      <c r="B1365" s="7" t="str">
        <f>"978-7-5594-0364-3"</f>
        <v>978-7-5594-0364-3</v>
      </c>
      <c r="C1365" s="7" t="str">
        <f>"外部空间设计"</f>
        <v>外部空间设计</v>
      </c>
      <c r="D1365" s="7" t="str">
        <f>"(日) 芦原义信著；尹培洞译"</f>
        <v>(日) 芦原义信著；尹培洞译</v>
      </c>
      <c r="E1365" s="7" t="str">
        <f>"江苏凤凰文艺出版社"</f>
        <v>江苏凤凰文艺出版社</v>
      </c>
      <c r="F1365" s="7" t="str">
        <f>"TU206/239"</f>
        <v>TU206/239</v>
      </c>
    </row>
    <row r="1366" customHeight="1" spans="1:6">
      <c r="A1366" s="6">
        <v>1365</v>
      </c>
      <c r="B1366" s="8" t="s">
        <v>14509</v>
      </c>
      <c r="C1366" s="8" t="s">
        <v>14510</v>
      </c>
      <c r="D1366" s="8" t="s">
        <v>14511</v>
      </c>
      <c r="E1366" s="8" t="s">
        <v>33</v>
      </c>
      <c r="F1366" s="8" t="s">
        <v>14512</v>
      </c>
    </row>
    <row r="1367" customHeight="1" spans="1:6">
      <c r="A1367" s="6">
        <v>1366</v>
      </c>
      <c r="B1367" s="8" t="s">
        <v>14513</v>
      </c>
      <c r="C1367" s="8" t="s">
        <v>14514</v>
      </c>
      <c r="D1367" s="8" t="s">
        <v>14511</v>
      </c>
      <c r="E1367" s="8" t="s">
        <v>33</v>
      </c>
      <c r="F1367" s="8" t="s">
        <v>14515</v>
      </c>
    </row>
    <row r="1368" customHeight="1" spans="1:6">
      <c r="A1368" s="6">
        <v>1367</v>
      </c>
      <c r="B1368" s="8" t="s">
        <v>14516</v>
      </c>
      <c r="C1368" s="8" t="s">
        <v>14517</v>
      </c>
      <c r="D1368" s="8" t="s">
        <v>14518</v>
      </c>
      <c r="E1368" s="8" t="s">
        <v>14519</v>
      </c>
      <c r="F1368" s="8" t="s">
        <v>14520</v>
      </c>
    </row>
    <row r="1369" customHeight="1" spans="1:6">
      <c r="A1369" s="6">
        <v>1368</v>
      </c>
      <c r="B1369" s="7" t="str">
        <f>"978-7-5618-6648-1"</f>
        <v>978-7-5618-6648-1</v>
      </c>
      <c r="C1369" s="7" t="str">
        <f>"国家海洋博物馆"</f>
        <v>国家海洋博物馆</v>
      </c>
      <c r="D1369" s="7" t="str">
        <f>"黄克力主编"</f>
        <v>黄克力主编</v>
      </c>
      <c r="E1369" s="7" t="str">
        <f>"天津大学出版社"</f>
        <v>天津大学出版社</v>
      </c>
      <c r="F1369" s="7" t="str">
        <f>"TU242.5/16"</f>
        <v>TU242.5/16</v>
      </c>
    </row>
    <row r="1370" customHeight="1" spans="1:6">
      <c r="A1370" s="6">
        <v>1369</v>
      </c>
      <c r="B1370" s="7" t="str">
        <f>"978-7-5618-6648-1"</f>
        <v>978-7-5618-6648-1</v>
      </c>
      <c r="C1370" s="7" t="str">
        <f>"国家海洋博物馆"</f>
        <v>国家海洋博物馆</v>
      </c>
      <c r="D1370" s="7" t="str">
        <f>"黄克力主编"</f>
        <v>黄克力主编</v>
      </c>
      <c r="E1370" s="7" t="str">
        <f>"天津大学出版社"</f>
        <v>天津大学出版社</v>
      </c>
      <c r="F1370" s="7" t="str">
        <f>"TU242.5/16"</f>
        <v>TU242.5/16</v>
      </c>
    </row>
    <row r="1371" customHeight="1" spans="1:6">
      <c r="A1371" s="6">
        <v>1370</v>
      </c>
      <c r="B1371" s="7" t="str">
        <f>"978-7-5478-5469-3"</f>
        <v>978-7-5478-5469-3</v>
      </c>
      <c r="C1371" s="7" t="str">
        <f>"公共空间更新与再生"</f>
        <v>公共空间更新与再生</v>
      </c>
      <c r="D1371" s="7" t="str">
        <f>"(日) 马场正尊著；张美琴， 赖文波译"</f>
        <v>(日) 马场正尊著；张美琴， 赖文波译</v>
      </c>
      <c r="E1371" s="7" t="str">
        <f>"上海科学技术出版社"</f>
        <v>上海科学技术出版社</v>
      </c>
      <c r="F1371" s="7" t="str">
        <f>"TU242/27"</f>
        <v>TU242/27</v>
      </c>
    </row>
    <row r="1372" customHeight="1" spans="1:6">
      <c r="A1372" s="6">
        <v>1371</v>
      </c>
      <c r="B1372" s="7" t="str">
        <f>"978-7-5478-5469-3"</f>
        <v>978-7-5478-5469-3</v>
      </c>
      <c r="C1372" s="7" t="str">
        <f>"公共空间更新与再生"</f>
        <v>公共空间更新与再生</v>
      </c>
      <c r="D1372" s="7" t="str">
        <f>"(日) 马场正尊著；张美琴， 赖文波译"</f>
        <v>(日) 马场正尊著；张美琴， 赖文波译</v>
      </c>
      <c r="E1372" s="7" t="str">
        <f>"上海科学技术出版社"</f>
        <v>上海科学技术出版社</v>
      </c>
      <c r="F1372" s="7" t="str">
        <f>"TU242/27"</f>
        <v>TU242/27</v>
      </c>
    </row>
    <row r="1373" customHeight="1" spans="1:6">
      <c r="A1373" s="6">
        <v>1372</v>
      </c>
      <c r="B1373" s="8" t="s">
        <v>14521</v>
      </c>
      <c r="C1373" s="8" t="s">
        <v>14522</v>
      </c>
      <c r="D1373" s="8" t="s">
        <v>14523</v>
      </c>
      <c r="E1373" s="8" t="s">
        <v>8825</v>
      </c>
      <c r="F1373" s="8" t="s">
        <v>14524</v>
      </c>
    </row>
    <row r="1374" customHeight="1" spans="1:6">
      <c r="A1374" s="6">
        <v>1373</v>
      </c>
      <c r="B1374" s="8" t="s">
        <v>14521</v>
      </c>
      <c r="C1374" s="8" t="s">
        <v>14522</v>
      </c>
      <c r="D1374" s="8" t="s">
        <v>14523</v>
      </c>
      <c r="E1374" s="8" t="s">
        <v>8825</v>
      </c>
      <c r="F1374" s="8" t="s">
        <v>14524</v>
      </c>
    </row>
    <row r="1375" customHeight="1" spans="1:6">
      <c r="A1375" s="6">
        <v>1374</v>
      </c>
      <c r="B1375" s="8" t="s">
        <v>14525</v>
      </c>
      <c r="C1375" s="8" t="s">
        <v>14526</v>
      </c>
      <c r="D1375" s="8" t="s">
        <v>14527</v>
      </c>
      <c r="E1375" s="8" t="s">
        <v>261</v>
      </c>
      <c r="F1375" s="8" t="s">
        <v>14528</v>
      </c>
    </row>
    <row r="1376" customHeight="1" spans="1:6">
      <c r="A1376" s="6">
        <v>1375</v>
      </c>
      <c r="B1376" s="8" t="s">
        <v>14525</v>
      </c>
      <c r="C1376" s="8" t="s">
        <v>14526</v>
      </c>
      <c r="D1376" s="8" t="s">
        <v>14527</v>
      </c>
      <c r="E1376" s="8" t="s">
        <v>261</v>
      </c>
      <c r="F1376" s="8" t="s">
        <v>14528</v>
      </c>
    </row>
    <row r="1377" customHeight="1" spans="1:6">
      <c r="A1377" s="6">
        <v>1376</v>
      </c>
      <c r="B1377" s="8" t="s">
        <v>14525</v>
      </c>
      <c r="C1377" s="8" t="s">
        <v>14526</v>
      </c>
      <c r="D1377" s="8" t="s">
        <v>14527</v>
      </c>
      <c r="E1377" s="8" t="s">
        <v>261</v>
      </c>
      <c r="F1377" s="8" t="s">
        <v>14528</v>
      </c>
    </row>
    <row r="1378" customHeight="1" spans="1:6">
      <c r="A1378" s="6">
        <v>1377</v>
      </c>
      <c r="B1378" s="8" t="s">
        <v>14529</v>
      </c>
      <c r="C1378" s="8" t="s">
        <v>14530</v>
      </c>
      <c r="D1378" s="8" t="s">
        <v>14531</v>
      </c>
      <c r="E1378" s="8" t="s">
        <v>1252</v>
      </c>
      <c r="F1378" s="8" t="s">
        <v>14532</v>
      </c>
    </row>
    <row r="1379" customHeight="1" spans="1:6">
      <c r="A1379" s="6">
        <v>1378</v>
      </c>
      <c r="B1379" s="8" t="s">
        <v>14529</v>
      </c>
      <c r="C1379" s="8" t="s">
        <v>14530</v>
      </c>
      <c r="D1379" s="8" t="s">
        <v>14531</v>
      </c>
      <c r="E1379" s="8" t="s">
        <v>1252</v>
      </c>
      <c r="F1379" s="8" t="s">
        <v>14532</v>
      </c>
    </row>
    <row r="1380" customHeight="1" spans="1:6">
      <c r="A1380" s="6">
        <v>1379</v>
      </c>
      <c r="B1380" s="8" t="s">
        <v>14533</v>
      </c>
      <c r="C1380" s="8" t="s">
        <v>14534</v>
      </c>
      <c r="D1380" s="8" t="s">
        <v>14535</v>
      </c>
      <c r="E1380" s="8" t="s">
        <v>9114</v>
      </c>
      <c r="F1380" s="8" t="s">
        <v>14536</v>
      </c>
    </row>
    <row r="1381" customHeight="1" spans="1:6">
      <c r="A1381" s="6">
        <v>1380</v>
      </c>
      <c r="B1381" s="8" t="s">
        <v>14533</v>
      </c>
      <c r="C1381" s="8" t="s">
        <v>14534</v>
      </c>
      <c r="D1381" s="8" t="s">
        <v>14535</v>
      </c>
      <c r="E1381" s="8" t="s">
        <v>9114</v>
      </c>
      <c r="F1381" s="8" t="s">
        <v>14536</v>
      </c>
    </row>
    <row r="1382" customHeight="1" spans="1:6">
      <c r="A1382" s="6">
        <v>1381</v>
      </c>
      <c r="B1382" s="8" t="s">
        <v>14537</v>
      </c>
      <c r="C1382" s="8" t="s">
        <v>14538</v>
      </c>
      <c r="D1382" s="8" t="s">
        <v>14539</v>
      </c>
      <c r="E1382" s="8" t="s">
        <v>665</v>
      </c>
      <c r="F1382" s="8" t="s">
        <v>14540</v>
      </c>
    </row>
    <row r="1383" customHeight="1" spans="1:6">
      <c r="A1383" s="6">
        <v>1382</v>
      </c>
      <c r="B1383" s="8" t="s">
        <v>14537</v>
      </c>
      <c r="C1383" s="8" t="s">
        <v>14538</v>
      </c>
      <c r="D1383" s="8" t="s">
        <v>14539</v>
      </c>
      <c r="E1383" s="8" t="s">
        <v>665</v>
      </c>
      <c r="F1383" s="8" t="s">
        <v>14540</v>
      </c>
    </row>
    <row r="1384" customHeight="1" spans="1:6">
      <c r="A1384" s="6">
        <v>1383</v>
      </c>
      <c r="B1384" s="8" t="s">
        <v>14541</v>
      </c>
      <c r="C1384" s="8" t="s">
        <v>14542</v>
      </c>
      <c r="D1384" s="8" t="s">
        <v>14543</v>
      </c>
      <c r="E1384" s="8" t="s">
        <v>4855</v>
      </c>
      <c r="F1384" s="8" t="s">
        <v>14544</v>
      </c>
    </row>
    <row r="1385" customHeight="1" spans="1:6">
      <c r="A1385" s="6">
        <v>1384</v>
      </c>
      <c r="B1385" s="8" t="s">
        <v>14541</v>
      </c>
      <c r="C1385" s="8" t="s">
        <v>14542</v>
      </c>
      <c r="D1385" s="8" t="s">
        <v>14543</v>
      </c>
      <c r="E1385" s="8" t="s">
        <v>4855</v>
      </c>
      <c r="F1385" s="8" t="s">
        <v>14544</v>
      </c>
    </row>
    <row r="1386" customHeight="1" spans="1:6">
      <c r="A1386" s="6">
        <v>1385</v>
      </c>
      <c r="B1386" s="8" t="s">
        <v>14545</v>
      </c>
      <c r="C1386" s="8" t="s">
        <v>14546</v>
      </c>
      <c r="D1386" s="8" t="s">
        <v>14547</v>
      </c>
      <c r="E1386" s="8" t="s">
        <v>10196</v>
      </c>
      <c r="F1386" s="8" t="s">
        <v>14548</v>
      </c>
    </row>
    <row r="1387" customHeight="1" spans="1:6">
      <c r="A1387" s="6">
        <v>1386</v>
      </c>
      <c r="B1387" s="8" t="s">
        <v>14545</v>
      </c>
      <c r="C1387" s="8" t="s">
        <v>14546</v>
      </c>
      <c r="D1387" s="8" t="s">
        <v>14547</v>
      </c>
      <c r="E1387" s="8" t="s">
        <v>10196</v>
      </c>
      <c r="F1387" s="8" t="s">
        <v>14548</v>
      </c>
    </row>
    <row r="1388" customHeight="1" spans="1:6">
      <c r="A1388" s="6">
        <v>1387</v>
      </c>
      <c r="B1388" s="8" t="s">
        <v>14549</v>
      </c>
      <c r="C1388" s="8" t="s">
        <v>14550</v>
      </c>
      <c r="D1388" s="8" t="s">
        <v>14551</v>
      </c>
      <c r="E1388" s="8" t="s">
        <v>3180</v>
      </c>
      <c r="F1388" s="8" t="s">
        <v>14552</v>
      </c>
    </row>
    <row r="1389" customHeight="1" spans="1:6">
      <c r="A1389" s="6">
        <v>1388</v>
      </c>
      <c r="B1389" s="8" t="s">
        <v>14549</v>
      </c>
      <c r="C1389" s="8" t="s">
        <v>14550</v>
      </c>
      <c r="D1389" s="8" t="s">
        <v>14551</v>
      </c>
      <c r="E1389" s="8" t="s">
        <v>3180</v>
      </c>
      <c r="F1389" s="8" t="s">
        <v>14552</v>
      </c>
    </row>
    <row r="1390" customHeight="1" spans="1:6">
      <c r="A1390" s="6">
        <v>1389</v>
      </c>
      <c r="B1390" s="8" t="s">
        <v>14553</v>
      </c>
      <c r="C1390" s="8" t="s">
        <v>14554</v>
      </c>
      <c r="D1390" s="8" t="s">
        <v>14555</v>
      </c>
      <c r="E1390" s="8" t="s">
        <v>675</v>
      </c>
      <c r="F1390" s="8" t="s">
        <v>14556</v>
      </c>
    </row>
    <row r="1391" customHeight="1" spans="1:6">
      <c r="A1391" s="6">
        <v>1390</v>
      </c>
      <c r="B1391" s="8" t="s">
        <v>14553</v>
      </c>
      <c r="C1391" s="8" t="s">
        <v>14554</v>
      </c>
      <c r="D1391" s="8" t="s">
        <v>14555</v>
      </c>
      <c r="E1391" s="8" t="s">
        <v>675</v>
      </c>
      <c r="F1391" s="8" t="s">
        <v>14556</v>
      </c>
    </row>
    <row r="1392" customHeight="1" spans="1:6">
      <c r="A1392" s="6">
        <v>1391</v>
      </c>
      <c r="B1392" s="8" t="s">
        <v>14557</v>
      </c>
      <c r="C1392" s="8" t="s">
        <v>14558</v>
      </c>
      <c r="D1392" s="8" t="s">
        <v>8403</v>
      </c>
      <c r="E1392" s="8" t="s">
        <v>1189</v>
      </c>
      <c r="F1392" s="8" t="s">
        <v>14559</v>
      </c>
    </row>
    <row r="1393" customHeight="1" spans="1:6">
      <c r="A1393" s="6">
        <v>1392</v>
      </c>
      <c r="B1393" s="8" t="s">
        <v>14557</v>
      </c>
      <c r="C1393" s="8" t="s">
        <v>14558</v>
      </c>
      <c r="D1393" s="8" t="s">
        <v>8403</v>
      </c>
      <c r="E1393" s="8" t="s">
        <v>1189</v>
      </c>
      <c r="F1393" s="8" t="s">
        <v>14559</v>
      </c>
    </row>
    <row r="1394" customHeight="1" spans="1:6">
      <c r="A1394" s="6">
        <v>1393</v>
      </c>
      <c r="B1394" s="8" t="s">
        <v>14560</v>
      </c>
      <c r="C1394" s="8" t="s">
        <v>14561</v>
      </c>
      <c r="D1394" s="8" t="s">
        <v>14562</v>
      </c>
      <c r="E1394" s="8" t="s">
        <v>1189</v>
      </c>
      <c r="F1394" s="8" t="s">
        <v>14563</v>
      </c>
    </row>
    <row r="1395" customHeight="1" spans="1:6">
      <c r="A1395" s="6">
        <v>1394</v>
      </c>
      <c r="B1395" s="8" t="s">
        <v>14560</v>
      </c>
      <c r="C1395" s="8" t="s">
        <v>14561</v>
      </c>
      <c r="D1395" s="8" t="s">
        <v>14562</v>
      </c>
      <c r="E1395" s="8" t="s">
        <v>1189</v>
      </c>
      <c r="F1395" s="8" t="s">
        <v>14563</v>
      </c>
    </row>
    <row r="1396" customHeight="1" spans="1:6">
      <c r="A1396" s="6">
        <v>1395</v>
      </c>
      <c r="B1396" s="8" t="s">
        <v>14564</v>
      </c>
      <c r="C1396" s="8" t="s">
        <v>14565</v>
      </c>
      <c r="D1396" s="8" t="s">
        <v>14566</v>
      </c>
      <c r="E1396" s="8" t="s">
        <v>1189</v>
      </c>
      <c r="F1396" s="8" t="s">
        <v>14567</v>
      </c>
    </row>
    <row r="1397" customHeight="1" spans="1:6">
      <c r="A1397" s="6">
        <v>1396</v>
      </c>
      <c r="B1397" s="8" t="s">
        <v>14564</v>
      </c>
      <c r="C1397" s="8" t="s">
        <v>14565</v>
      </c>
      <c r="D1397" s="8" t="s">
        <v>14566</v>
      </c>
      <c r="E1397" s="8" t="s">
        <v>1189</v>
      </c>
      <c r="F1397" s="8" t="s">
        <v>14567</v>
      </c>
    </row>
    <row r="1398" customHeight="1" spans="1:6">
      <c r="A1398" s="6">
        <v>1397</v>
      </c>
      <c r="B1398" s="8" t="s">
        <v>14568</v>
      </c>
      <c r="C1398" s="8" t="s">
        <v>14569</v>
      </c>
      <c r="D1398" s="8" t="s">
        <v>14570</v>
      </c>
      <c r="E1398" s="8" t="s">
        <v>665</v>
      </c>
      <c r="F1398" s="8" t="s">
        <v>14571</v>
      </c>
    </row>
    <row r="1399" customHeight="1" spans="1:6">
      <c r="A1399" s="6">
        <v>1398</v>
      </c>
      <c r="B1399" s="8" t="s">
        <v>14568</v>
      </c>
      <c r="C1399" s="8" t="s">
        <v>14569</v>
      </c>
      <c r="D1399" s="8" t="s">
        <v>14570</v>
      </c>
      <c r="E1399" s="8" t="s">
        <v>665</v>
      </c>
      <c r="F1399" s="8" t="s">
        <v>14571</v>
      </c>
    </row>
    <row r="1400" customHeight="1" spans="1:6">
      <c r="A1400" s="6">
        <v>1399</v>
      </c>
      <c r="B1400" s="8" t="s">
        <v>14572</v>
      </c>
      <c r="C1400" s="8" t="s">
        <v>14573</v>
      </c>
      <c r="D1400" s="8" t="s">
        <v>14574</v>
      </c>
      <c r="E1400" s="8" t="s">
        <v>3098</v>
      </c>
      <c r="F1400" s="8" t="s">
        <v>14575</v>
      </c>
    </row>
    <row r="1401" customHeight="1" spans="1:6">
      <c r="A1401" s="6">
        <v>1400</v>
      </c>
      <c r="B1401" s="8" t="s">
        <v>14572</v>
      </c>
      <c r="C1401" s="8" t="s">
        <v>14573</v>
      </c>
      <c r="D1401" s="8" t="s">
        <v>14574</v>
      </c>
      <c r="E1401" s="8" t="s">
        <v>3098</v>
      </c>
      <c r="F1401" s="8" t="s">
        <v>14575</v>
      </c>
    </row>
    <row r="1402" customHeight="1" spans="1:6">
      <c r="A1402" s="6">
        <v>1401</v>
      </c>
      <c r="B1402" s="8" t="s">
        <v>14576</v>
      </c>
      <c r="C1402" s="8" t="s">
        <v>14577</v>
      </c>
      <c r="D1402" s="8" t="s">
        <v>14578</v>
      </c>
      <c r="E1402" s="8" t="s">
        <v>33</v>
      </c>
      <c r="F1402" s="8" t="s">
        <v>14579</v>
      </c>
    </row>
    <row r="1403" customHeight="1" spans="1:6">
      <c r="A1403" s="6">
        <v>1402</v>
      </c>
      <c r="B1403" s="8" t="s">
        <v>14576</v>
      </c>
      <c r="C1403" s="8" t="s">
        <v>14577</v>
      </c>
      <c r="D1403" s="8" t="s">
        <v>14578</v>
      </c>
      <c r="E1403" s="8" t="s">
        <v>33</v>
      </c>
      <c r="F1403" s="8" t="s">
        <v>14579</v>
      </c>
    </row>
    <row r="1404" customHeight="1" spans="1:6">
      <c r="A1404" s="6">
        <v>1403</v>
      </c>
      <c r="B1404" s="8" t="s">
        <v>14580</v>
      </c>
      <c r="C1404" s="8" t="s">
        <v>14581</v>
      </c>
      <c r="D1404" s="8" t="s">
        <v>14582</v>
      </c>
      <c r="E1404" s="8" t="s">
        <v>1189</v>
      </c>
      <c r="F1404" s="8" t="s">
        <v>14583</v>
      </c>
    </row>
    <row r="1405" customHeight="1" spans="1:6">
      <c r="A1405" s="6">
        <v>1404</v>
      </c>
      <c r="B1405" s="8" t="s">
        <v>14580</v>
      </c>
      <c r="C1405" s="8" t="s">
        <v>14581</v>
      </c>
      <c r="D1405" s="8" t="s">
        <v>14582</v>
      </c>
      <c r="E1405" s="8" t="s">
        <v>1189</v>
      </c>
      <c r="F1405" s="8" t="s">
        <v>14583</v>
      </c>
    </row>
    <row r="1406" customHeight="1" spans="1:6">
      <c r="A1406" s="6">
        <v>1405</v>
      </c>
      <c r="B1406" s="7" t="str">
        <f>"978-7-101-15189-3"</f>
        <v>978-7-101-15189-3</v>
      </c>
      <c r="C1406" s="7" t="str">
        <f>"建筑中国：半片砖瓦到十里楼台"</f>
        <v>建筑中国：半片砖瓦到十里楼台</v>
      </c>
      <c r="D1406" s="7" t="str">
        <f>"王振复著"</f>
        <v>王振复著</v>
      </c>
      <c r="E1406" s="7" t="str">
        <f>"中华书局"</f>
        <v>中华书局</v>
      </c>
      <c r="F1406" s="7" t="str">
        <f>"TU-862/19"</f>
        <v>TU-862/19</v>
      </c>
    </row>
    <row r="1407" customHeight="1" spans="1:6">
      <c r="A1407" s="6">
        <v>1406</v>
      </c>
      <c r="B1407" s="7" t="str">
        <f>"978-7-101-15189-3"</f>
        <v>978-7-101-15189-3</v>
      </c>
      <c r="C1407" s="7" t="str">
        <f>"建筑中国：半片砖瓦到十里楼台"</f>
        <v>建筑中国：半片砖瓦到十里楼台</v>
      </c>
      <c r="D1407" s="7" t="str">
        <f>"王振复著"</f>
        <v>王振复著</v>
      </c>
      <c r="E1407" s="7" t="str">
        <f>"中华书局"</f>
        <v>中华书局</v>
      </c>
      <c r="F1407" s="7" t="str">
        <f>"TU-862/19"</f>
        <v>TU-862/19</v>
      </c>
    </row>
    <row r="1408" customHeight="1" spans="1:6">
      <c r="A1408" s="6">
        <v>1407</v>
      </c>
      <c r="B1408" s="7" t="str">
        <f>"978-7-5714-0517-5"</f>
        <v>978-7-5714-0517-5</v>
      </c>
      <c r="C1408" s="7" t="str">
        <f>"人性场所：城市开放空间设计导则"</f>
        <v>人性场所：城市开放空间设计导则</v>
      </c>
      <c r="D1408" s="7" t="str">
        <f>"(美) 克莱尔·库珀·马库斯， 卡罗琳·弗朗西斯编著；俞孔坚， 王志芳， 孙鹏等译"</f>
        <v>(美) 克莱尔·库珀·马库斯， 卡罗琳·弗朗西斯编著；俞孔坚， 王志芳， 孙鹏等译</v>
      </c>
      <c r="E1408" s="7" t="str">
        <f>"北京科学技术出版社"</f>
        <v>北京科学技术出版社</v>
      </c>
      <c r="F1408" s="7" t="str">
        <f>"TU984.11/24=2D"</f>
        <v>TU984.11/24=2D</v>
      </c>
    </row>
    <row r="1409" customHeight="1" spans="1:6">
      <c r="A1409" s="6">
        <v>1408</v>
      </c>
      <c r="B1409" s="7" t="str">
        <f>"978-7-5714-0517-5"</f>
        <v>978-7-5714-0517-5</v>
      </c>
      <c r="C1409" s="7" t="str">
        <f>"人性场所：城市开放空间设计导则"</f>
        <v>人性场所：城市开放空间设计导则</v>
      </c>
      <c r="D1409" s="7" t="str">
        <f>"(美) 克莱尔·库珀·马库斯， 卡罗琳·弗朗西斯编著；俞孔坚， 王志芳， 孙鹏等译"</f>
        <v>(美) 克莱尔·库珀·马库斯， 卡罗琳·弗朗西斯编著；俞孔坚， 王志芳， 孙鹏等译</v>
      </c>
      <c r="E1409" s="7" t="str">
        <f>"北京科学技术出版社"</f>
        <v>北京科学技术出版社</v>
      </c>
      <c r="F1409" s="7" t="str">
        <f>"TU984.11/24=2D"</f>
        <v>TU984.11/24=2D</v>
      </c>
    </row>
    <row r="1410" customHeight="1" spans="1:6">
      <c r="A1410" s="6">
        <v>1409</v>
      </c>
      <c r="B1410" s="7" t="str">
        <f>"978-7-112-05202-8"</f>
        <v>978-7-112-05202-8</v>
      </c>
      <c r="C1410" s="7" t="str">
        <f>"交往与空间"</f>
        <v>交往与空间</v>
      </c>
      <c r="D1410" s="7" t="str">
        <f>"(丹麦) 扬·盖尔著；何人可译"</f>
        <v>(丹麦) 扬·盖尔著；何人可译</v>
      </c>
      <c r="E1410" s="7" t="str">
        <f>"中国建筑工业出版社"</f>
        <v>中国建筑工业出版社</v>
      </c>
      <c r="F1410" s="7" t="str">
        <f>"TU984.11/25"</f>
        <v>TU984.11/25</v>
      </c>
    </row>
    <row r="1411" customHeight="1" spans="1:6">
      <c r="A1411" s="6">
        <v>1410</v>
      </c>
      <c r="B1411" s="7" t="str">
        <f>"978-7-112-05202-8"</f>
        <v>978-7-112-05202-8</v>
      </c>
      <c r="C1411" s="7" t="str">
        <f>"交往与空间"</f>
        <v>交往与空间</v>
      </c>
      <c r="D1411" s="7" t="str">
        <f>"(丹麦) 扬·盖尔著；何人可译"</f>
        <v>(丹麦) 扬·盖尔著；何人可译</v>
      </c>
      <c r="E1411" s="7" t="str">
        <f>"中国建筑工业出版社"</f>
        <v>中国建筑工业出版社</v>
      </c>
      <c r="F1411" s="7" t="str">
        <f>"TU984.11/25"</f>
        <v>TU984.11/25</v>
      </c>
    </row>
    <row r="1412" customHeight="1" spans="1:6">
      <c r="A1412" s="6">
        <v>1411</v>
      </c>
      <c r="B1412" s="7" t="str">
        <f>"978-7-5160-3280-0"</f>
        <v>978-7-5160-3280-0</v>
      </c>
      <c r="C1412" s="7" t="str">
        <f>"小城镇更新：建成环境的可持续更新策略与案例：the sustainable renewal strategy and case study of built environment"</f>
        <v>小城镇更新：建成环境的可持续更新策略与案例：the sustainable renewal strategy and case study of built environment</v>
      </c>
      <c r="D1412" s="7" t="str">
        <f>"李乘著"</f>
        <v>李乘著</v>
      </c>
      <c r="E1412" s="7" t="str">
        <f>"中国建材工业出版社"</f>
        <v>中国建材工业出版社</v>
      </c>
      <c r="F1412" s="7" t="str">
        <f>"TU984.2/50"</f>
        <v>TU984.2/50</v>
      </c>
    </row>
    <row r="1413" customHeight="1" spans="1:6">
      <c r="A1413" s="6">
        <v>1412</v>
      </c>
      <c r="B1413" s="7" t="str">
        <f>"978-7-5160-3280-0"</f>
        <v>978-7-5160-3280-0</v>
      </c>
      <c r="C1413" s="7" t="str">
        <f>"小城镇更新：建成环境的可持续更新策略与案例：the sustainable renewal strategy and case study of built environment"</f>
        <v>小城镇更新：建成环境的可持续更新策略与案例：the sustainable renewal strategy and case study of built environment</v>
      </c>
      <c r="D1413" s="7" t="str">
        <f>"李乘著"</f>
        <v>李乘著</v>
      </c>
      <c r="E1413" s="7" t="str">
        <f>"中国建材工业出版社"</f>
        <v>中国建材工业出版社</v>
      </c>
      <c r="F1413" s="7" t="str">
        <f>"TU984.2/50"</f>
        <v>TU984.2/50</v>
      </c>
    </row>
    <row r="1414" customHeight="1" spans="1:6">
      <c r="A1414" s="6">
        <v>1413</v>
      </c>
      <c r="B1414" s="7" t="str">
        <f>"978-7-5447-4058-6"</f>
        <v>978-7-5447-4058-6</v>
      </c>
      <c r="C1414" s="7" t="str">
        <f>"美国大城市的死与生"</f>
        <v>美国大城市的死与生</v>
      </c>
      <c r="D1414" s="7" t="str">
        <f>"(加拿大) 简·雅各布斯著；金衡山译"</f>
        <v>(加拿大) 简·雅各布斯著；金衡山译</v>
      </c>
      <c r="E1414" s="7" t="str">
        <f>"译林出版社"</f>
        <v>译林出版社</v>
      </c>
      <c r="F1414" s="7" t="str">
        <f>"TU984.712/7-2"</f>
        <v>TU984.712/7-2</v>
      </c>
    </row>
    <row r="1415" customHeight="1" spans="1:6">
      <c r="A1415" s="6">
        <v>1414</v>
      </c>
      <c r="B1415" s="7" t="str">
        <f>"978-7-5447-4058-6"</f>
        <v>978-7-5447-4058-6</v>
      </c>
      <c r="C1415" s="7" t="str">
        <f>"美国大城市的死与生"</f>
        <v>美国大城市的死与生</v>
      </c>
      <c r="D1415" s="7" t="str">
        <f>"(加拿大) 简·雅各布斯著；金衡山译"</f>
        <v>(加拿大) 简·雅各布斯著；金衡山译</v>
      </c>
      <c r="E1415" s="7" t="str">
        <f>"译林出版社"</f>
        <v>译林出版社</v>
      </c>
      <c r="F1415" s="7" t="str">
        <f>"TU984.712/7-2"</f>
        <v>TU984.712/7-2</v>
      </c>
    </row>
    <row r="1416" customHeight="1" spans="1:6">
      <c r="A1416" s="6">
        <v>1415</v>
      </c>
      <c r="B1416" s="8" t="s">
        <v>14584</v>
      </c>
      <c r="C1416" s="8" t="s">
        <v>14585</v>
      </c>
      <c r="D1416" s="8" t="s">
        <v>14586</v>
      </c>
      <c r="E1416" s="8" t="s">
        <v>10491</v>
      </c>
      <c r="F1416" s="8" t="s">
        <v>14587</v>
      </c>
    </row>
    <row r="1417" customHeight="1" spans="1:6">
      <c r="A1417" s="6">
        <v>1416</v>
      </c>
      <c r="B1417" s="8" t="s">
        <v>14584</v>
      </c>
      <c r="C1417" s="8" t="s">
        <v>14585</v>
      </c>
      <c r="D1417" s="8" t="s">
        <v>14586</v>
      </c>
      <c r="E1417" s="8" t="s">
        <v>10491</v>
      </c>
      <c r="F1417" s="8" t="s">
        <v>14587</v>
      </c>
    </row>
    <row r="1418" customHeight="1" spans="1:6">
      <c r="A1418" s="6">
        <v>1417</v>
      </c>
      <c r="B1418" s="7" t="str">
        <f t="shared" ref="B1418:B1420" si="88">"978-7-214-06949-8"</f>
        <v>978-7-214-06949-8</v>
      </c>
      <c r="C1418" s="7" t="str">
        <f t="shared" ref="C1418:C1420" si="89">"工程国家：民国时期 (1927-1937) 的淮河治理及国家建设：the Huai River and reconstruction nationalist China (1927-1937)"</f>
        <v>工程国家：民国时期 (1927-1937) 的淮河治理及国家建设：the Huai River and reconstruction nationalist China (1927-1937)</v>
      </c>
      <c r="D1418" s="7" t="str">
        <f t="shared" ref="D1418:D1420" si="90">"(美) 戴维·艾伦·佩兹著；姜智芹译"</f>
        <v>(美) 戴维·艾伦·佩兹著；姜智芹译</v>
      </c>
      <c r="E1418" s="7" t="str">
        <f t="shared" ref="E1418:E1420" si="91">"江苏人民出版社"</f>
        <v>江苏人民出版社</v>
      </c>
      <c r="F1418" s="7" t="str">
        <f t="shared" ref="F1418:F1420" si="92">"TV882.3/2"</f>
        <v>TV882.3/2</v>
      </c>
    </row>
    <row r="1419" customHeight="1" spans="1:6">
      <c r="A1419" s="6">
        <v>1418</v>
      </c>
      <c r="B1419" s="7" t="str">
        <f t="shared" si="88"/>
        <v>978-7-214-06949-8</v>
      </c>
      <c r="C1419" s="7" t="str">
        <f t="shared" si="89"/>
        <v>工程国家：民国时期 (1927-1937) 的淮河治理及国家建设：the Huai River and reconstruction nationalist China (1927-1937)</v>
      </c>
      <c r="D1419" s="7" t="str">
        <f t="shared" si="90"/>
        <v>(美) 戴维·艾伦·佩兹著；姜智芹译</v>
      </c>
      <c r="E1419" s="7" t="str">
        <f t="shared" si="91"/>
        <v>江苏人民出版社</v>
      </c>
      <c r="F1419" s="7" t="str">
        <f t="shared" si="92"/>
        <v>TV882.3/2</v>
      </c>
    </row>
    <row r="1420" customHeight="1" spans="1:6">
      <c r="A1420" s="6">
        <v>1419</v>
      </c>
      <c r="B1420" s="7" t="str">
        <f t="shared" si="88"/>
        <v>978-7-214-06949-8</v>
      </c>
      <c r="C1420" s="7" t="str">
        <f t="shared" si="89"/>
        <v>工程国家：民国时期 (1927-1937) 的淮河治理及国家建设：the Huai River and reconstruction nationalist China (1927-1937)</v>
      </c>
      <c r="D1420" s="7" t="str">
        <f t="shared" si="90"/>
        <v>(美) 戴维·艾伦·佩兹著；姜智芹译</v>
      </c>
      <c r="E1420" s="7" t="str">
        <f t="shared" si="91"/>
        <v>江苏人民出版社</v>
      </c>
      <c r="F1420" s="7" t="str">
        <f t="shared" si="92"/>
        <v>TV882.3/2</v>
      </c>
    </row>
  </sheetData>
  <pageMargins left="0.75" right="0.75" top="1" bottom="1" header="0.5" footer="0.5"/>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9" tint="0.8"/>
  </sheetPr>
  <dimension ref="A1:F619"/>
  <sheetViews>
    <sheetView workbookViewId="0">
      <selection activeCell="E33" sqref="E33"/>
    </sheetView>
  </sheetViews>
  <sheetFormatPr defaultColWidth="9" defaultRowHeight="18" customHeight="1" outlineLevelCol="5"/>
  <cols>
    <col min="1" max="1" width="5.375" style="12" customWidth="1"/>
    <col min="2" max="2" width="19.375" customWidth="1"/>
    <col min="3" max="3" width="45.625" customWidth="1"/>
    <col min="4" max="4" width="35.625" customWidth="1"/>
    <col min="5" max="5" width="27.125" customWidth="1"/>
    <col min="6" max="6" width="13.875" customWidth="1"/>
  </cols>
  <sheetData>
    <row r="1" s="1" customFormat="1" customHeight="1" spans="1:6">
      <c r="A1" s="5" t="s">
        <v>8186</v>
      </c>
      <c r="B1" s="5" t="s">
        <v>8187</v>
      </c>
      <c r="C1" s="5" t="s">
        <v>8188</v>
      </c>
      <c r="D1" s="5" t="s">
        <v>8189</v>
      </c>
      <c r="E1" s="5" t="s">
        <v>8190</v>
      </c>
      <c r="F1" s="5" t="s">
        <v>8191</v>
      </c>
    </row>
    <row r="2" customHeight="1" spans="1:6">
      <c r="A2" s="6">
        <v>1</v>
      </c>
      <c r="B2" s="7" t="str">
        <f>"978-7-5723-0283-1"</f>
        <v>978-7-5723-0283-1</v>
      </c>
      <c r="C2" s="7" t="str">
        <f>"医学3D打印技术基础与应用"</f>
        <v>医学3D打印技术基础与应用</v>
      </c>
      <c r="D2" s="7" t="str">
        <f>"主编陆声， 赵宇"</f>
        <v>主编陆声， 赵宇</v>
      </c>
      <c r="E2" s="7" t="str">
        <f>"山东科学技术出版社"</f>
        <v>山东科学技术出版社</v>
      </c>
      <c r="F2" s="7" t="str">
        <f>"R/152"</f>
        <v>R/152</v>
      </c>
    </row>
    <row r="3" customHeight="1" spans="1:6">
      <c r="A3" s="6">
        <v>2</v>
      </c>
      <c r="B3" s="7" t="str">
        <f>"978-7-5723-0283-1"</f>
        <v>978-7-5723-0283-1</v>
      </c>
      <c r="C3" s="7" t="str">
        <f>"医学3D打印技术基础与应用"</f>
        <v>医学3D打印技术基础与应用</v>
      </c>
      <c r="D3" s="7" t="str">
        <f>"主编陆声， 赵宇"</f>
        <v>主编陆声， 赵宇</v>
      </c>
      <c r="E3" s="7" t="str">
        <f>"山东科学技术出版社"</f>
        <v>山东科学技术出版社</v>
      </c>
      <c r="F3" s="7" t="str">
        <f>"R/152"</f>
        <v>R/152</v>
      </c>
    </row>
    <row r="4" customHeight="1" spans="1:6">
      <c r="A4" s="6">
        <v>3</v>
      </c>
      <c r="B4" s="7" t="str">
        <f t="shared" ref="B4:B6" si="0">"978-7-108-04845-5"</f>
        <v>978-7-108-04845-5</v>
      </c>
      <c r="C4" s="7" t="str">
        <f t="shared" ref="C4:C6" si="1">"违童之愿：冷战时期美国儿童医学实验秘史：the secret history of medical experimentation on children in Cold War America"</f>
        <v>违童之愿：冷战时期美国儿童医学实验秘史：the secret history of medical experimentation on children in Cold War America</v>
      </c>
      <c r="D4" s="7" t="str">
        <f t="shared" ref="D4:D6" si="2">"(美) 艾伦·M·霍恩布鲁姆， 朱迪斯·L·纽曼， 格雷戈里·J·多贝尔著Allen M. Hornblum， Judith L. Newman， Gregory J. Dober；丁立松译"</f>
        <v>(美) 艾伦·M·霍恩布鲁姆， 朱迪斯·L·纽曼， 格雷戈里·J·多贝尔著Allen M. Hornblum， Judith L. Newman， Gregory J. Dober；丁立松译</v>
      </c>
      <c r="E4" s="7" t="str">
        <f t="shared" ref="E4:E6" si="3">"三联书店"</f>
        <v>三联书店</v>
      </c>
      <c r="F4" s="7" t="str">
        <f t="shared" ref="F4:F6" si="4">"R-0/3"</f>
        <v>R-0/3</v>
      </c>
    </row>
    <row r="5" customHeight="1" spans="1:6">
      <c r="A5" s="6">
        <v>4</v>
      </c>
      <c r="B5" s="7" t="str">
        <f t="shared" si="0"/>
        <v>978-7-108-04845-5</v>
      </c>
      <c r="C5" s="7" t="str">
        <f t="shared" si="1"/>
        <v>违童之愿：冷战时期美国儿童医学实验秘史：the secret history of medical experimentation on children in Cold War America</v>
      </c>
      <c r="D5" s="7" t="str">
        <f t="shared" si="2"/>
        <v>(美) 艾伦·M·霍恩布鲁姆， 朱迪斯·L·纽曼， 格雷戈里·J·多贝尔著Allen M. Hornblum， Judith L. Newman， Gregory J. Dober；丁立松译</v>
      </c>
      <c r="E5" s="7" t="str">
        <f t="shared" si="3"/>
        <v>三联书店</v>
      </c>
      <c r="F5" s="7" t="str">
        <f t="shared" si="4"/>
        <v>R-0/3</v>
      </c>
    </row>
    <row r="6" customHeight="1" spans="1:6">
      <c r="A6" s="6">
        <v>5</v>
      </c>
      <c r="B6" s="7" t="str">
        <f t="shared" si="0"/>
        <v>978-7-108-04845-5</v>
      </c>
      <c r="C6" s="7" t="str">
        <f t="shared" si="1"/>
        <v>违童之愿：冷战时期美国儿童医学实验秘史：the secret history of medical experimentation on children in Cold War America</v>
      </c>
      <c r="D6" s="7" t="str">
        <f t="shared" si="2"/>
        <v>(美) 艾伦·M·霍恩布鲁姆， 朱迪斯·L·纽曼， 格雷戈里·J·多贝尔著Allen M. Hornblum， Judith L. Newman， Gregory J. Dober；丁立松译</v>
      </c>
      <c r="E6" s="7" t="str">
        <f t="shared" si="3"/>
        <v>三联书店</v>
      </c>
      <c r="F6" s="7" t="str">
        <f t="shared" si="4"/>
        <v>R-0/3</v>
      </c>
    </row>
    <row r="7" customHeight="1" spans="1:6">
      <c r="A7" s="6">
        <v>6</v>
      </c>
      <c r="B7" s="7" t="str">
        <f>"978-7-5390-7676-8"</f>
        <v>978-7-5390-7676-8</v>
      </c>
      <c r="C7" s="7" t="str">
        <f>"医学简史"</f>
        <v>医学简史</v>
      </c>
      <c r="D7" s="7" t="str">
        <f>"(加) 杰克琳·杜芬著；李冰奇译"</f>
        <v>(加) 杰克琳·杜芬著；李冰奇译</v>
      </c>
      <c r="E7" s="7" t="str">
        <f>"江西科学技术出版社"</f>
        <v>江西科学技术出版社</v>
      </c>
      <c r="F7" s="7" t="str">
        <f>"R-091/18"</f>
        <v>R-091/18</v>
      </c>
    </row>
    <row r="8" customHeight="1" spans="1:6">
      <c r="A8" s="6">
        <v>7</v>
      </c>
      <c r="B8" s="7" t="str">
        <f>"978-7-5390-7676-8"</f>
        <v>978-7-5390-7676-8</v>
      </c>
      <c r="C8" s="7" t="str">
        <f>"医学简史"</f>
        <v>医学简史</v>
      </c>
      <c r="D8" s="7" t="str">
        <f>"(加) 杰克琳·杜芬著；李冰奇译"</f>
        <v>(加) 杰克琳·杜芬著；李冰奇译</v>
      </c>
      <c r="E8" s="7" t="str">
        <f>"江西科学技术出版社"</f>
        <v>江西科学技术出版社</v>
      </c>
      <c r="F8" s="7" t="str">
        <f>"R-091/18"</f>
        <v>R-091/18</v>
      </c>
    </row>
    <row r="9" customHeight="1" spans="1:6">
      <c r="A9" s="6">
        <v>8</v>
      </c>
      <c r="B9" s="7" t="str">
        <f t="shared" ref="B9:B11" si="5">"978-7-5321-7846-9"</f>
        <v>978-7-5321-7846-9</v>
      </c>
      <c r="C9" s="7" t="str">
        <f t="shared" ref="C9:C11" si="6">"零号病人"</f>
        <v>零号病人</v>
      </c>
      <c r="D9" s="7" t="str">
        <f t="shared" ref="D9:D11" si="7">"(法) 吕克·佩里诺著Luc Perino；唐恬恬译"</f>
        <v>(法) 吕克·佩里诺著Luc Perino；唐恬恬译</v>
      </c>
      <c r="E9" s="7" t="str">
        <f t="shared" ref="E9:E11" si="8">"上海文艺出版社"</f>
        <v>上海文艺出版社</v>
      </c>
      <c r="F9" s="7" t="str">
        <f t="shared" ref="F9:F11" si="9">"R-091/19"</f>
        <v>R-091/19</v>
      </c>
    </row>
    <row r="10" customHeight="1" spans="1:6">
      <c r="A10" s="6">
        <v>9</v>
      </c>
      <c r="B10" s="7" t="str">
        <f t="shared" si="5"/>
        <v>978-7-5321-7846-9</v>
      </c>
      <c r="C10" s="7" t="str">
        <f t="shared" si="6"/>
        <v>零号病人</v>
      </c>
      <c r="D10" s="7" t="str">
        <f t="shared" si="7"/>
        <v>(法) 吕克·佩里诺著Luc Perino；唐恬恬译</v>
      </c>
      <c r="E10" s="7" t="str">
        <f t="shared" si="8"/>
        <v>上海文艺出版社</v>
      </c>
      <c r="F10" s="7" t="str">
        <f t="shared" si="9"/>
        <v>R-091/19</v>
      </c>
    </row>
    <row r="11" customHeight="1" spans="1:6">
      <c r="A11" s="6">
        <v>10</v>
      </c>
      <c r="B11" s="7" t="str">
        <f t="shared" si="5"/>
        <v>978-7-5321-7846-9</v>
      </c>
      <c r="C11" s="7" t="str">
        <f t="shared" si="6"/>
        <v>零号病人</v>
      </c>
      <c r="D11" s="7" t="str">
        <f t="shared" si="7"/>
        <v>(法) 吕克·佩里诺著Luc Perino；唐恬恬译</v>
      </c>
      <c r="E11" s="7" t="str">
        <f t="shared" si="8"/>
        <v>上海文艺出版社</v>
      </c>
      <c r="F11" s="7" t="str">
        <f t="shared" si="9"/>
        <v>R-091/19</v>
      </c>
    </row>
    <row r="12" customHeight="1" spans="1:6">
      <c r="A12" s="6">
        <v>11</v>
      </c>
      <c r="B12" s="8" t="s">
        <v>14588</v>
      </c>
      <c r="C12" s="8" t="s">
        <v>14589</v>
      </c>
      <c r="D12" s="8" t="s">
        <v>14590</v>
      </c>
      <c r="E12" s="8" t="s">
        <v>145</v>
      </c>
      <c r="F12" s="8" t="s">
        <v>14591</v>
      </c>
    </row>
    <row r="13" customHeight="1" spans="1:6">
      <c r="A13" s="6">
        <v>12</v>
      </c>
      <c r="B13" s="8" t="s">
        <v>14588</v>
      </c>
      <c r="C13" s="8" t="s">
        <v>14589</v>
      </c>
      <c r="D13" s="8" t="s">
        <v>14590</v>
      </c>
      <c r="E13" s="8" t="s">
        <v>145</v>
      </c>
      <c r="F13" s="8" t="s">
        <v>14591</v>
      </c>
    </row>
    <row r="14" customHeight="1" spans="1:6">
      <c r="A14" s="6">
        <v>13</v>
      </c>
      <c r="B14" s="8" t="s">
        <v>14588</v>
      </c>
      <c r="C14" s="8" t="s">
        <v>14589</v>
      </c>
      <c r="D14" s="8" t="s">
        <v>14590</v>
      </c>
      <c r="E14" s="8" t="s">
        <v>145</v>
      </c>
      <c r="F14" s="8" t="s">
        <v>14591</v>
      </c>
    </row>
    <row r="15" customHeight="1" spans="1:6">
      <c r="A15" s="6">
        <v>14</v>
      </c>
      <c r="B15" s="8" t="s">
        <v>14592</v>
      </c>
      <c r="C15" s="8" t="s">
        <v>14593</v>
      </c>
      <c r="D15" s="8" t="s">
        <v>14594</v>
      </c>
      <c r="E15" s="8" t="s">
        <v>2566</v>
      </c>
      <c r="F15" s="8" t="s">
        <v>14595</v>
      </c>
    </row>
    <row r="16" customHeight="1" spans="1:6">
      <c r="A16" s="6">
        <v>15</v>
      </c>
      <c r="B16" s="8" t="s">
        <v>14592</v>
      </c>
      <c r="C16" s="8" t="s">
        <v>14593</v>
      </c>
      <c r="D16" s="8" t="s">
        <v>14594</v>
      </c>
      <c r="E16" s="8" t="s">
        <v>2566</v>
      </c>
      <c r="F16" s="8" t="s">
        <v>14595</v>
      </c>
    </row>
    <row r="17" customHeight="1" spans="1:6">
      <c r="A17" s="6">
        <v>16</v>
      </c>
      <c r="B17" s="7" t="str">
        <f>"978-7-5447-8733-8"</f>
        <v>978-7-5447-8733-8</v>
      </c>
      <c r="C17" s="7" t="str">
        <f>"公共卫生史"</f>
        <v>公共卫生史</v>
      </c>
      <c r="D17" s="7" t="str">
        <f>"(美国) 乔治·罗森著George Rosen；黄沛一译"</f>
        <v>(美国) 乔治·罗森著George Rosen；黄沛一译</v>
      </c>
      <c r="E17" s="7" t="str">
        <f>"译林出版社"</f>
        <v>译林出版社</v>
      </c>
      <c r="F17" s="7" t="str">
        <f>"R126.4/3"</f>
        <v>R126.4/3</v>
      </c>
    </row>
    <row r="18" customHeight="1" spans="1:6">
      <c r="A18" s="6">
        <v>17</v>
      </c>
      <c r="B18" s="7" t="str">
        <f>"978-7-5447-8733-8"</f>
        <v>978-7-5447-8733-8</v>
      </c>
      <c r="C18" s="7" t="str">
        <f>"公共卫生史"</f>
        <v>公共卫生史</v>
      </c>
      <c r="D18" s="7" t="str">
        <f>"(美国) 乔治·罗森著George Rosen；黄沛一译"</f>
        <v>(美国) 乔治·罗森著George Rosen；黄沛一译</v>
      </c>
      <c r="E18" s="7" t="str">
        <f>"译林出版社"</f>
        <v>译林出版社</v>
      </c>
      <c r="F18" s="7" t="str">
        <f>"R126.4/3"</f>
        <v>R126.4/3</v>
      </c>
    </row>
    <row r="19" customHeight="1" spans="1:6">
      <c r="A19" s="6">
        <v>18</v>
      </c>
      <c r="B19" s="8" t="s">
        <v>14596</v>
      </c>
      <c r="C19" s="8" t="s">
        <v>14597</v>
      </c>
      <c r="D19" s="8" t="s">
        <v>14598</v>
      </c>
      <c r="E19" s="8" t="s">
        <v>8825</v>
      </c>
      <c r="F19" s="8" t="s">
        <v>14599</v>
      </c>
    </row>
    <row r="20" customHeight="1" spans="1:6">
      <c r="A20" s="6">
        <v>19</v>
      </c>
      <c r="B20" s="8" t="s">
        <v>14596</v>
      </c>
      <c r="C20" s="8" t="s">
        <v>14597</v>
      </c>
      <c r="D20" s="8" t="s">
        <v>14598</v>
      </c>
      <c r="E20" s="8" t="s">
        <v>8825</v>
      </c>
      <c r="F20" s="8" t="s">
        <v>14599</v>
      </c>
    </row>
    <row r="21" customHeight="1" spans="1:6">
      <c r="A21" s="6">
        <v>20</v>
      </c>
      <c r="B21" s="7" t="str">
        <f>"978-7-5679-1743-9"</f>
        <v>978-7-5679-1743-9</v>
      </c>
      <c r="C21" s="7" t="str">
        <f>"老年健康手册"</f>
        <v>老年健康手册</v>
      </c>
      <c r="D21" s="7" t="str">
        <f>"主编孙晓红， 朱鸣雷"</f>
        <v>主编孙晓红， 朱鸣雷</v>
      </c>
      <c r="E21" s="7" t="str">
        <f>"中国协和医科大学出版社"</f>
        <v>中国协和医科大学出版社</v>
      </c>
      <c r="F21" s="7" t="str">
        <f>"R161.7/118"</f>
        <v>R161.7/118</v>
      </c>
    </row>
    <row r="22" customHeight="1" spans="1:6">
      <c r="A22" s="6">
        <v>21</v>
      </c>
      <c r="B22" s="7" t="str">
        <f>"978-7-5679-1743-9"</f>
        <v>978-7-5679-1743-9</v>
      </c>
      <c r="C22" s="7" t="str">
        <f>"老年健康手册"</f>
        <v>老年健康手册</v>
      </c>
      <c r="D22" s="7" t="str">
        <f>"主编孙晓红， 朱鸣雷"</f>
        <v>主编孙晓红， 朱鸣雷</v>
      </c>
      <c r="E22" s="7" t="str">
        <f>"中国协和医科大学出版社"</f>
        <v>中国协和医科大学出版社</v>
      </c>
      <c r="F22" s="7" t="str">
        <f>"R161.7/118"</f>
        <v>R161.7/118</v>
      </c>
    </row>
    <row r="23" customHeight="1" spans="1:6">
      <c r="A23" s="6">
        <v>22</v>
      </c>
      <c r="B23" s="7" t="str">
        <f t="shared" ref="B23:B25" si="10">"978-7-300-27720-2"</f>
        <v>978-7-300-27720-2</v>
      </c>
      <c r="C23" s="7" t="str">
        <f t="shared" ref="C23:C25" si="11">"预见未来健康：未来科技与个人健康升级的无缝对接：revolutionary technologies to bring a healthier future"</f>
        <v>预见未来健康：未来科技与个人健康升级的无缝对接：revolutionary technologies to bring a healthier future</v>
      </c>
      <c r="D23" s="7" t="str">
        <f t="shared" ref="D23:D25" si="12">"(匈牙利) 赫塔拉·麦斯可著Bertalan Mesko；刘欣译"</f>
        <v>(匈牙利) 赫塔拉·麦斯可著Bertalan Mesko；刘欣译</v>
      </c>
      <c r="E23" s="7" t="str">
        <f t="shared" ref="E23:E25" si="13">"中国人民大学出版社"</f>
        <v>中国人民大学出版社</v>
      </c>
      <c r="F23" s="7" t="str">
        <f t="shared" ref="F23:F25" si="14">"R161/729"</f>
        <v>R161/729</v>
      </c>
    </row>
    <row r="24" customHeight="1" spans="1:6">
      <c r="A24" s="6">
        <v>23</v>
      </c>
      <c r="B24" s="7" t="str">
        <f t="shared" si="10"/>
        <v>978-7-300-27720-2</v>
      </c>
      <c r="C24" s="7" t="str">
        <f t="shared" si="11"/>
        <v>预见未来健康：未来科技与个人健康升级的无缝对接：revolutionary technologies to bring a healthier future</v>
      </c>
      <c r="D24" s="7" t="str">
        <f t="shared" si="12"/>
        <v>(匈牙利) 赫塔拉·麦斯可著Bertalan Mesko；刘欣译</v>
      </c>
      <c r="E24" s="7" t="str">
        <f t="shared" si="13"/>
        <v>中国人民大学出版社</v>
      </c>
      <c r="F24" s="7" t="str">
        <f t="shared" si="14"/>
        <v>R161/729</v>
      </c>
    </row>
    <row r="25" customHeight="1" spans="1:6">
      <c r="A25" s="6">
        <v>24</v>
      </c>
      <c r="B25" s="7" t="str">
        <f t="shared" si="10"/>
        <v>978-7-300-27720-2</v>
      </c>
      <c r="C25" s="7" t="str">
        <f t="shared" si="11"/>
        <v>预见未来健康：未来科技与个人健康升级的无缝对接：revolutionary technologies to bring a healthier future</v>
      </c>
      <c r="D25" s="7" t="str">
        <f t="shared" si="12"/>
        <v>(匈牙利) 赫塔拉·麦斯可著Bertalan Mesko；刘欣译</v>
      </c>
      <c r="E25" s="7" t="str">
        <f t="shared" si="13"/>
        <v>中国人民大学出版社</v>
      </c>
      <c r="F25" s="7" t="str">
        <f t="shared" si="14"/>
        <v>R161/729</v>
      </c>
    </row>
    <row r="26" customHeight="1" spans="1:6">
      <c r="A26" s="6">
        <v>25</v>
      </c>
      <c r="B26" s="7" t="str">
        <f>"978-7-313-23237-3"</f>
        <v>978-7-313-23237-3</v>
      </c>
      <c r="C26" s="7" t="str">
        <f>"笑到最后：科学防治五大现代疾病"</f>
        <v>笑到最后：科学防治五大现代疾病</v>
      </c>
      <c r="D26" s="7" t="str">
        <f>"王立铭著"</f>
        <v>王立铭著</v>
      </c>
      <c r="E26" s="7" t="str">
        <f>"上海交通大学出版社"</f>
        <v>上海交通大学出版社</v>
      </c>
      <c r="F26" s="7" t="str">
        <f>"R161/730"</f>
        <v>R161/730</v>
      </c>
    </row>
    <row r="27" customHeight="1" spans="1:6">
      <c r="A27" s="6">
        <v>26</v>
      </c>
      <c r="B27" s="7" t="str">
        <f>"978-7-313-23237-3"</f>
        <v>978-7-313-23237-3</v>
      </c>
      <c r="C27" s="7" t="str">
        <f>"笑到最后：科学防治五大现代疾病"</f>
        <v>笑到最后：科学防治五大现代疾病</v>
      </c>
      <c r="D27" s="7" t="str">
        <f>"王立铭著"</f>
        <v>王立铭著</v>
      </c>
      <c r="E27" s="7" t="str">
        <f>"上海交通大学出版社"</f>
        <v>上海交通大学出版社</v>
      </c>
      <c r="F27" s="7" t="str">
        <f>"R161/730"</f>
        <v>R161/730</v>
      </c>
    </row>
    <row r="28" customHeight="1" spans="1:6">
      <c r="A28" s="6">
        <v>27</v>
      </c>
      <c r="B28" s="8" t="s">
        <v>14600</v>
      </c>
      <c r="C28" s="8" t="s">
        <v>14601</v>
      </c>
      <c r="D28" s="8" t="s">
        <v>14602</v>
      </c>
      <c r="E28" s="8" t="s">
        <v>216</v>
      </c>
      <c r="F28" s="8" t="s">
        <v>14603</v>
      </c>
    </row>
    <row r="29" customHeight="1" spans="1:6">
      <c r="A29" s="6">
        <v>28</v>
      </c>
      <c r="B29" s="8" t="s">
        <v>14600</v>
      </c>
      <c r="C29" s="8" t="s">
        <v>14601</v>
      </c>
      <c r="D29" s="8" t="s">
        <v>14602</v>
      </c>
      <c r="E29" s="8" t="s">
        <v>216</v>
      </c>
      <c r="F29" s="8" t="s">
        <v>14603</v>
      </c>
    </row>
    <row r="30" customHeight="1" spans="1:6">
      <c r="A30" s="6">
        <v>29</v>
      </c>
      <c r="B30" s="7" t="str">
        <f t="shared" ref="B30:B32" si="15">"978-7-5447-8780-2"</f>
        <v>978-7-5447-8780-2</v>
      </c>
      <c r="C30" s="7" t="str">
        <f t="shared" ref="C30:C32" si="16">"流行病的故事：从霍乱到埃博拉：tracking contagions， from cholera to ebola and beyond"</f>
        <v>流行病的故事：从霍乱到埃博拉：tracking contagions， from cholera to ebola and beyond</v>
      </c>
      <c r="D30" s="7" t="str">
        <f t="shared" ref="D30:D32" si="17">"(美国) 索尼娅·沙阿著Sonia Shah；苗小迪译"</f>
        <v>(美国) 索尼娅·沙阿著Sonia Shah；苗小迪译</v>
      </c>
      <c r="E30" s="7" t="str">
        <f t="shared" ref="E30:E32" si="18">"译林出版社"</f>
        <v>译林出版社</v>
      </c>
      <c r="F30" s="7" t="str">
        <f t="shared" ref="F30:F32" si="19">"R18/25"</f>
        <v>R18/25</v>
      </c>
    </row>
    <row r="31" customHeight="1" spans="1:6">
      <c r="A31" s="6">
        <v>30</v>
      </c>
      <c r="B31" s="7" t="str">
        <f t="shared" si="15"/>
        <v>978-7-5447-8780-2</v>
      </c>
      <c r="C31" s="7" t="str">
        <f t="shared" si="16"/>
        <v>流行病的故事：从霍乱到埃博拉：tracking contagions， from cholera to ebola and beyond</v>
      </c>
      <c r="D31" s="7" t="str">
        <f t="shared" si="17"/>
        <v>(美国) 索尼娅·沙阿著Sonia Shah；苗小迪译</v>
      </c>
      <c r="E31" s="7" t="str">
        <f t="shared" si="18"/>
        <v>译林出版社</v>
      </c>
      <c r="F31" s="7" t="str">
        <f t="shared" si="19"/>
        <v>R18/25</v>
      </c>
    </row>
    <row r="32" customHeight="1" spans="1:6">
      <c r="A32" s="6">
        <v>31</v>
      </c>
      <c r="B32" s="7" t="str">
        <f t="shared" si="15"/>
        <v>978-7-5447-8780-2</v>
      </c>
      <c r="C32" s="7" t="str">
        <f t="shared" si="16"/>
        <v>流行病的故事：从霍乱到埃博拉：tracking contagions， from cholera to ebola and beyond</v>
      </c>
      <c r="D32" s="7" t="str">
        <f t="shared" si="17"/>
        <v>(美国) 索尼娅·沙阿著Sonia Shah；苗小迪译</v>
      </c>
      <c r="E32" s="7" t="str">
        <f t="shared" si="18"/>
        <v>译林出版社</v>
      </c>
      <c r="F32" s="7" t="str">
        <f t="shared" si="19"/>
        <v>R18/25</v>
      </c>
    </row>
    <row r="33" customHeight="1" spans="1:6">
      <c r="A33" s="6">
        <v>32</v>
      </c>
      <c r="B33" s="7" t="str">
        <f>"978-7-5087-6541-9"</f>
        <v>978-7-5087-6541-9</v>
      </c>
      <c r="C33" s="7" t="str">
        <f>"医疗及康复社会工作的实践探索"</f>
        <v>医疗及康复社会工作的实践探索</v>
      </c>
      <c r="D33" s="7" t="str">
        <f>"陈会全主编"</f>
        <v>陈会全主编</v>
      </c>
      <c r="E33" s="7" t="str">
        <f>"中国社会出版社"</f>
        <v>中国社会出版社</v>
      </c>
      <c r="F33" s="7" t="str">
        <f>"R19/33"</f>
        <v>R19/33</v>
      </c>
    </row>
    <row r="34" customHeight="1" spans="1:6">
      <c r="A34" s="6">
        <v>33</v>
      </c>
      <c r="B34" s="7" t="str">
        <f>"978-7-5087-6541-9"</f>
        <v>978-7-5087-6541-9</v>
      </c>
      <c r="C34" s="7" t="str">
        <f>"医疗及康复社会工作的实践探索"</f>
        <v>医疗及康复社会工作的实践探索</v>
      </c>
      <c r="D34" s="7" t="str">
        <f>"陈会全主编"</f>
        <v>陈会全主编</v>
      </c>
      <c r="E34" s="7" t="str">
        <f>"中国社会出版社"</f>
        <v>中国社会出版社</v>
      </c>
      <c r="F34" s="7" t="str">
        <f>"R19/33"</f>
        <v>R19/33</v>
      </c>
    </row>
    <row r="35" customHeight="1" spans="1:6">
      <c r="A35" s="6">
        <v>34</v>
      </c>
      <c r="B35" s="8" t="s">
        <v>14604</v>
      </c>
      <c r="C35" s="8" t="s">
        <v>14605</v>
      </c>
      <c r="D35" s="8" t="s">
        <v>11740</v>
      </c>
      <c r="E35" s="8" t="s">
        <v>2566</v>
      </c>
      <c r="F35" s="8" t="s">
        <v>14606</v>
      </c>
    </row>
    <row r="36" customHeight="1" spans="1:6">
      <c r="A36" s="6">
        <v>35</v>
      </c>
      <c r="B36" s="8" t="s">
        <v>14604</v>
      </c>
      <c r="C36" s="8" t="s">
        <v>14605</v>
      </c>
      <c r="D36" s="8" t="s">
        <v>11740</v>
      </c>
      <c r="E36" s="8" t="s">
        <v>2566</v>
      </c>
      <c r="F36" s="8" t="s">
        <v>14606</v>
      </c>
    </row>
    <row r="37" customHeight="1" spans="1:6">
      <c r="A37" s="6">
        <v>36</v>
      </c>
      <c r="B37" s="7" t="str">
        <f>"978-7-5201-7901-0"</f>
        <v>978-7-5201-7901-0</v>
      </c>
      <c r="C37" s="7" t="str">
        <f>"医患共赢：满意度测评及和谐治理路径：satisfaction measurement and harmonious governance path"</f>
        <v>医患共赢：满意度测评及和谐治理路径：satisfaction measurement and harmonious governance path</v>
      </c>
      <c r="D37" s="7" t="str">
        <f>"王小合， 钱宇， 孙涛著"</f>
        <v>王小合， 钱宇， 孙涛著</v>
      </c>
      <c r="E37" s="7" t="str">
        <f>"社会科学文献出版社"</f>
        <v>社会科学文献出版社</v>
      </c>
      <c r="F37" s="7" t="str">
        <f>"R192/51"</f>
        <v>R192/51</v>
      </c>
    </row>
    <row r="38" customHeight="1" spans="1:6">
      <c r="A38" s="6">
        <v>37</v>
      </c>
      <c r="B38" s="7" t="str">
        <f>"978-7-5201-7901-0"</f>
        <v>978-7-5201-7901-0</v>
      </c>
      <c r="C38" s="7" t="str">
        <f>"医患共赢：满意度测评及和谐治理路径：satisfaction measurement and harmonious governance path"</f>
        <v>医患共赢：满意度测评及和谐治理路径：satisfaction measurement and harmonious governance path</v>
      </c>
      <c r="D38" s="7" t="str">
        <f>"王小合， 钱宇， 孙涛著"</f>
        <v>王小合， 钱宇， 孙涛著</v>
      </c>
      <c r="E38" s="7" t="str">
        <f>"社会科学文献出版社"</f>
        <v>社会科学文献出版社</v>
      </c>
      <c r="F38" s="7" t="str">
        <f>"R192/51"</f>
        <v>R192/51</v>
      </c>
    </row>
    <row r="39" customHeight="1" spans="1:6">
      <c r="A39" s="6">
        <v>38</v>
      </c>
      <c r="B39" s="8" t="s">
        <v>14607</v>
      </c>
      <c r="C39" s="8" t="s">
        <v>14608</v>
      </c>
      <c r="D39" s="8" t="s">
        <v>14609</v>
      </c>
      <c r="E39" s="8" t="s">
        <v>8153</v>
      </c>
      <c r="F39" s="8" t="s">
        <v>14610</v>
      </c>
    </row>
    <row r="40" customHeight="1" spans="1:6">
      <c r="A40" s="6">
        <v>39</v>
      </c>
      <c r="B40" s="8" t="s">
        <v>14607</v>
      </c>
      <c r="C40" s="8" t="s">
        <v>14608</v>
      </c>
      <c r="D40" s="8" t="s">
        <v>14609</v>
      </c>
      <c r="E40" s="8" t="s">
        <v>8153</v>
      </c>
      <c r="F40" s="8" t="s">
        <v>14610</v>
      </c>
    </row>
    <row r="41" customHeight="1" spans="1:6">
      <c r="A41" s="6">
        <v>40</v>
      </c>
      <c r="B41" s="7" t="str">
        <f>"978-7-308-21715-6"</f>
        <v>978-7-308-21715-6</v>
      </c>
      <c r="C41" s="7" t="str">
        <f>"未来医疗：功能恢复与体验满意"</f>
        <v>未来医疗：功能恢复与体验满意</v>
      </c>
      <c r="D41" s="7" t="str">
        <f>"郭航远著"</f>
        <v>郭航远著</v>
      </c>
      <c r="E41" s="7" t="str">
        <f>"浙江大学出版社"</f>
        <v>浙江大学出版社</v>
      </c>
      <c r="F41" s="7" t="str">
        <f>"R197.1/80"</f>
        <v>R197.1/80</v>
      </c>
    </row>
    <row r="42" customHeight="1" spans="1:6">
      <c r="A42" s="6">
        <v>41</v>
      </c>
      <c r="B42" s="7" t="str">
        <f>"978-7-308-21715-6"</f>
        <v>978-7-308-21715-6</v>
      </c>
      <c r="C42" s="7" t="str">
        <f>"未来医疗：功能恢复与体验满意"</f>
        <v>未来医疗：功能恢复与体验满意</v>
      </c>
      <c r="D42" s="7" t="str">
        <f>"郭航远著"</f>
        <v>郭航远著</v>
      </c>
      <c r="E42" s="7" t="str">
        <f>"浙江大学出版社"</f>
        <v>浙江大学出版社</v>
      </c>
      <c r="F42" s="7" t="str">
        <f>"R197.1/80"</f>
        <v>R197.1/80</v>
      </c>
    </row>
    <row r="43" customHeight="1" spans="1:6">
      <c r="A43" s="6">
        <v>42</v>
      </c>
      <c r="B43" s="7" t="str">
        <f t="shared" ref="B43:B45" si="20">"978-7-5439-8289-5"</f>
        <v>978-7-5439-8289-5</v>
      </c>
      <c r="C43" s="7" t="str">
        <f t="shared" ref="C43:C45" si="21">"过度的医疗"</f>
        <v>过度的医疗</v>
      </c>
      <c r="D43" s="7" t="str">
        <f t="shared" ref="D43:D45" si="22">"(德) 尤格·布莱克著Jorg Blech；宋亭欢译"</f>
        <v>(德) 尤格·布莱克著Jorg Blech；宋亭欢译</v>
      </c>
      <c r="E43" s="7" t="str">
        <f t="shared" ref="E43:E45" si="23">"上海科学技术文献出版社"</f>
        <v>上海科学技术文献出版社</v>
      </c>
      <c r="F43" s="7" t="str">
        <f t="shared" ref="F43:F45" si="24">"R197.1/81"</f>
        <v>R197.1/81</v>
      </c>
    </row>
    <row r="44" customHeight="1" spans="1:6">
      <c r="A44" s="6">
        <v>43</v>
      </c>
      <c r="B44" s="7" t="str">
        <f t="shared" si="20"/>
        <v>978-7-5439-8289-5</v>
      </c>
      <c r="C44" s="7" t="str">
        <f t="shared" si="21"/>
        <v>过度的医疗</v>
      </c>
      <c r="D44" s="7" t="str">
        <f t="shared" si="22"/>
        <v>(德) 尤格·布莱克著Jorg Blech；宋亭欢译</v>
      </c>
      <c r="E44" s="7" t="str">
        <f t="shared" si="23"/>
        <v>上海科学技术文献出版社</v>
      </c>
      <c r="F44" s="7" t="str">
        <f t="shared" si="24"/>
        <v>R197.1/81</v>
      </c>
    </row>
    <row r="45" customHeight="1" spans="1:6">
      <c r="A45" s="6">
        <v>44</v>
      </c>
      <c r="B45" s="7" t="str">
        <f t="shared" si="20"/>
        <v>978-7-5439-8289-5</v>
      </c>
      <c r="C45" s="7" t="str">
        <f t="shared" si="21"/>
        <v>过度的医疗</v>
      </c>
      <c r="D45" s="7" t="str">
        <f t="shared" si="22"/>
        <v>(德) 尤格·布莱克著Jorg Blech；宋亭欢译</v>
      </c>
      <c r="E45" s="7" t="str">
        <f t="shared" si="23"/>
        <v>上海科学技术文献出版社</v>
      </c>
      <c r="F45" s="7" t="str">
        <f t="shared" si="24"/>
        <v>R197.1/81</v>
      </c>
    </row>
    <row r="46" customHeight="1" spans="1:6">
      <c r="A46" s="6">
        <v>45</v>
      </c>
      <c r="B46" s="7" t="str">
        <f t="shared" ref="B46:B48" si="25">"978-7-5132-6240-8"</f>
        <v>978-7-5132-6240-8</v>
      </c>
      <c r="C46" s="7" t="str">
        <f t="shared" ref="C46:C48" si="26">"中医养生的理与法"</f>
        <v>中医养生的理与法</v>
      </c>
      <c r="D46" s="7" t="str">
        <f t="shared" ref="D46:D48" si="27">"主编王文姮， 刘志梅， 田丽霞"</f>
        <v>主编王文姮， 刘志梅， 田丽霞</v>
      </c>
      <c r="E46" s="7" t="str">
        <f t="shared" ref="E46:E48" si="28">"中国中医药出版社"</f>
        <v>中国中医药出版社</v>
      </c>
      <c r="F46" s="7" t="str">
        <f t="shared" ref="F46:F48" si="29">"R212/393"</f>
        <v>R212/393</v>
      </c>
    </row>
    <row r="47" customHeight="1" spans="1:6">
      <c r="A47" s="6">
        <v>46</v>
      </c>
      <c r="B47" s="7" t="str">
        <f t="shared" si="25"/>
        <v>978-7-5132-6240-8</v>
      </c>
      <c r="C47" s="7" t="str">
        <f t="shared" si="26"/>
        <v>中医养生的理与法</v>
      </c>
      <c r="D47" s="7" t="str">
        <f t="shared" si="27"/>
        <v>主编王文姮， 刘志梅， 田丽霞</v>
      </c>
      <c r="E47" s="7" t="str">
        <f t="shared" si="28"/>
        <v>中国中医药出版社</v>
      </c>
      <c r="F47" s="7" t="str">
        <f t="shared" si="29"/>
        <v>R212/393</v>
      </c>
    </row>
    <row r="48" customHeight="1" spans="1:6">
      <c r="A48" s="6">
        <v>47</v>
      </c>
      <c r="B48" s="7" t="str">
        <f t="shared" si="25"/>
        <v>978-7-5132-6240-8</v>
      </c>
      <c r="C48" s="7" t="str">
        <f t="shared" si="26"/>
        <v>中医养生的理与法</v>
      </c>
      <c r="D48" s="7" t="str">
        <f t="shared" si="27"/>
        <v>主编王文姮， 刘志梅， 田丽霞</v>
      </c>
      <c r="E48" s="7" t="str">
        <f t="shared" si="28"/>
        <v>中国中医药出版社</v>
      </c>
      <c r="F48" s="7" t="str">
        <f t="shared" si="29"/>
        <v>R212/393</v>
      </c>
    </row>
    <row r="49" customHeight="1" spans="1:6">
      <c r="A49" s="6">
        <v>48</v>
      </c>
      <c r="B49" s="7" t="str">
        <f t="shared" ref="B49:B51" si="30">"978-7-5184-3602-6"</f>
        <v>978-7-5184-3602-6</v>
      </c>
      <c r="C49" s="7" t="str">
        <f t="shared" ref="C49:C51" si="31">"当张仲景遇上斯坦福"</f>
        <v>当张仲景遇上斯坦福</v>
      </c>
      <c r="D49" s="7" t="str">
        <f t="shared" ref="D49:D51" si="32">"李宗恩著"</f>
        <v>李宗恩著</v>
      </c>
      <c r="E49" s="7" t="str">
        <f t="shared" ref="E49:E51" si="33">"中国轻工业出版社"</f>
        <v>中国轻工业出版社</v>
      </c>
      <c r="F49" s="7" t="str">
        <f t="shared" ref="F49:F51" si="34">"R212-49/30"</f>
        <v>R212-49/30</v>
      </c>
    </row>
    <row r="50" customHeight="1" spans="1:6">
      <c r="A50" s="6">
        <v>49</v>
      </c>
      <c r="B50" s="7" t="str">
        <f t="shared" si="30"/>
        <v>978-7-5184-3602-6</v>
      </c>
      <c r="C50" s="7" t="str">
        <f t="shared" si="31"/>
        <v>当张仲景遇上斯坦福</v>
      </c>
      <c r="D50" s="7" t="str">
        <f t="shared" si="32"/>
        <v>李宗恩著</v>
      </c>
      <c r="E50" s="7" t="str">
        <f t="shared" si="33"/>
        <v>中国轻工业出版社</v>
      </c>
      <c r="F50" s="7" t="str">
        <f t="shared" si="34"/>
        <v>R212-49/30</v>
      </c>
    </row>
    <row r="51" customHeight="1" spans="1:6">
      <c r="A51" s="6">
        <v>50</v>
      </c>
      <c r="B51" s="7" t="str">
        <f t="shared" si="30"/>
        <v>978-7-5184-3602-6</v>
      </c>
      <c r="C51" s="7" t="str">
        <f t="shared" si="31"/>
        <v>当张仲景遇上斯坦福</v>
      </c>
      <c r="D51" s="7" t="str">
        <f t="shared" si="32"/>
        <v>李宗恩著</v>
      </c>
      <c r="E51" s="7" t="str">
        <f t="shared" si="33"/>
        <v>中国轻工业出版社</v>
      </c>
      <c r="F51" s="7" t="str">
        <f t="shared" si="34"/>
        <v>R212-49/30</v>
      </c>
    </row>
    <row r="52" customHeight="1" spans="1:6">
      <c r="A52" s="6">
        <v>51</v>
      </c>
      <c r="B52" s="8" t="s">
        <v>14611</v>
      </c>
      <c r="C52" s="8" t="s">
        <v>14612</v>
      </c>
      <c r="D52" s="8" t="s">
        <v>14613</v>
      </c>
      <c r="E52" s="8" t="s">
        <v>14519</v>
      </c>
      <c r="F52" s="8" t="s">
        <v>14614</v>
      </c>
    </row>
    <row r="53" customHeight="1" spans="1:6">
      <c r="A53" s="6">
        <v>52</v>
      </c>
      <c r="B53" s="8" t="s">
        <v>14611</v>
      </c>
      <c r="C53" s="8" t="s">
        <v>14612</v>
      </c>
      <c r="D53" s="8" t="s">
        <v>14613</v>
      </c>
      <c r="E53" s="8" t="s">
        <v>14519</v>
      </c>
      <c r="F53" s="8" t="s">
        <v>14614</v>
      </c>
    </row>
    <row r="54" customHeight="1" spans="1:6">
      <c r="A54" s="6">
        <v>53</v>
      </c>
      <c r="B54" s="8" t="s">
        <v>14615</v>
      </c>
      <c r="C54" s="8" t="s">
        <v>14616</v>
      </c>
      <c r="D54" s="8" t="s">
        <v>14617</v>
      </c>
      <c r="E54" s="8" t="s">
        <v>2566</v>
      </c>
      <c r="F54" s="8" t="s">
        <v>14618</v>
      </c>
    </row>
    <row r="55" customHeight="1" spans="1:6">
      <c r="A55" s="6">
        <v>54</v>
      </c>
      <c r="B55" s="8" t="s">
        <v>14615</v>
      </c>
      <c r="C55" s="8" t="s">
        <v>14616</v>
      </c>
      <c r="D55" s="8" t="s">
        <v>14617</v>
      </c>
      <c r="E55" s="8" t="s">
        <v>2566</v>
      </c>
      <c r="F55" s="8" t="s">
        <v>14618</v>
      </c>
    </row>
    <row r="56" customHeight="1" spans="1:6">
      <c r="A56" s="6">
        <v>55</v>
      </c>
      <c r="B56" s="8" t="s">
        <v>14619</v>
      </c>
      <c r="C56" s="8" t="s">
        <v>14620</v>
      </c>
      <c r="D56" s="8" t="s">
        <v>14621</v>
      </c>
      <c r="E56" s="8" t="s">
        <v>14519</v>
      </c>
      <c r="F56" s="8" t="s">
        <v>14622</v>
      </c>
    </row>
    <row r="57" customHeight="1" spans="1:6">
      <c r="A57" s="6">
        <v>56</v>
      </c>
      <c r="B57" s="8" t="s">
        <v>14619</v>
      </c>
      <c r="C57" s="8" t="s">
        <v>14620</v>
      </c>
      <c r="D57" s="8" t="s">
        <v>14621</v>
      </c>
      <c r="E57" s="8" t="s">
        <v>14519</v>
      </c>
      <c r="F57" s="8" t="s">
        <v>14622</v>
      </c>
    </row>
    <row r="58" customHeight="1" spans="1:6">
      <c r="A58" s="6">
        <v>57</v>
      </c>
      <c r="B58" s="8" t="s">
        <v>14623</v>
      </c>
      <c r="C58" s="8" t="s">
        <v>14624</v>
      </c>
      <c r="D58" s="8" t="s">
        <v>14625</v>
      </c>
      <c r="E58" s="8" t="s">
        <v>2566</v>
      </c>
      <c r="F58" s="8" t="s">
        <v>14626</v>
      </c>
    </row>
    <row r="59" customHeight="1" spans="1:6">
      <c r="A59" s="6">
        <v>58</v>
      </c>
      <c r="B59" s="8" t="s">
        <v>14623</v>
      </c>
      <c r="C59" s="8" t="s">
        <v>14624</v>
      </c>
      <c r="D59" s="8" t="s">
        <v>14625</v>
      </c>
      <c r="E59" s="8" t="s">
        <v>2566</v>
      </c>
      <c r="F59" s="8" t="s">
        <v>14626</v>
      </c>
    </row>
    <row r="60" customHeight="1" spans="1:6">
      <c r="A60" s="6">
        <v>59</v>
      </c>
      <c r="B60" s="7" t="str">
        <f t="shared" ref="B60:B62" si="35">"978-7-108-05354-1"</f>
        <v>978-7-108-05354-1</v>
      </c>
      <c r="C60" s="7" t="str">
        <f t="shared" ref="C60:C62" si="36">"卡路里与束身衣：跨越两千年的节食史"</f>
        <v>卡路里与束身衣：跨越两千年的节食史</v>
      </c>
      <c r="D60" s="7" t="str">
        <f t="shared" ref="D60:D62" si="37">"(英) 路易丝·福克斯克罗夫特著；王以勤译"</f>
        <v>(英) 路易丝·福克斯克罗夫特著；王以勤译</v>
      </c>
      <c r="E60" s="7" t="str">
        <f t="shared" ref="E60:E62" si="38">"三联书店"</f>
        <v>三联书店</v>
      </c>
      <c r="F60" s="7" t="str">
        <f t="shared" ref="F60:F62" si="39">"R247.1/634"</f>
        <v>R247.1/634</v>
      </c>
    </row>
    <row r="61" customHeight="1" spans="1:6">
      <c r="A61" s="6">
        <v>60</v>
      </c>
      <c r="B61" s="7" t="str">
        <f t="shared" si="35"/>
        <v>978-7-108-05354-1</v>
      </c>
      <c r="C61" s="7" t="str">
        <f t="shared" si="36"/>
        <v>卡路里与束身衣：跨越两千年的节食史</v>
      </c>
      <c r="D61" s="7" t="str">
        <f t="shared" si="37"/>
        <v>(英) 路易丝·福克斯克罗夫特著；王以勤译</v>
      </c>
      <c r="E61" s="7" t="str">
        <f t="shared" si="38"/>
        <v>三联书店</v>
      </c>
      <c r="F61" s="7" t="str">
        <f t="shared" si="39"/>
        <v>R247.1/634</v>
      </c>
    </row>
    <row r="62" customHeight="1" spans="1:6">
      <c r="A62" s="6">
        <v>61</v>
      </c>
      <c r="B62" s="7" t="str">
        <f t="shared" si="35"/>
        <v>978-7-108-05354-1</v>
      </c>
      <c r="C62" s="7" t="str">
        <f t="shared" si="36"/>
        <v>卡路里与束身衣：跨越两千年的节食史</v>
      </c>
      <c r="D62" s="7" t="str">
        <f t="shared" si="37"/>
        <v>(英) 路易丝·福克斯克罗夫特著；王以勤译</v>
      </c>
      <c r="E62" s="7" t="str">
        <f t="shared" si="38"/>
        <v>三联书店</v>
      </c>
      <c r="F62" s="7" t="str">
        <f t="shared" si="39"/>
        <v>R247.1/634</v>
      </c>
    </row>
    <row r="63" customHeight="1" spans="1:6">
      <c r="A63" s="6">
        <v>62</v>
      </c>
      <c r="B63" s="8" t="s">
        <v>14627</v>
      </c>
      <c r="C63" s="8" t="s">
        <v>14628</v>
      </c>
      <c r="D63" s="8" t="s">
        <v>14629</v>
      </c>
      <c r="E63" s="8" t="s">
        <v>4723</v>
      </c>
      <c r="F63" s="8" t="s">
        <v>14630</v>
      </c>
    </row>
    <row r="64" customHeight="1" spans="1:6">
      <c r="A64" s="6">
        <v>63</v>
      </c>
      <c r="B64" s="8" t="s">
        <v>14627</v>
      </c>
      <c r="C64" s="8" t="s">
        <v>14628</v>
      </c>
      <c r="D64" s="8" t="s">
        <v>14629</v>
      </c>
      <c r="E64" s="8" t="s">
        <v>4723</v>
      </c>
      <c r="F64" s="8" t="s">
        <v>14630</v>
      </c>
    </row>
    <row r="65" customHeight="1" spans="1:6">
      <c r="A65" s="6">
        <v>64</v>
      </c>
      <c r="B65" s="8" t="s">
        <v>14631</v>
      </c>
      <c r="C65" s="8" t="s">
        <v>14632</v>
      </c>
      <c r="D65" s="8" t="s">
        <v>14633</v>
      </c>
      <c r="E65" s="8" t="s">
        <v>14519</v>
      </c>
      <c r="F65" s="8" t="s">
        <v>14634</v>
      </c>
    </row>
    <row r="66" customHeight="1" spans="1:6">
      <c r="A66" s="6">
        <v>65</v>
      </c>
      <c r="B66" s="8" t="s">
        <v>14631</v>
      </c>
      <c r="C66" s="8" t="s">
        <v>14632</v>
      </c>
      <c r="D66" s="8" t="s">
        <v>14633</v>
      </c>
      <c r="E66" s="8" t="s">
        <v>14519</v>
      </c>
      <c r="F66" s="8" t="s">
        <v>14634</v>
      </c>
    </row>
    <row r="67" customHeight="1" spans="1:6">
      <c r="A67" s="6">
        <v>66</v>
      </c>
      <c r="B67" s="8" t="s">
        <v>14631</v>
      </c>
      <c r="C67" s="8" t="s">
        <v>14632</v>
      </c>
      <c r="D67" s="8" t="s">
        <v>14633</v>
      </c>
      <c r="E67" s="8" t="s">
        <v>14519</v>
      </c>
      <c r="F67" s="8" t="s">
        <v>14634</v>
      </c>
    </row>
    <row r="68" customHeight="1" spans="1:6">
      <c r="A68" s="6">
        <v>67</v>
      </c>
      <c r="B68" s="8" t="s">
        <v>14635</v>
      </c>
      <c r="C68" s="8" t="s">
        <v>14636</v>
      </c>
      <c r="D68" s="8" t="s">
        <v>14637</v>
      </c>
      <c r="E68" s="8" t="s">
        <v>14519</v>
      </c>
      <c r="F68" s="8" t="s">
        <v>14638</v>
      </c>
    </row>
    <row r="69" customHeight="1" spans="1:6">
      <c r="A69" s="6">
        <v>68</v>
      </c>
      <c r="B69" s="8" t="s">
        <v>14635</v>
      </c>
      <c r="C69" s="8" t="s">
        <v>14636</v>
      </c>
      <c r="D69" s="8" t="s">
        <v>14637</v>
      </c>
      <c r="E69" s="8" t="s">
        <v>14519</v>
      </c>
      <c r="F69" s="8" t="s">
        <v>14638</v>
      </c>
    </row>
    <row r="70" customHeight="1" spans="1:6">
      <c r="A70" s="6">
        <v>69</v>
      </c>
      <c r="B70" s="8" t="s">
        <v>14639</v>
      </c>
      <c r="C70" s="8" t="s">
        <v>14640</v>
      </c>
      <c r="D70" s="8" t="s">
        <v>14641</v>
      </c>
      <c r="E70" s="8" t="s">
        <v>2566</v>
      </c>
      <c r="F70" s="8" t="s">
        <v>14642</v>
      </c>
    </row>
    <row r="71" customHeight="1" spans="1:6">
      <c r="A71" s="6">
        <v>70</v>
      </c>
      <c r="B71" s="8" t="s">
        <v>14639</v>
      </c>
      <c r="C71" s="8" t="s">
        <v>14640</v>
      </c>
      <c r="D71" s="8" t="s">
        <v>14641</v>
      </c>
      <c r="E71" s="8" t="s">
        <v>2566</v>
      </c>
      <c r="F71" s="8" t="s">
        <v>14642</v>
      </c>
    </row>
    <row r="72" customHeight="1" spans="1:6">
      <c r="A72" s="6">
        <v>71</v>
      </c>
      <c r="B72" s="8" t="s">
        <v>14639</v>
      </c>
      <c r="C72" s="8" t="s">
        <v>14640</v>
      </c>
      <c r="D72" s="8" t="s">
        <v>14641</v>
      </c>
      <c r="E72" s="8" t="s">
        <v>2566</v>
      </c>
      <c r="F72" s="8" t="s">
        <v>14642</v>
      </c>
    </row>
    <row r="73" customHeight="1" spans="1:6">
      <c r="A73" s="6">
        <v>72</v>
      </c>
      <c r="B73" s="8" t="s">
        <v>14643</v>
      </c>
      <c r="C73" s="8" t="s">
        <v>14644</v>
      </c>
      <c r="D73" s="8" t="s">
        <v>14645</v>
      </c>
      <c r="E73" s="8" t="s">
        <v>14519</v>
      </c>
      <c r="F73" s="8" t="s">
        <v>14646</v>
      </c>
    </row>
    <row r="74" customHeight="1" spans="1:6">
      <c r="A74" s="6">
        <v>73</v>
      </c>
      <c r="B74" s="8" t="s">
        <v>14643</v>
      </c>
      <c r="C74" s="8" t="s">
        <v>14644</v>
      </c>
      <c r="D74" s="8" t="s">
        <v>14645</v>
      </c>
      <c r="E74" s="8" t="s">
        <v>14519</v>
      </c>
      <c r="F74" s="8" t="s">
        <v>14646</v>
      </c>
    </row>
    <row r="75" customHeight="1" spans="1:6">
      <c r="A75" s="6">
        <v>74</v>
      </c>
      <c r="B75" s="8" t="s">
        <v>14647</v>
      </c>
      <c r="C75" s="8" t="s">
        <v>14648</v>
      </c>
      <c r="D75" s="8" t="s">
        <v>14649</v>
      </c>
      <c r="E75" s="8" t="s">
        <v>2566</v>
      </c>
      <c r="F75" s="8" t="s">
        <v>14650</v>
      </c>
    </row>
    <row r="76" customHeight="1" spans="1:6">
      <c r="A76" s="6">
        <v>75</v>
      </c>
      <c r="B76" s="8" t="s">
        <v>14647</v>
      </c>
      <c r="C76" s="8" t="s">
        <v>14648</v>
      </c>
      <c r="D76" s="8" t="s">
        <v>14649</v>
      </c>
      <c r="E76" s="8" t="s">
        <v>2566</v>
      </c>
      <c r="F76" s="8" t="s">
        <v>14650</v>
      </c>
    </row>
    <row r="77" customHeight="1" spans="1:6">
      <c r="A77" s="6">
        <v>76</v>
      </c>
      <c r="B77" s="8" t="s">
        <v>14651</v>
      </c>
      <c r="C77" s="8" t="s">
        <v>14652</v>
      </c>
      <c r="D77" s="8" t="s">
        <v>14653</v>
      </c>
      <c r="E77" s="8" t="s">
        <v>14519</v>
      </c>
      <c r="F77" s="8" t="s">
        <v>14654</v>
      </c>
    </row>
    <row r="78" customHeight="1" spans="1:6">
      <c r="A78" s="6">
        <v>77</v>
      </c>
      <c r="B78" s="8" t="s">
        <v>14651</v>
      </c>
      <c r="C78" s="8" t="s">
        <v>14652</v>
      </c>
      <c r="D78" s="8" t="s">
        <v>14653</v>
      </c>
      <c r="E78" s="8" t="s">
        <v>14519</v>
      </c>
      <c r="F78" s="8" t="s">
        <v>14654</v>
      </c>
    </row>
    <row r="79" customHeight="1" spans="1:6">
      <c r="A79" s="6">
        <v>78</v>
      </c>
      <c r="B79" s="7" t="str">
        <f t="shared" ref="B79:B81" si="40">"978-7-108-04320-7"</f>
        <v>978-7-108-04320-7</v>
      </c>
      <c r="C79" s="7" t="str">
        <f t="shared" ref="C79:C81" si="41">"伊索尔德的魔汤：春药的文化史"</f>
        <v>伊索尔德的魔汤：春药的文化史</v>
      </c>
      <c r="D79" s="7" t="str">
        <f t="shared" ref="D79:D81" si="42">"(德) 克劳迪亚·米勒-埃贝林， 克里斯蒂安·拉奇著；王泰智， 沈惠珠译"</f>
        <v>(德) 克劳迪亚·米勒-埃贝林， 克里斯蒂安·拉奇著；王泰智， 沈惠珠译</v>
      </c>
      <c r="E79" s="7" t="str">
        <f t="shared" ref="E79:E81" si="43">"生活·读书·新知三联书店"</f>
        <v>生活·读书·新知三联书店</v>
      </c>
      <c r="F79" s="7" t="str">
        <f t="shared" ref="F79:F81" si="44">"R282.71/54"</f>
        <v>R282.71/54</v>
      </c>
    </row>
    <row r="80" customHeight="1" spans="1:6">
      <c r="A80" s="6">
        <v>79</v>
      </c>
      <c r="B80" s="7" t="str">
        <f t="shared" si="40"/>
        <v>978-7-108-04320-7</v>
      </c>
      <c r="C80" s="7" t="str">
        <f t="shared" si="41"/>
        <v>伊索尔德的魔汤：春药的文化史</v>
      </c>
      <c r="D80" s="7" t="str">
        <f t="shared" si="42"/>
        <v>(德) 克劳迪亚·米勒-埃贝林， 克里斯蒂安·拉奇著；王泰智， 沈惠珠译</v>
      </c>
      <c r="E80" s="7" t="str">
        <f t="shared" si="43"/>
        <v>生活·读书·新知三联书店</v>
      </c>
      <c r="F80" s="7" t="str">
        <f t="shared" si="44"/>
        <v>R282.71/54</v>
      </c>
    </row>
    <row r="81" customHeight="1" spans="1:6">
      <c r="A81" s="6">
        <v>80</v>
      </c>
      <c r="B81" s="7" t="str">
        <f t="shared" si="40"/>
        <v>978-7-108-04320-7</v>
      </c>
      <c r="C81" s="7" t="str">
        <f t="shared" si="41"/>
        <v>伊索尔德的魔汤：春药的文化史</v>
      </c>
      <c r="D81" s="7" t="str">
        <f t="shared" si="42"/>
        <v>(德) 克劳迪亚·米勒-埃贝林， 克里斯蒂安·拉奇著；王泰智， 沈惠珠译</v>
      </c>
      <c r="E81" s="7" t="str">
        <f t="shared" si="43"/>
        <v>生活·读书·新知三联书店</v>
      </c>
      <c r="F81" s="7" t="str">
        <f t="shared" si="44"/>
        <v>R282.71/54</v>
      </c>
    </row>
    <row r="82" customHeight="1" spans="1:6">
      <c r="A82" s="6">
        <v>81</v>
      </c>
      <c r="B82" s="8" t="s">
        <v>14655</v>
      </c>
      <c r="C82" s="8" t="s">
        <v>14656</v>
      </c>
      <c r="D82" s="8" t="s">
        <v>14657</v>
      </c>
      <c r="E82" s="8" t="s">
        <v>14519</v>
      </c>
      <c r="F82" s="8" t="s">
        <v>14658</v>
      </c>
    </row>
    <row r="83" customHeight="1" spans="1:6">
      <c r="A83" s="6">
        <v>82</v>
      </c>
      <c r="B83" s="8" t="s">
        <v>14655</v>
      </c>
      <c r="C83" s="8" t="s">
        <v>14656</v>
      </c>
      <c r="D83" s="8" t="s">
        <v>14657</v>
      </c>
      <c r="E83" s="8" t="s">
        <v>14519</v>
      </c>
      <c r="F83" s="8" t="s">
        <v>14658</v>
      </c>
    </row>
    <row r="84" customHeight="1" spans="1:6">
      <c r="A84" s="6">
        <v>83</v>
      </c>
      <c r="B84" s="8" t="s">
        <v>14659</v>
      </c>
      <c r="C84" s="8" t="s">
        <v>14660</v>
      </c>
      <c r="D84" s="8" t="s">
        <v>14661</v>
      </c>
      <c r="E84" s="8" t="s">
        <v>665</v>
      </c>
      <c r="F84" s="8" t="s">
        <v>14662</v>
      </c>
    </row>
    <row r="85" customHeight="1" spans="1:6">
      <c r="A85" s="6">
        <v>84</v>
      </c>
      <c r="B85" s="8" t="s">
        <v>14659</v>
      </c>
      <c r="C85" s="8" t="s">
        <v>14660</v>
      </c>
      <c r="D85" s="8" t="s">
        <v>14661</v>
      </c>
      <c r="E85" s="8" t="s">
        <v>665</v>
      </c>
      <c r="F85" s="8" t="s">
        <v>14662</v>
      </c>
    </row>
    <row r="86" customHeight="1" spans="1:6">
      <c r="A86" s="6">
        <v>85</v>
      </c>
      <c r="B86" s="8" t="s">
        <v>14663</v>
      </c>
      <c r="C86" s="8" t="s">
        <v>14664</v>
      </c>
      <c r="D86" s="8" t="s">
        <v>14665</v>
      </c>
      <c r="E86" s="8" t="s">
        <v>330</v>
      </c>
      <c r="F86" s="8" t="s">
        <v>14666</v>
      </c>
    </row>
    <row r="87" customHeight="1" spans="1:6">
      <c r="A87" s="6">
        <v>86</v>
      </c>
      <c r="B87" s="8" t="s">
        <v>14663</v>
      </c>
      <c r="C87" s="8" t="s">
        <v>14664</v>
      </c>
      <c r="D87" s="8" t="s">
        <v>14665</v>
      </c>
      <c r="E87" s="8" t="s">
        <v>330</v>
      </c>
      <c r="F87" s="8" t="s">
        <v>14666</v>
      </c>
    </row>
    <row r="88" customHeight="1" spans="1:6">
      <c r="A88" s="6">
        <v>87</v>
      </c>
      <c r="B88" s="7" t="str">
        <f t="shared" ref="B88:B90" si="45">"978-7-108-06799-9"</f>
        <v>978-7-108-06799-9</v>
      </c>
      <c r="C88" s="7" t="str">
        <f t="shared" ref="C88:C90" si="46">"千丝万缕：头发的隐秘生活：the secret lives of hair"</f>
        <v>千丝万缕：头发的隐秘生活：the secret lives of hair</v>
      </c>
      <c r="D88" s="7" t="str">
        <f t="shared" ref="D88:D90" si="47">"(美) 爱玛·塔罗著；郑嬿译"</f>
        <v>(美) 爱玛·塔罗著；郑嬿译</v>
      </c>
      <c r="E88" s="7" t="str">
        <f t="shared" ref="E88:E90" si="48">"三联书店"</f>
        <v>三联书店</v>
      </c>
      <c r="F88" s="7" t="str">
        <f t="shared" ref="F88:F90" si="49">"R322.99/3"</f>
        <v>R322.99/3</v>
      </c>
    </row>
    <row r="89" customHeight="1" spans="1:6">
      <c r="A89" s="6">
        <v>88</v>
      </c>
      <c r="B89" s="7" t="str">
        <f t="shared" si="45"/>
        <v>978-7-108-06799-9</v>
      </c>
      <c r="C89" s="7" t="str">
        <f t="shared" si="46"/>
        <v>千丝万缕：头发的隐秘生活：the secret lives of hair</v>
      </c>
      <c r="D89" s="7" t="str">
        <f t="shared" si="47"/>
        <v>(美) 爱玛·塔罗著；郑嬿译</v>
      </c>
      <c r="E89" s="7" t="str">
        <f t="shared" si="48"/>
        <v>三联书店</v>
      </c>
      <c r="F89" s="7" t="str">
        <f t="shared" si="49"/>
        <v>R322.99/3</v>
      </c>
    </row>
    <row r="90" customHeight="1" spans="1:6">
      <c r="A90" s="6">
        <v>89</v>
      </c>
      <c r="B90" s="7" t="str">
        <f t="shared" si="45"/>
        <v>978-7-108-06799-9</v>
      </c>
      <c r="C90" s="7" t="str">
        <f t="shared" si="46"/>
        <v>千丝万缕：头发的隐秘生活：the secret lives of hair</v>
      </c>
      <c r="D90" s="7" t="str">
        <f t="shared" si="47"/>
        <v>(美) 爱玛·塔罗著；郑嬿译</v>
      </c>
      <c r="E90" s="7" t="str">
        <f t="shared" si="48"/>
        <v>三联书店</v>
      </c>
      <c r="F90" s="7" t="str">
        <f t="shared" si="49"/>
        <v>R322.99/3</v>
      </c>
    </row>
    <row r="91" customHeight="1" spans="1:6">
      <c r="A91" s="6">
        <v>90</v>
      </c>
      <c r="B91" s="7" t="str">
        <f t="shared" ref="B91:B93" si="50">"978-7-5447-8428-3"</f>
        <v>978-7-5447-8428-3</v>
      </c>
      <c r="C91" s="7" t="str">
        <f t="shared" ref="C91:C93" si="51">"身体简史：生理学的发现之旅"</f>
        <v>身体简史：生理学的发现之旅</v>
      </c>
      <c r="D91" s="7" t="str">
        <f t="shared" ref="D91:D93" si="52">"潘震泽著"</f>
        <v>潘震泽著</v>
      </c>
      <c r="E91" s="7" t="str">
        <f t="shared" ref="E91:E93" si="53">"译林出版社"</f>
        <v>译林出版社</v>
      </c>
      <c r="F91" s="7" t="str">
        <f t="shared" ref="F91:F93" si="54">"R33/92"</f>
        <v>R33/92</v>
      </c>
    </row>
    <row r="92" customHeight="1" spans="1:6">
      <c r="A92" s="6">
        <v>91</v>
      </c>
      <c r="B92" s="7" t="str">
        <f t="shared" si="50"/>
        <v>978-7-5447-8428-3</v>
      </c>
      <c r="C92" s="7" t="str">
        <f t="shared" si="51"/>
        <v>身体简史：生理学的发现之旅</v>
      </c>
      <c r="D92" s="7" t="str">
        <f t="shared" si="52"/>
        <v>潘震泽著</v>
      </c>
      <c r="E92" s="7" t="str">
        <f t="shared" si="53"/>
        <v>译林出版社</v>
      </c>
      <c r="F92" s="7" t="str">
        <f t="shared" si="54"/>
        <v>R33/92</v>
      </c>
    </row>
    <row r="93" customHeight="1" spans="1:6">
      <c r="A93" s="6">
        <v>92</v>
      </c>
      <c r="B93" s="7" t="str">
        <f t="shared" si="50"/>
        <v>978-7-5447-8428-3</v>
      </c>
      <c r="C93" s="7" t="str">
        <f t="shared" si="51"/>
        <v>身体简史：生理学的发现之旅</v>
      </c>
      <c r="D93" s="7" t="str">
        <f t="shared" si="52"/>
        <v>潘震泽著</v>
      </c>
      <c r="E93" s="7" t="str">
        <f t="shared" si="53"/>
        <v>译林出版社</v>
      </c>
      <c r="F93" s="7" t="str">
        <f t="shared" si="54"/>
        <v>R33/92</v>
      </c>
    </row>
    <row r="94" customHeight="1" spans="1:6">
      <c r="A94" s="6">
        <v>93</v>
      </c>
      <c r="B94" s="7" t="str">
        <f>"978-7-5203-2397-0"</f>
        <v>978-7-5203-2397-0</v>
      </c>
      <c r="C94" s="7" t="str">
        <f>"大脑的秘密：心理预期"</f>
        <v>大脑的秘密：心理预期</v>
      </c>
      <c r="D94" s="7" t="str">
        <f>"冉光明著"</f>
        <v>冉光明著</v>
      </c>
      <c r="E94" s="7" t="str">
        <f>"中国社会科学出版社"</f>
        <v>中国社会科学出版社</v>
      </c>
      <c r="F94" s="7" t="str">
        <f>"R338.2/69"</f>
        <v>R338.2/69</v>
      </c>
    </row>
    <row r="95" customHeight="1" spans="1:6">
      <c r="A95" s="6">
        <v>94</v>
      </c>
      <c r="B95" s="7" t="str">
        <f>"978-7-5203-2397-0"</f>
        <v>978-7-5203-2397-0</v>
      </c>
      <c r="C95" s="7" t="str">
        <f>"大脑的秘密：心理预期"</f>
        <v>大脑的秘密：心理预期</v>
      </c>
      <c r="D95" s="7" t="str">
        <f>"冉光明著"</f>
        <v>冉光明著</v>
      </c>
      <c r="E95" s="7" t="str">
        <f>"中国社会科学出版社"</f>
        <v>中国社会科学出版社</v>
      </c>
      <c r="F95" s="7" t="str">
        <f>"R338.2/69"</f>
        <v>R338.2/69</v>
      </c>
    </row>
    <row r="96" customHeight="1" spans="1:6">
      <c r="A96" s="6">
        <v>95</v>
      </c>
      <c r="B96" s="7" t="str">
        <f>"978-7-5334-8737-9"</f>
        <v>978-7-5334-8737-9</v>
      </c>
      <c r="C96" s="7" t="str">
        <f>"是我把你蠢哭了吗：神经科学家戳破大脑的聪明假象：a neuroscientist explains what your head is really up to"</f>
        <v>是我把你蠢哭了吗：神经科学家戳破大脑的聪明假象：a neuroscientist explains what your head is really up to</v>
      </c>
      <c r="D96" s="7" t="str">
        <f>"(英) 迪安·博内特著Dean Burnett；朱机译"</f>
        <v>(英) 迪安·博内特著Dean Burnett；朱机译</v>
      </c>
      <c r="E96" s="7" t="str">
        <f>"福建教育出版社"</f>
        <v>福建教育出版社</v>
      </c>
      <c r="F96" s="7" t="str">
        <f>"R338.2/70"</f>
        <v>R338.2/70</v>
      </c>
    </row>
    <row r="97" customHeight="1" spans="1:6">
      <c r="A97" s="6">
        <v>96</v>
      </c>
      <c r="B97" s="7" t="str">
        <f>"978-7-5334-8737-9"</f>
        <v>978-7-5334-8737-9</v>
      </c>
      <c r="C97" s="7" t="str">
        <f>"是我把你蠢哭了吗：神经科学家戳破大脑的聪明假象：a neuroscientist explains what your head is really up to"</f>
        <v>是我把你蠢哭了吗：神经科学家戳破大脑的聪明假象：a neuroscientist explains what your head is really up to</v>
      </c>
      <c r="D97" s="7" t="str">
        <f>"(英) 迪安·博内特著Dean Burnett；朱机译"</f>
        <v>(英) 迪安·博内特著Dean Burnett；朱机译</v>
      </c>
      <c r="E97" s="7" t="str">
        <f>"福建教育出版社"</f>
        <v>福建教育出版社</v>
      </c>
      <c r="F97" s="7" t="str">
        <f>"R338.2/70"</f>
        <v>R338.2/70</v>
      </c>
    </row>
    <row r="98" customHeight="1" spans="1:6">
      <c r="A98" s="6">
        <v>97</v>
      </c>
      <c r="B98" s="7" t="str">
        <f>"978-7-5217-2830-9"</f>
        <v>978-7-5217-2830-9</v>
      </c>
      <c r="C98" s="7" t="str">
        <f>"脑机革命"</f>
        <v>脑机革命</v>
      </c>
      <c r="D98" s="7" t="str">
        <f>"(澳) 谭乐著Tan Le；周先武 ... [等] 译"</f>
        <v>(澳) 谭乐著Tan Le；周先武 ... [等] 译</v>
      </c>
      <c r="E98" s="7" t="str">
        <f>"中信出版集团"</f>
        <v>中信出版集团</v>
      </c>
      <c r="F98" s="7" t="str">
        <f>"R338.2/71"</f>
        <v>R338.2/71</v>
      </c>
    </row>
    <row r="99" customHeight="1" spans="1:6">
      <c r="A99" s="6">
        <v>98</v>
      </c>
      <c r="B99" s="7" t="str">
        <f>"978-7-5217-2830-9"</f>
        <v>978-7-5217-2830-9</v>
      </c>
      <c r="C99" s="7" t="str">
        <f>"脑机革命"</f>
        <v>脑机革命</v>
      </c>
      <c r="D99" s="7" t="str">
        <f>"(澳) 谭乐著Tan Le；周先武 ... [等] 译"</f>
        <v>(澳) 谭乐著Tan Le；周先武 ... [等] 译</v>
      </c>
      <c r="E99" s="7" t="str">
        <f>"中信出版集团"</f>
        <v>中信出版集团</v>
      </c>
      <c r="F99" s="7" t="str">
        <f>"R338.2/71"</f>
        <v>R338.2/71</v>
      </c>
    </row>
    <row r="100" customHeight="1" spans="1:6">
      <c r="A100" s="6">
        <v>99</v>
      </c>
      <c r="B100" s="7" t="str">
        <f>"978-7-5680-7155-0"</f>
        <v>978-7-5680-7155-0</v>
      </c>
      <c r="C100" s="7" t="str">
        <f>"大脑"</f>
        <v>大脑</v>
      </c>
      <c r="D100" s="7" t="str">
        <f>"(美) 加里·L. 温克著；雷霆， 胡峰译"</f>
        <v>(美) 加里·L. 温克著；雷霆， 胡峰译</v>
      </c>
      <c r="E100" s="7" t="str">
        <f>"华中科技大学出版社"</f>
        <v>华中科技大学出版社</v>
      </c>
      <c r="F100" s="7" t="str">
        <f>"R338.2-49/3"</f>
        <v>R338.2-49/3</v>
      </c>
    </row>
    <row r="101" customHeight="1" spans="1:6">
      <c r="A101" s="6">
        <v>100</v>
      </c>
      <c r="B101" s="7" t="str">
        <f>"978-7-5680-7155-0"</f>
        <v>978-7-5680-7155-0</v>
      </c>
      <c r="C101" s="7" t="str">
        <f>"大脑"</f>
        <v>大脑</v>
      </c>
      <c r="D101" s="7" t="str">
        <f>"(美) 加里·L. 温克著；雷霆， 胡峰译"</f>
        <v>(美) 加里·L. 温克著；雷霆， 胡峰译</v>
      </c>
      <c r="E101" s="7" t="str">
        <f>"华中科技大学出版社"</f>
        <v>华中科技大学出版社</v>
      </c>
      <c r="F101" s="7" t="str">
        <f>"R338.2-49/3"</f>
        <v>R338.2-49/3</v>
      </c>
    </row>
    <row r="102" customHeight="1" spans="1:6">
      <c r="A102" s="6">
        <v>101</v>
      </c>
      <c r="B102" s="7" t="str">
        <f t="shared" ref="B102:B104" si="55">"978-7-5727-0145-0"</f>
        <v>978-7-5727-0145-0</v>
      </c>
      <c r="C102" s="7" t="str">
        <f t="shared" ref="C102:C104" si="56">"“醉醺醺”的脑科学：世界顶级科学家最想让你知道的大脑功能"</f>
        <v>“醉醺醺”的脑科学：世界顶级科学家最想让你知道的大脑功能</v>
      </c>
      <c r="D102" s="7" t="str">
        <f t="shared" ref="D102:D104" si="57">"(美) 大卫·林登著David J. Lingen；沈颖， 韩俊海译"</f>
        <v>(美) 大卫·林登著David J. Lingen；沈颖， 韩俊海译</v>
      </c>
      <c r="E102" s="7" t="str">
        <f t="shared" ref="E102:E104" si="58">"四川科学技术出版社"</f>
        <v>四川科学技术出版社</v>
      </c>
      <c r="F102" s="7" t="str">
        <f t="shared" ref="F102:F104" si="59">"R338.2-53/2"</f>
        <v>R338.2-53/2</v>
      </c>
    </row>
    <row r="103" customHeight="1" spans="1:6">
      <c r="A103" s="6">
        <v>102</v>
      </c>
      <c r="B103" s="7" t="str">
        <f t="shared" si="55"/>
        <v>978-7-5727-0145-0</v>
      </c>
      <c r="C103" s="7" t="str">
        <f t="shared" si="56"/>
        <v>“醉醺醺”的脑科学：世界顶级科学家最想让你知道的大脑功能</v>
      </c>
      <c r="D103" s="7" t="str">
        <f t="shared" si="57"/>
        <v>(美) 大卫·林登著David J. Lingen；沈颖， 韩俊海译</v>
      </c>
      <c r="E103" s="7" t="str">
        <f t="shared" si="58"/>
        <v>四川科学技术出版社</v>
      </c>
      <c r="F103" s="7" t="str">
        <f t="shared" si="59"/>
        <v>R338.2-53/2</v>
      </c>
    </row>
    <row r="104" customHeight="1" spans="1:6">
      <c r="A104" s="6">
        <v>103</v>
      </c>
      <c r="B104" s="7" t="str">
        <f t="shared" si="55"/>
        <v>978-7-5727-0145-0</v>
      </c>
      <c r="C104" s="7" t="str">
        <f t="shared" si="56"/>
        <v>“醉醺醺”的脑科学：世界顶级科学家最想让你知道的大脑功能</v>
      </c>
      <c r="D104" s="7" t="str">
        <f t="shared" si="57"/>
        <v>(美) 大卫·林登著David J. Lingen；沈颖， 韩俊海译</v>
      </c>
      <c r="E104" s="7" t="str">
        <f t="shared" si="58"/>
        <v>四川科学技术出版社</v>
      </c>
      <c r="F104" s="7" t="str">
        <f t="shared" si="59"/>
        <v>R338.2-53/2</v>
      </c>
    </row>
    <row r="105" customHeight="1" spans="1:6">
      <c r="A105" s="6">
        <v>104</v>
      </c>
      <c r="B105" s="8" t="s">
        <v>14667</v>
      </c>
      <c r="C105" s="8" t="s">
        <v>14668</v>
      </c>
      <c r="D105" s="8" t="s">
        <v>14669</v>
      </c>
      <c r="E105" s="8" t="s">
        <v>2566</v>
      </c>
      <c r="F105" s="8" t="s">
        <v>14670</v>
      </c>
    </row>
    <row r="106" customHeight="1" spans="1:6">
      <c r="A106" s="6">
        <v>105</v>
      </c>
      <c r="B106" s="8" t="s">
        <v>14667</v>
      </c>
      <c r="C106" s="8" t="s">
        <v>14668</v>
      </c>
      <c r="D106" s="8" t="s">
        <v>14669</v>
      </c>
      <c r="E106" s="8" t="s">
        <v>2566</v>
      </c>
      <c r="F106" s="8" t="s">
        <v>14670</v>
      </c>
    </row>
    <row r="107" customHeight="1" spans="1:6">
      <c r="A107" s="6">
        <v>106</v>
      </c>
      <c r="B107" s="8" t="s">
        <v>14667</v>
      </c>
      <c r="C107" s="8" t="s">
        <v>14668</v>
      </c>
      <c r="D107" s="8" t="s">
        <v>14669</v>
      </c>
      <c r="E107" s="8" t="s">
        <v>2566</v>
      </c>
      <c r="F107" s="8" t="s">
        <v>14670</v>
      </c>
    </row>
    <row r="108" customHeight="1" spans="1:6">
      <c r="A108" s="6">
        <v>107</v>
      </c>
      <c r="B108" s="8" t="s">
        <v>14671</v>
      </c>
      <c r="C108" s="8" t="s">
        <v>14672</v>
      </c>
      <c r="D108" s="8" t="s">
        <v>14673</v>
      </c>
      <c r="E108" s="8" t="s">
        <v>544</v>
      </c>
      <c r="F108" s="8" t="s">
        <v>14674</v>
      </c>
    </row>
    <row r="109" customHeight="1" spans="1:6">
      <c r="A109" s="6">
        <v>108</v>
      </c>
      <c r="B109" s="8" t="s">
        <v>14671</v>
      </c>
      <c r="C109" s="8" t="s">
        <v>14672</v>
      </c>
      <c r="D109" s="8" t="s">
        <v>14673</v>
      </c>
      <c r="E109" s="8" t="s">
        <v>544</v>
      </c>
      <c r="F109" s="8" t="s">
        <v>14674</v>
      </c>
    </row>
    <row r="110" customHeight="1" spans="1:6">
      <c r="A110" s="6">
        <v>109</v>
      </c>
      <c r="B110" s="8" t="s">
        <v>14671</v>
      </c>
      <c r="C110" s="8" t="s">
        <v>14672</v>
      </c>
      <c r="D110" s="8" t="s">
        <v>14673</v>
      </c>
      <c r="E110" s="8" t="s">
        <v>544</v>
      </c>
      <c r="F110" s="8" t="s">
        <v>14674</v>
      </c>
    </row>
    <row r="111" customHeight="1" spans="1:6">
      <c r="A111" s="6">
        <v>110</v>
      </c>
      <c r="B111" s="8" t="s">
        <v>14675</v>
      </c>
      <c r="C111" s="8" t="s">
        <v>14676</v>
      </c>
      <c r="D111" s="8" t="s">
        <v>14677</v>
      </c>
      <c r="E111" s="8" t="s">
        <v>2566</v>
      </c>
      <c r="F111" s="8" t="s">
        <v>14678</v>
      </c>
    </row>
    <row r="112" customHeight="1" spans="1:6">
      <c r="A112" s="6">
        <v>111</v>
      </c>
      <c r="B112" s="8" t="s">
        <v>14675</v>
      </c>
      <c r="C112" s="8" t="s">
        <v>14676</v>
      </c>
      <c r="D112" s="8" t="s">
        <v>14677</v>
      </c>
      <c r="E112" s="8" t="s">
        <v>2566</v>
      </c>
      <c r="F112" s="8" t="s">
        <v>14678</v>
      </c>
    </row>
    <row r="113" customHeight="1" spans="1:6">
      <c r="A113" s="6">
        <v>112</v>
      </c>
      <c r="B113" s="8" t="s">
        <v>14679</v>
      </c>
      <c r="C113" s="8" t="s">
        <v>14680</v>
      </c>
      <c r="D113" s="8" t="s">
        <v>14681</v>
      </c>
      <c r="E113" s="8" t="s">
        <v>2566</v>
      </c>
      <c r="F113" s="8" t="s">
        <v>14682</v>
      </c>
    </row>
    <row r="114" customHeight="1" spans="1:6">
      <c r="A114" s="6">
        <v>113</v>
      </c>
      <c r="B114" s="8" t="s">
        <v>14679</v>
      </c>
      <c r="C114" s="8" t="s">
        <v>14680</v>
      </c>
      <c r="D114" s="8" t="s">
        <v>14681</v>
      </c>
      <c r="E114" s="8" t="s">
        <v>2566</v>
      </c>
      <c r="F114" s="8" t="s">
        <v>14682</v>
      </c>
    </row>
    <row r="115" customHeight="1" spans="1:6">
      <c r="A115" s="6">
        <v>114</v>
      </c>
      <c r="B115" s="8" t="s">
        <v>14679</v>
      </c>
      <c r="C115" s="8" t="s">
        <v>14680</v>
      </c>
      <c r="D115" s="8" t="s">
        <v>14681</v>
      </c>
      <c r="E115" s="8" t="s">
        <v>2566</v>
      </c>
      <c r="F115" s="8" t="s">
        <v>14682</v>
      </c>
    </row>
    <row r="116" customHeight="1" spans="1:6">
      <c r="A116" s="6">
        <v>115</v>
      </c>
      <c r="B116" s="8" t="s">
        <v>14683</v>
      </c>
      <c r="C116" s="8" t="s">
        <v>14684</v>
      </c>
      <c r="D116" s="8" t="s">
        <v>14685</v>
      </c>
      <c r="E116" s="8" t="s">
        <v>2566</v>
      </c>
      <c r="F116" s="8" t="s">
        <v>14686</v>
      </c>
    </row>
    <row r="117" customHeight="1" spans="1:6">
      <c r="A117" s="6">
        <v>116</v>
      </c>
      <c r="B117" s="8" t="s">
        <v>14683</v>
      </c>
      <c r="C117" s="8" t="s">
        <v>14684</v>
      </c>
      <c r="D117" s="8" t="s">
        <v>14685</v>
      </c>
      <c r="E117" s="8" t="s">
        <v>2566</v>
      </c>
      <c r="F117" s="8" t="s">
        <v>14686</v>
      </c>
    </row>
    <row r="118" customHeight="1" spans="1:6">
      <c r="A118" s="6">
        <v>117</v>
      </c>
      <c r="B118" s="8" t="s">
        <v>14683</v>
      </c>
      <c r="C118" s="8" t="s">
        <v>14684</v>
      </c>
      <c r="D118" s="8" t="s">
        <v>14685</v>
      </c>
      <c r="E118" s="8" t="s">
        <v>2566</v>
      </c>
      <c r="F118" s="8" t="s">
        <v>14686</v>
      </c>
    </row>
    <row r="119" customHeight="1" spans="1:6">
      <c r="A119" s="6">
        <v>118</v>
      </c>
      <c r="B119" s="8" t="s">
        <v>14687</v>
      </c>
      <c r="C119" s="8" t="s">
        <v>14688</v>
      </c>
      <c r="D119" s="8" t="s">
        <v>14689</v>
      </c>
      <c r="E119" s="8" t="s">
        <v>340</v>
      </c>
      <c r="F119" s="8" t="s">
        <v>14690</v>
      </c>
    </row>
    <row r="120" customHeight="1" spans="1:6">
      <c r="A120" s="6">
        <v>119</v>
      </c>
      <c r="B120" s="8" t="s">
        <v>14687</v>
      </c>
      <c r="C120" s="8" t="s">
        <v>14688</v>
      </c>
      <c r="D120" s="8" t="s">
        <v>14689</v>
      </c>
      <c r="E120" s="8" t="s">
        <v>340</v>
      </c>
      <c r="F120" s="8" t="s">
        <v>14690</v>
      </c>
    </row>
    <row r="121" customHeight="1" spans="1:6">
      <c r="A121" s="6">
        <v>120</v>
      </c>
      <c r="B121" s="8" t="s">
        <v>14687</v>
      </c>
      <c r="C121" s="8" t="s">
        <v>14688</v>
      </c>
      <c r="D121" s="8" t="s">
        <v>14689</v>
      </c>
      <c r="E121" s="8" t="s">
        <v>340</v>
      </c>
      <c r="F121" s="8" t="s">
        <v>14690</v>
      </c>
    </row>
    <row r="122" customHeight="1" spans="1:6">
      <c r="A122" s="6">
        <v>121</v>
      </c>
      <c r="B122" s="8" t="s">
        <v>14691</v>
      </c>
      <c r="C122" s="8" t="s">
        <v>14692</v>
      </c>
      <c r="D122" s="8" t="s">
        <v>14693</v>
      </c>
      <c r="E122" s="8" t="s">
        <v>2566</v>
      </c>
      <c r="F122" s="8" t="s">
        <v>14694</v>
      </c>
    </row>
    <row r="123" customHeight="1" spans="1:6">
      <c r="A123" s="6">
        <v>122</v>
      </c>
      <c r="B123" s="8" t="s">
        <v>14691</v>
      </c>
      <c r="C123" s="8" t="s">
        <v>14692</v>
      </c>
      <c r="D123" s="8" t="s">
        <v>14693</v>
      </c>
      <c r="E123" s="8" t="s">
        <v>2566</v>
      </c>
      <c r="F123" s="8" t="s">
        <v>14694</v>
      </c>
    </row>
    <row r="124" customHeight="1" spans="1:6">
      <c r="A124" s="6">
        <v>123</v>
      </c>
      <c r="B124" s="8" t="s">
        <v>14695</v>
      </c>
      <c r="C124" s="8" t="s">
        <v>14696</v>
      </c>
      <c r="D124" s="8" t="s">
        <v>14697</v>
      </c>
      <c r="E124" s="8" t="s">
        <v>283</v>
      </c>
      <c r="F124" s="8" t="s">
        <v>14698</v>
      </c>
    </row>
    <row r="125" customHeight="1" spans="1:6">
      <c r="A125" s="6">
        <v>124</v>
      </c>
      <c r="B125" s="8" t="s">
        <v>14695</v>
      </c>
      <c r="C125" s="8" t="s">
        <v>14696</v>
      </c>
      <c r="D125" s="8" t="s">
        <v>14697</v>
      </c>
      <c r="E125" s="8" t="s">
        <v>283</v>
      </c>
      <c r="F125" s="8" t="s">
        <v>14698</v>
      </c>
    </row>
    <row r="126" customHeight="1" spans="1:6">
      <c r="A126" s="6">
        <v>125</v>
      </c>
      <c r="B126" s="8" t="s">
        <v>14699</v>
      </c>
      <c r="C126" s="8" t="s">
        <v>14700</v>
      </c>
      <c r="D126" s="8" t="s">
        <v>14701</v>
      </c>
      <c r="E126" s="8" t="s">
        <v>2566</v>
      </c>
      <c r="F126" s="8" t="s">
        <v>14702</v>
      </c>
    </row>
    <row r="127" customHeight="1" spans="1:6">
      <c r="A127" s="6">
        <v>126</v>
      </c>
      <c r="B127" s="8" t="s">
        <v>14699</v>
      </c>
      <c r="C127" s="8" t="s">
        <v>14700</v>
      </c>
      <c r="D127" s="8" t="s">
        <v>14701</v>
      </c>
      <c r="E127" s="8" t="s">
        <v>2566</v>
      </c>
      <c r="F127" s="8" t="s">
        <v>14702</v>
      </c>
    </row>
    <row r="128" customHeight="1" spans="1:6">
      <c r="A128" s="6">
        <v>127</v>
      </c>
      <c r="B128" s="8" t="s">
        <v>14699</v>
      </c>
      <c r="C128" s="8" t="s">
        <v>14700</v>
      </c>
      <c r="D128" s="8" t="s">
        <v>14701</v>
      </c>
      <c r="E128" s="8" t="s">
        <v>2566</v>
      </c>
      <c r="F128" s="8" t="s">
        <v>14702</v>
      </c>
    </row>
    <row r="129" customHeight="1" spans="1:6">
      <c r="A129" s="6">
        <v>128</v>
      </c>
      <c r="B129" s="8" t="s">
        <v>14703</v>
      </c>
      <c r="C129" s="8" t="s">
        <v>14704</v>
      </c>
      <c r="D129" s="8" t="s">
        <v>14705</v>
      </c>
      <c r="E129" s="8" t="s">
        <v>13890</v>
      </c>
      <c r="F129" s="8" t="s">
        <v>14706</v>
      </c>
    </row>
    <row r="130" customHeight="1" spans="1:6">
      <c r="A130" s="6">
        <v>129</v>
      </c>
      <c r="B130" s="8" t="s">
        <v>14703</v>
      </c>
      <c r="C130" s="8" t="s">
        <v>14704</v>
      </c>
      <c r="D130" s="8" t="s">
        <v>14705</v>
      </c>
      <c r="E130" s="8" t="s">
        <v>13890</v>
      </c>
      <c r="F130" s="8" t="s">
        <v>14706</v>
      </c>
    </row>
    <row r="131" customHeight="1" spans="1:6">
      <c r="A131" s="6">
        <v>130</v>
      </c>
      <c r="B131" s="8" t="s">
        <v>14707</v>
      </c>
      <c r="C131" s="8" t="s">
        <v>14708</v>
      </c>
      <c r="D131" s="8" t="s">
        <v>14709</v>
      </c>
      <c r="E131" s="8" t="s">
        <v>1534</v>
      </c>
      <c r="F131" s="8" t="s">
        <v>14710</v>
      </c>
    </row>
    <row r="132" customHeight="1" spans="1:6">
      <c r="A132" s="6">
        <v>131</v>
      </c>
      <c r="B132" s="8" t="s">
        <v>14707</v>
      </c>
      <c r="C132" s="8" t="s">
        <v>14708</v>
      </c>
      <c r="D132" s="8" t="s">
        <v>14709</v>
      </c>
      <c r="E132" s="8" t="s">
        <v>1534</v>
      </c>
      <c r="F132" s="8" t="s">
        <v>14710</v>
      </c>
    </row>
    <row r="133" customHeight="1" spans="1:6">
      <c r="A133" s="6">
        <v>132</v>
      </c>
      <c r="B133" s="8" t="s">
        <v>14711</v>
      </c>
      <c r="C133" s="8" t="s">
        <v>14712</v>
      </c>
      <c r="D133" s="8" t="s">
        <v>14713</v>
      </c>
      <c r="E133" s="8" t="s">
        <v>239</v>
      </c>
      <c r="F133" s="8" t="s">
        <v>14714</v>
      </c>
    </row>
    <row r="134" customHeight="1" spans="1:6">
      <c r="A134" s="6">
        <v>133</v>
      </c>
      <c r="B134" s="8" t="s">
        <v>14711</v>
      </c>
      <c r="C134" s="8" t="s">
        <v>14712</v>
      </c>
      <c r="D134" s="8" t="s">
        <v>14713</v>
      </c>
      <c r="E134" s="8" t="s">
        <v>239</v>
      </c>
      <c r="F134" s="8" t="s">
        <v>14714</v>
      </c>
    </row>
    <row r="135" customHeight="1" spans="1:6">
      <c r="A135" s="6">
        <v>134</v>
      </c>
      <c r="B135" s="8" t="s">
        <v>14715</v>
      </c>
      <c r="C135" s="8" t="s">
        <v>14716</v>
      </c>
      <c r="D135" s="8" t="s">
        <v>14717</v>
      </c>
      <c r="E135" s="8" t="s">
        <v>8825</v>
      </c>
      <c r="F135" s="8" t="s">
        <v>14718</v>
      </c>
    </row>
    <row r="136" customHeight="1" spans="1:6">
      <c r="A136" s="6">
        <v>135</v>
      </c>
      <c r="B136" s="8" t="s">
        <v>14715</v>
      </c>
      <c r="C136" s="8" t="s">
        <v>14716</v>
      </c>
      <c r="D136" s="8" t="s">
        <v>14717</v>
      </c>
      <c r="E136" s="8" t="s">
        <v>8825</v>
      </c>
      <c r="F136" s="8" t="s">
        <v>14718</v>
      </c>
    </row>
    <row r="137" customHeight="1" spans="1:6">
      <c r="A137" s="6">
        <v>136</v>
      </c>
      <c r="B137" s="8" t="s">
        <v>14719</v>
      </c>
      <c r="C137" s="8" t="s">
        <v>14720</v>
      </c>
      <c r="D137" s="8" t="s">
        <v>14721</v>
      </c>
      <c r="E137" s="8" t="s">
        <v>5093</v>
      </c>
      <c r="F137" s="8" t="s">
        <v>14722</v>
      </c>
    </row>
    <row r="138" customHeight="1" spans="1:6">
      <c r="A138" s="6">
        <v>137</v>
      </c>
      <c r="B138" s="8" t="s">
        <v>14719</v>
      </c>
      <c r="C138" s="8" t="s">
        <v>14720</v>
      </c>
      <c r="D138" s="8" t="s">
        <v>14721</v>
      </c>
      <c r="E138" s="8" t="s">
        <v>5093</v>
      </c>
      <c r="F138" s="8" t="s">
        <v>14722</v>
      </c>
    </row>
    <row r="139" customHeight="1" spans="1:6">
      <c r="A139" s="6">
        <v>138</v>
      </c>
      <c r="B139" s="8" t="s">
        <v>14723</v>
      </c>
      <c r="C139" s="8" t="s">
        <v>14724</v>
      </c>
      <c r="D139" s="8" t="s">
        <v>14725</v>
      </c>
      <c r="E139" s="8" t="s">
        <v>14726</v>
      </c>
      <c r="F139" s="8" t="s">
        <v>14727</v>
      </c>
    </row>
    <row r="140" customHeight="1" spans="1:6">
      <c r="A140" s="6">
        <v>139</v>
      </c>
      <c r="B140" s="8" t="s">
        <v>14723</v>
      </c>
      <c r="C140" s="8" t="s">
        <v>14724</v>
      </c>
      <c r="D140" s="8" t="s">
        <v>14725</v>
      </c>
      <c r="E140" s="8" t="s">
        <v>14726</v>
      </c>
      <c r="F140" s="8" t="s">
        <v>14727</v>
      </c>
    </row>
    <row r="141" customHeight="1" spans="1:6">
      <c r="A141" s="6">
        <v>140</v>
      </c>
      <c r="B141" s="8" t="s">
        <v>14728</v>
      </c>
      <c r="C141" s="8" t="s">
        <v>14729</v>
      </c>
      <c r="D141" s="8" t="s">
        <v>14730</v>
      </c>
      <c r="E141" s="8" t="s">
        <v>3146</v>
      </c>
      <c r="F141" s="8" t="s">
        <v>14731</v>
      </c>
    </row>
    <row r="142" customHeight="1" spans="1:6">
      <c r="A142" s="6">
        <v>141</v>
      </c>
      <c r="B142" s="8" t="s">
        <v>14728</v>
      </c>
      <c r="C142" s="8" t="s">
        <v>14729</v>
      </c>
      <c r="D142" s="8" t="s">
        <v>14730</v>
      </c>
      <c r="E142" s="8" t="s">
        <v>3146</v>
      </c>
      <c r="F142" s="8" t="s">
        <v>14731</v>
      </c>
    </row>
    <row r="143" customHeight="1" spans="1:6">
      <c r="A143" s="6">
        <v>142</v>
      </c>
      <c r="B143" s="8" t="s">
        <v>14732</v>
      </c>
      <c r="C143" s="8" t="s">
        <v>14733</v>
      </c>
      <c r="D143" s="8" t="s">
        <v>14734</v>
      </c>
      <c r="E143" s="8" t="s">
        <v>425</v>
      </c>
      <c r="F143" s="8" t="s">
        <v>14735</v>
      </c>
    </row>
    <row r="144" customHeight="1" spans="1:6">
      <c r="A144" s="6">
        <v>143</v>
      </c>
      <c r="B144" s="8" t="s">
        <v>14732</v>
      </c>
      <c r="C144" s="8" t="s">
        <v>14733</v>
      </c>
      <c r="D144" s="8" t="s">
        <v>14734</v>
      </c>
      <c r="E144" s="8" t="s">
        <v>425</v>
      </c>
      <c r="F144" s="8" t="s">
        <v>14735</v>
      </c>
    </row>
    <row r="145" customHeight="1" spans="1:6">
      <c r="A145" s="6">
        <v>144</v>
      </c>
      <c r="B145" s="8" t="s">
        <v>14736</v>
      </c>
      <c r="C145" s="8" t="s">
        <v>14737</v>
      </c>
      <c r="D145" s="8" t="s">
        <v>14738</v>
      </c>
      <c r="E145" s="8" t="s">
        <v>2068</v>
      </c>
      <c r="F145" s="8" t="s">
        <v>14739</v>
      </c>
    </row>
    <row r="146" customHeight="1" spans="1:6">
      <c r="A146" s="6">
        <v>145</v>
      </c>
      <c r="B146" s="8" t="s">
        <v>14736</v>
      </c>
      <c r="C146" s="8" t="s">
        <v>14737</v>
      </c>
      <c r="D146" s="8" t="s">
        <v>14738</v>
      </c>
      <c r="E146" s="8" t="s">
        <v>2068</v>
      </c>
      <c r="F146" s="8" t="s">
        <v>14739</v>
      </c>
    </row>
    <row r="147" customHeight="1" spans="1:6">
      <c r="A147" s="6">
        <v>146</v>
      </c>
      <c r="B147" s="8" t="s">
        <v>14740</v>
      </c>
      <c r="C147" s="8" t="s">
        <v>14741</v>
      </c>
      <c r="D147" s="8" t="s">
        <v>14742</v>
      </c>
      <c r="E147" s="8" t="s">
        <v>8153</v>
      </c>
      <c r="F147" s="8" t="s">
        <v>14743</v>
      </c>
    </row>
    <row r="148" customHeight="1" spans="1:6">
      <c r="A148" s="6">
        <v>147</v>
      </c>
      <c r="B148" s="8" t="s">
        <v>14740</v>
      </c>
      <c r="C148" s="8" t="s">
        <v>14741</v>
      </c>
      <c r="D148" s="8" t="s">
        <v>14742</v>
      </c>
      <c r="E148" s="8" t="s">
        <v>8153</v>
      </c>
      <c r="F148" s="8" t="s">
        <v>14743</v>
      </c>
    </row>
    <row r="149" customHeight="1" spans="1:6">
      <c r="A149" s="6">
        <v>148</v>
      </c>
      <c r="B149" s="8" t="s">
        <v>14744</v>
      </c>
      <c r="C149" s="8" t="s">
        <v>14745</v>
      </c>
      <c r="D149" s="8" t="s">
        <v>14746</v>
      </c>
      <c r="E149" s="8" t="s">
        <v>744</v>
      </c>
      <c r="F149" s="8" t="s">
        <v>14747</v>
      </c>
    </row>
    <row r="150" customHeight="1" spans="1:6">
      <c r="A150" s="6">
        <v>149</v>
      </c>
      <c r="B150" s="8" t="s">
        <v>14744</v>
      </c>
      <c r="C150" s="8" t="s">
        <v>14745</v>
      </c>
      <c r="D150" s="8" t="s">
        <v>14746</v>
      </c>
      <c r="E150" s="8" t="s">
        <v>744</v>
      </c>
      <c r="F150" s="8" t="s">
        <v>14747</v>
      </c>
    </row>
    <row r="151" customHeight="1" spans="1:6">
      <c r="A151" s="6">
        <v>150</v>
      </c>
      <c r="B151" s="8" t="s">
        <v>14748</v>
      </c>
      <c r="C151" s="8" t="s">
        <v>14749</v>
      </c>
      <c r="D151" s="8" t="s">
        <v>14750</v>
      </c>
      <c r="E151" s="8" t="s">
        <v>1534</v>
      </c>
      <c r="F151" s="8" t="s">
        <v>14751</v>
      </c>
    </row>
    <row r="152" customHeight="1" spans="1:6">
      <c r="A152" s="6">
        <v>151</v>
      </c>
      <c r="B152" s="8" t="s">
        <v>14752</v>
      </c>
      <c r="C152" s="8" t="s">
        <v>14753</v>
      </c>
      <c r="D152" s="8" t="s">
        <v>14754</v>
      </c>
      <c r="E152" s="8" t="s">
        <v>1534</v>
      </c>
      <c r="F152" s="8" t="s">
        <v>14755</v>
      </c>
    </row>
    <row r="153" customHeight="1" spans="1:6">
      <c r="A153" s="6">
        <v>152</v>
      </c>
      <c r="B153" s="8" t="s">
        <v>14752</v>
      </c>
      <c r="C153" s="8" t="s">
        <v>14753</v>
      </c>
      <c r="D153" s="8" t="s">
        <v>14754</v>
      </c>
      <c r="E153" s="8" t="s">
        <v>1534</v>
      </c>
      <c r="F153" s="8" t="s">
        <v>14755</v>
      </c>
    </row>
    <row r="154" customHeight="1" spans="1:6">
      <c r="A154" s="6">
        <v>153</v>
      </c>
      <c r="B154" s="8" t="s">
        <v>14756</v>
      </c>
      <c r="C154" s="8" t="s">
        <v>14757</v>
      </c>
      <c r="D154" s="8" t="s">
        <v>14758</v>
      </c>
      <c r="E154" s="8" t="s">
        <v>1236</v>
      </c>
      <c r="F154" s="8" t="s">
        <v>14759</v>
      </c>
    </row>
    <row r="155" customHeight="1" spans="1:6">
      <c r="A155" s="6">
        <v>154</v>
      </c>
      <c r="B155" s="8" t="s">
        <v>14756</v>
      </c>
      <c r="C155" s="8" t="s">
        <v>14757</v>
      </c>
      <c r="D155" s="8" t="s">
        <v>14758</v>
      </c>
      <c r="E155" s="8" t="s">
        <v>1236</v>
      </c>
      <c r="F155" s="8" t="s">
        <v>14759</v>
      </c>
    </row>
    <row r="156" customHeight="1" spans="1:6">
      <c r="A156" s="6">
        <v>155</v>
      </c>
      <c r="B156" s="8" t="s">
        <v>14760</v>
      </c>
      <c r="C156" s="8" t="s">
        <v>14761</v>
      </c>
      <c r="D156" s="8" t="s">
        <v>14762</v>
      </c>
      <c r="E156" s="8" t="s">
        <v>1534</v>
      </c>
      <c r="F156" s="8" t="s">
        <v>14763</v>
      </c>
    </row>
    <row r="157" customHeight="1" spans="1:6">
      <c r="A157" s="6">
        <v>156</v>
      </c>
      <c r="B157" s="8" t="s">
        <v>14760</v>
      </c>
      <c r="C157" s="8" t="s">
        <v>14761</v>
      </c>
      <c r="D157" s="8" t="s">
        <v>14762</v>
      </c>
      <c r="E157" s="8" t="s">
        <v>1534</v>
      </c>
      <c r="F157" s="8" t="s">
        <v>14763</v>
      </c>
    </row>
    <row r="158" customHeight="1" spans="1:6">
      <c r="A158" s="6">
        <v>157</v>
      </c>
      <c r="B158" s="8" t="s">
        <v>14764</v>
      </c>
      <c r="C158" s="8" t="s">
        <v>14765</v>
      </c>
      <c r="D158" s="8" t="s">
        <v>14766</v>
      </c>
      <c r="E158" s="8" t="s">
        <v>293</v>
      </c>
      <c r="F158" s="8" t="s">
        <v>14767</v>
      </c>
    </row>
    <row r="159" customHeight="1" spans="1:6">
      <c r="A159" s="6">
        <v>158</v>
      </c>
      <c r="B159" s="8" t="s">
        <v>14764</v>
      </c>
      <c r="C159" s="8" t="s">
        <v>14765</v>
      </c>
      <c r="D159" s="8" t="s">
        <v>14766</v>
      </c>
      <c r="E159" s="8" t="s">
        <v>293</v>
      </c>
      <c r="F159" s="8" t="s">
        <v>14767</v>
      </c>
    </row>
    <row r="160" customHeight="1" spans="1:6">
      <c r="A160" s="6">
        <v>159</v>
      </c>
      <c r="B160" s="8" t="s">
        <v>14768</v>
      </c>
      <c r="C160" s="8" t="s">
        <v>14769</v>
      </c>
      <c r="D160" s="8" t="s">
        <v>14770</v>
      </c>
      <c r="E160" s="8" t="s">
        <v>744</v>
      </c>
      <c r="F160" s="8" t="s">
        <v>14771</v>
      </c>
    </row>
    <row r="161" customHeight="1" spans="1:6">
      <c r="A161" s="6">
        <v>160</v>
      </c>
      <c r="B161" s="8" t="s">
        <v>14768</v>
      </c>
      <c r="C161" s="8" t="s">
        <v>14769</v>
      </c>
      <c r="D161" s="8" t="s">
        <v>14770</v>
      </c>
      <c r="E161" s="8" t="s">
        <v>744</v>
      </c>
      <c r="F161" s="8" t="s">
        <v>14771</v>
      </c>
    </row>
    <row r="162" customHeight="1" spans="1:6">
      <c r="A162" s="6">
        <v>161</v>
      </c>
      <c r="B162" s="8" t="s">
        <v>14772</v>
      </c>
      <c r="C162" s="8" t="s">
        <v>14773</v>
      </c>
      <c r="D162" s="8" t="s">
        <v>14774</v>
      </c>
      <c r="E162" s="8" t="s">
        <v>8879</v>
      </c>
      <c r="F162" s="8" t="s">
        <v>14775</v>
      </c>
    </row>
    <row r="163" customHeight="1" spans="1:6">
      <c r="A163" s="6">
        <v>162</v>
      </c>
      <c r="B163" s="8" t="s">
        <v>14772</v>
      </c>
      <c r="C163" s="8" t="s">
        <v>14773</v>
      </c>
      <c r="D163" s="8" t="s">
        <v>14774</v>
      </c>
      <c r="E163" s="8" t="s">
        <v>8879</v>
      </c>
      <c r="F163" s="8" t="s">
        <v>14775</v>
      </c>
    </row>
    <row r="164" customHeight="1" spans="1:6">
      <c r="A164" s="6">
        <v>163</v>
      </c>
      <c r="B164" s="8" t="s">
        <v>14776</v>
      </c>
      <c r="C164" s="8" t="s">
        <v>14777</v>
      </c>
      <c r="D164" s="8" t="s">
        <v>14778</v>
      </c>
      <c r="E164" s="8" t="s">
        <v>1534</v>
      </c>
      <c r="F164" s="8" t="s">
        <v>14779</v>
      </c>
    </row>
    <row r="165" customHeight="1" spans="1:6">
      <c r="A165" s="6">
        <v>164</v>
      </c>
      <c r="B165" s="8" t="s">
        <v>14776</v>
      </c>
      <c r="C165" s="8" t="s">
        <v>14777</v>
      </c>
      <c r="D165" s="8" t="s">
        <v>14778</v>
      </c>
      <c r="E165" s="8" t="s">
        <v>1534</v>
      </c>
      <c r="F165" s="8" t="s">
        <v>14779</v>
      </c>
    </row>
    <row r="166" customHeight="1" spans="1:6">
      <c r="A166" s="6">
        <v>165</v>
      </c>
      <c r="B166" s="8" t="s">
        <v>14780</v>
      </c>
      <c r="C166" s="8" t="s">
        <v>14781</v>
      </c>
      <c r="D166" s="8" t="s">
        <v>8198</v>
      </c>
      <c r="E166" s="8" t="s">
        <v>2566</v>
      </c>
      <c r="F166" s="8" t="s">
        <v>14782</v>
      </c>
    </row>
    <row r="167" customHeight="1" spans="1:6">
      <c r="A167" s="6">
        <v>166</v>
      </c>
      <c r="B167" s="8" t="s">
        <v>14780</v>
      </c>
      <c r="C167" s="8" t="s">
        <v>14781</v>
      </c>
      <c r="D167" s="8" t="s">
        <v>8198</v>
      </c>
      <c r="E167" s="8" t="s">
        <v>2566</v>
      </c>
      <c r="F167" s="8" t="s">
        <v>14782</v>
      </c>
    </row>
    <row r="168" customHeight="1" spans="1:6">
      <c r="A168" s="6">
        <v>167</v>
      </c>
      <c r="B168" s="8" t="s">
        <v>14783</v>
      </c>
      <c r="C168" s="8" t="s">
        <v>14784</v>
      </c>
      <c r="D168" s="8" t="s">
        <v>14785</v>
      </c>
      <c r="E168" s="8" t="s">
        <v>293</v>
      </c>
      <c r="F168" s="8" t="s">
        <v>14786</v>
      </c>
    </row>
    <row r="169" customHeight="1" spans="1:6">
      <c r="A169" s="6">
        <v>168</v>
      </c>
      <c r="B169" s="8" t="s">
        <v>14783</v>
      </c>
      <c r="C169" s="8" t="s">
        <v>14784</v>
      </c>
      <c r="D169" s="8" t="s">
        <v>14785</v>
      </c>
      <c r="E169" s="8" t="s">
        <v>293</v>
      </c>
      <c r="F169" s="8" t="s">
        <v>14786</v>
      </c>
    </row>
    <row r="170" customHeight="1" spans="1:6">
      <c r="A170" s="6">
        <v>169</v>
      </c>
      <c r="B170" s="8" t="s">
        <v>14787</v>
      </c>
      <c r="C170" s="8" t="s">
        <v>14788</v>
      </c>
      <c r="D170" s="8" t="s">
        <v>14789</v>
      </c>
      <c r="E170" s="8" t="s">
        <v>2566</v>
      </c>
      <c r="F170" s="8" t="s">
        <v>14790</v>
      </c>
    </row>
    <row r="171" customHeight="1" spans="1:6">
      <c r="A171" s="6">
        <v>170</v>
      </c>
      <c r="B171" s="8" t="s">
        <v>14787</v>
      </c>
      <c r="C171" s="8" t="s">
        <v>14788</v>
      </c>
      <c r="D171" s="8" t="s">
        <v>14789</v>
      </c>
      <c r="E171" s="8" t="s">
        <v>2566</v>
      </c>
      <c r="F171" s="8" t="s">
        <v>14790</v>
      </c>
    </row>
    <row r="172" customHeight="1" spans="1:6">
      <c r="A172" s="6">
        <v>171</v>
      </c>
      <c r="B172" s="8" t="s">
        <v>14791</v>
      </c>
      <c r="C172" s="8" t="s">
        <v>14792</v>
      </c>
      <c r="D172" s="8" t="s">
        <v>14793</v>
      </c>
      <c r="E172" s="8" t="s">
        <v>288</v>
      </c>
      <c r="F172" s="8" t="s">
        <v>14794</v>
      </c>
    </row>
    <row r="173" customHeight="1" spans="1:6">
      <c r="A173" s="6">
        <v>172</v>
      </c>
      <c r="B173" s="8" t="s">
        <v>14791</v>
      </c>
      <c r="C173" s="8" t="s">
        <v>14792</v>
      </c>
      <c r="D173" s="8" t="s">
        <v>14793</v>
      </c>
      <c r="E173" s="8" t="s">
        <v>288</v>
      </c>
      <c r="F173" s="8" t="s">
        <v>14794</v>
      </c>
    </row>
    <row r="174" customHeight="1" spans="1:6">
      <c r="A174" s="6">
        <v>173</v>
      </c>
      <c r="B174" s="8" t="s">
        <v>14795</v>
      </c>
      <c r="C174" s="8" t="s">
        <v>14796</v>
      </c>
      <c r="D174" s="8" t="s">
        <v>14797</v>
      </c>
      <c r="E174" s="8" t="s">
        <v>293</v>
      </c>
      <c r="F174" s="8" t="s">
        <v>14798</v>
      </c>
    </row>
    <row r="175" customHeight="1" spans="1:6">
      <c r="A175" s="6">
        <v>174</v>
      </c>
      <c r="B175" s="8" t="s">
        <v>14795</v>
      </c>
      <c r="C175" s="8" t="s">
        <v>14796</v>
      </c>
      <c r="D175" s="8" t="s">
        <v>14797</v>
      </c>
      <c r="E175" s="8" t="s">
        <v>293</v>
      </c>
      <c r="F175" s="8" t="s">
        <v>14798</v>
      </c>
    </row>
    <row r="176" customHeight="1" spans="1:6">
      <c r="A176" s="6">
        <v>175</v>
      </c>
      <c r="B176" s="8" t="s">
        <v>14799</v>
      </c>
      <c r="C176" s="8" t="s">
        <v>14800</v>
      </c>
      <c r="D176" s="8" t="s">
        <v>14801</v>
      </c>
      <c r="E176" s="8" t="s">
        <v>2566</v>
      </c>
      <c r="F176" s="8" t="s">
        <v>14802</v>
      </c>
    </row>
    <row r="177" customHeight="1" spans="1:6">
      <c r="A177" s="6">
        <v>176</v>
      </c>
      <c r="B177" s="8" t="s">
        <v>14799</v>
      </c>
      <c r="C177" s="8" t="s">
        <v>14800</v>
      </c>
      <c r="D177" s="8" t="s">
        <v>14801</v>
      </c>
      <c r="E177" s="8" t="s">
        <v>2566</v>
      </c>
      <c r="F177" s="8" t="s">
        <v>14802</v>
      </c>
    </row>
    <row r="178" customHeight="1" spans="1:6">
      <c r="A178" s="6">
        <v>177</v>
      </c>
      <c r="B178" s="8" t="s">
        <v>14803</v>
      </c>
      <c r="C178" s="8" t="s">
        <v>14804</v>
      </c>
      <c r="D178" s="8" t="s">
        <v>14805</v>
      </c>
      <c r="E178" s="8" t="s">
        <v>293</v>
      </c>
      <c r="F178" s="8" t="s">
        <v>14806</v>
      </c>
    </row>
    <row r="179" customHeight="1" spans="1:6">
      <c r="A179" s="6">
        <v>178</v>
      </c>
      <c r="B179" s="8" t="s">
        <v>14803</v>
      </c>
      <c r="C179" s="8" t="s">
        <v>14804</v>
      </c>
      <c r="D179" s="8" t="s">
        <v>14805</v>
      </c>
      <c r="E179" s="8" t="s">
        <v>293</v>
      </c>
      <c r="F179" s="8" t="s">
        <v>14806</v>
      </c>
    </row>
    <row r="180" customHeight="1" spans="1:6">
      <c r="A180" s="6">
        <v>179</v>
      </c>
      <c r="B180" s="8" t="s">
        <v>14807</v>
      </c>
      <c r="C180" s="8" t="s">
        <v>14808</v>
      </c>
      <c r="D180" s="8" t="s">
        <v>14809</v>
      </c>
      <c r="E180" s="8" t="s">
        <v>2566</v>
      </c>
      <c r="F180" s="8" t="s">
        <v>14810</v>
      </c>
    </row>
    <row r="181" customHeight="1" spans="1:6">
      <c r="A181" s="6">
        <v>180</v>
      </c>
      <c r="B181" s="8" t="s">
        <v>14811</v>
      </c>
      <c r="C181" s="8" t="s">
        <v>14812</v>
      </c>
      <c r="D181" s="8" t="s">
        <v>14813</v>
      </c>
      <c r="E181" s="8" t="s">
        <v>1534</v>
      </c>
      <c r="F181" s="8" t="s">
        <v>14814</v>
      </c>
    </row>
    <row r="182" customHeight="1" spans="1:6">
      <c r="A182" s="6">
        <v>181</v>
      </c>
      <c r="B182" s="8" t="s">
        <v>14811</v>
      </c>
      <c r="C182" s="8" t="s">
        <v>14812</v>
      </c>
      <c r="D182" s="8" t="s">
        <v>14813</v>
      </c>
      <c r="E182" s="8" t="s">
        <v>1534</v>
      </c>
      <c r="F182" s="8" t="s">
        <v>14814</v>
      </c>
    </row>
    <row r="183" customHeight="1" spans="1:6">
      <c r="A183" s="6">
        <v>182</v>
      </c>
      <c r="B183" s="8" t="s">
        <v>14815</v>
      </c>
      <c r="C183" s="8" t="s">
        <v>14816</v>
      </c>
      <c r="D183" s="8" t="s">
        <v>14817</v>
      </c>
      <c r="E183" s="8" t="s">
        <v>1164</v>
      </c>
      <c r="F183" s="8" t="s">
        <v>14818</v>
      </c>
    </row>
    <row r="184" customHeight="1" spans="1:6">
      <c r="A184" s="6">
        <v>183</v>
      </c>
      <c r="B184" s="8" t="s">
        <v>14815</v>
      </c>
      <c r="C184" s="8" t="s">
        <v>14816</v>
      </c>
      <c r="D184" s="8" t="s">
        <v>14817</v>
      </c>
      <c r="E184" s="8" t="s">
        <v>1164</v>
      </c>
      <c r="F184" s="8" t="s">
        <v>14818</v>
      </c>
    </row>
    <row r="185" customHeight="1" spans="1:6">
      <c r="A185" s="6">
        <v>184</v>
      </c>
      <c r="B185" s="8" t="s">
        <v>14819</v>
      </c>
      <c r="C185" s="8" t="s">
        <v>14820</v>
      </c>
      <c r="D185" s="8" t="s">
        <v>14821</v>
      </c>
      <c r="E185" s="8" t="s">
        <v>293</v>
      </c>
      <c r="F185" s="8" t="s">
        <v>14822</v>
      </c>
    </row>
    <row r="186" customHeight="1" spans="1:6">
      <c r="A186" s="6">
        <v>185</v>
      </c>
      <c r="B186" s="8" t="s">
        <v>14819</v>
      </c>
      <c r="C186" s="8" t="s">
        <v>14820</v>
      </c>
      <c r="D186" s="8" t="s">
        <v>14821</v>
      </c>
      <c r="E186" s="8" t="s">
        <v>293</v>
      </c>
      <c r="F186" s="8" t="s">
        <v>14822</v>
      </c>
    </row>
    <row r="187" customHeight="1" spans="1:6">
      <c r="A187" s="6">
        <v>186</v>
      </c>
      <c r="B187" s="8" t="s">
        <v>14823</v>
      </c>
      <c r="C187" s="8" t="s">
        <v>14824</v>
      </c>
      <c r="D187" s="8" t="s">
        <v>14825</v>
      </c>
      <c r="E187" s="8" t="s">
        <v>2337</v>
      </c>
      <c r="F187" s="8" t="s">
        <v>14826</v>
      </c>
    </row>
    <row r="188" customHeight="1" spans="1:6">
      <c r="A188" s="6">
        <v>187</v>
      </c>
      <c r="B188" s="8" t="s">
        <v>14823</v>
      </c>
      <c r="C188" s="8" t="s">
        <v>14824</v>
      </c>
      <c r="D188" s="8" t="s">
        <v>14825</v>
      </c>
      <c r="E188" s="8" t="s">
        <v>2337</v>
      </c>
      <c r="F188" s="8" t="s">
        <v>14826</v>
      </c>
    </row>
    <row r="189" customHeight="1" spans="1:6">
      <c r="A189" s="6">
        <v>188</v>
      </c>
      <c r="B189" s="8" t="s">
        <v>14827</v>
      </c>
      <c r="C189" s="8" t="s">
        <v>14828</v>
      </c>
      <c r="D189" s="8" t="s">
        <v>14829</v>
      </c>
      <c r="E189" s="8" t="s">
        <v>239</v>
      </c>
      <c r="F189" s="8" t="s">
        <v>14830</v>
      </c>
    </row>
    <row r="190" customHeight="1" spans="1:6">
      <c r="A190" s="6">
        <v>189</v>
      </c>
      <c r="B190" s="8" t="s">
        <v>14827</v>
      </c>
      <c r="C190" s="8" t="s">
        <v>14828</v>
      </c>
      <c r="D190" s="8" t="s">
        <v>14829</v>
      </c>
      <c r="E190" s="8" t="s">
        <v>239</v>
      </c>
      <c r="F190" s="8" t="s">
        <v>14830</v>
      </c>
    </row>
    <row r="191" customHeight="1" spans="1:6">
      <c r="A191" s="6">
        <v>190</v>
      </c>
      <c r="B191" s="8" t="s">
        <v>14831</v>
      </c>
      <c r="C191" s="8" t="s">
        <v>14832</v>
      </c>
      <c r="D191" s="8" t="s">
        <v>14833</v>
      </c>
      <c r="E191" s="8" t="s">
        <v>2459</v>
      </c>
      <c r="F191" s="8" t="s">
        <v>14834</v>
      </c>
    </row>
    <row r="192" customHeight="1" spans="1:6">
      <c r="A192" s="6">
        <v>191</v>
      </c>
      <c r="B192" s="8" t="s">
        <v>14831</v>
      </c>
      <c r="C192" s="8" t="s">
        <v>14832</v>
      </c>
      <c r="D192" s="8" t="s">
        <v>14833</v>
      </c>
      <c r="E192" s="8" t="s">
        <v>2459</v>
      </c>
      <c r="F192" s="8" t="s">
        <v>14834</v>
      </c>
    </row>
    <row r="193" customHeight="1" spans="1:6">
      <c r="A193" s="6">
        <v>192</v>
      </c>
      <c r="B193" s="8" t="s">
        <v>14835</v>
      </c>
      <c r="C193" s="8" t="s">
        <v>14836</v>
      </c>
      <c r="D193" s="8" t="s">
        <v>14837</v>
      </c>
      <c r="E193" s="8" t="s">
        <v>744</v>
      </c>
      <c r="F193" s="8" t="s">
        <v>14838</v>
      </c>
    </row>
    <row r="194" customHeight="1" spans="1:6">
      <c r="A194" s="6">
        <v>193</v>
      </c>
      <c r="B194" s="8" t="s">
        <v>14835</v>
      </c>
      <c r="C194" s="8" t="s">
        <v>14836</v>
      </c>
      <c r="D194" s="8" t="s">
        <v>14837</v>
      </c>
      <c r="E194" s="8" t="s">
        <v>744</v>
      </c>
      <c r="F194" s="8" t="s">
        <v>14838</v>
      </c>
    </row>
    <row r="195" customHeight="1" spans="1:6">
      <c r="A195" s="6">
        <v>194</v>
      </c>
      <c r="B195" s="8" t="s">
        <v>14839</v>
      </c>
      <c r="C195" s="8" t="s">
        <v>14840</v>
      </c>
      <c r="D195" s="8" t="s">
        <v>14841</v>
      </c>
      <c r="E195" s="8" t="s">
        <v>2566</v>
      </c>
      <c r="F195" s="8" t="s">
        <v>14842</v>
      </c>
    </row>
    <row r="196" customHeight="1" spans="1:6">
      <c r="A196" s="6">
        <v>195</v>
      </c>
      <c r="B196" s="8" t="s">
        <v>14839</v>
      </c>
      <c r="C196" s="8" t="s">
        <v>14840</v>
      </c>
      <c r="D196" s="8" t="s">
        <v>14841</v>
      </c>
      <c r="E196" s="8" t="s">
        <v>2566</v>
      </c>
      <c r="F196" s="8" t="s">
        <v>14842</v>
      </c>
    </row>
    <row r="197" customHeight="1" spans="1:6">
      <c r="A197" s="6">
        <v>196</v>
      </c>
      <c r="B197" s="8" t="s">
        <v>14843</v>
      </c>
      <c r="C197" s="8" t="s">
        <v>14844</v>
      </c>
      <c r="D197" s="8" t="s">
        <v>14845</v>
      </c>
      <c r="E197" s="8" t="s">
        <v>8879</v>
      </c>
      <c r="F197" s="8" t="s">
        <v>14846</v>
      </c>
    </row>
    <row r="198" customHeight="1" spans="1:6">
      <c r="A198" s="6">
        <v>197</v>
      </c>
      <c r="B198" s="8" t="s">
        <v>14843</v>
      </c>
      <c r="C198" s="8" t="s">
        <v>14844</v>
      </c>
      <c r="D198" s="8" t="s">
        <v>14845</v>
      </c>
      <c r="E198" s="8" t="s">
        <v>8879</v>
      </c>
      <c r="F198" s="8" t="s">
        <v>14846</v>
      </c>
    </row>
    <row r="199" customHeight="1" spans="1:6">
      <c r="A199" s="6">
        <v>198</v>
      </c>
      <c r="B199" s="8" t="s">
        <v>14847</v>
      </c>
      <c r="C199" s="8" t="s">
        <v>14848</v>
      </c>
      <c r="D199" s="8" t="s">
        <v>14849</v>
      </c>
      <c r="E199" s="8" t="s">
        <v>14850</v>
      </c>
      <c r="F199" s="8" t="s">
        <v>14851</v>
      </c>
    </row>
    <row r="200" customHeight="1" spans="1:6">
      <c r="A200" s="6">
        <v>199</v>
      </c>
      <c r="B200" s="8" t="s">
        <v>14847</v>
      </c>
      <c r="C200" s="8" t="s">
        <v>14848</v>
      </c>
      <c r="D200" s="8" t="s">
        <v>14849</v>
      </c>
      <c r="E200" s="8" t="s">
        <v>14850</v>
      </c>
      <c r="F200" s="8" t="s">
        <v>14851</v>
      </c>
    </row>
    <row r="201" customHeight="1" spans="1:6">
      <c r="A201" s="6">
        <v>200</v>
      </c>
      <c r="B201" s="8" t="s">
        <v>14852</v>
      </c>
      <c r="C201" s="8" t="s">
        <v>14853</v>
      </c>
      <c r="D201" s="8" t="s">
        <v>14854</v>
      </c>
      <c r="E201" s="8" t="s">
        <v>8879</v>
      </c>
      <c r="F201" s="8" t="s">
        <v>14855</v>
      </c>
    </row>
    <row r="202" customHeight="1" spans="1:6">
      <c r="A202" s="6">
        <v>201</v>
      </c>
      <c r="B202" s="8" t="s">
        <v>14852</v>
      </c>
      <c r="C202" s="8" t="s">
        <v>14853</v>
      </c>
      <c r="D202" s="8" t="s">
        <v>14854</v>
      </c>
      <c r="E202" s="8" t="s">
        <v>8879</v>
      </c>
      <c r="F202" s="8" t="s">
        <v>14855</v>
      </c>
    </row>
    <row r="203" customHeight="1" spans="1:6">
      <c r="A203" s="6">
        <v>202</v>
      </c>
      <c r="B203" s="8" t="s">
        <v>14856</v>
      </c>
      <c r="C203" s="8" t="s">
        <v>14857</v>
      </c>
      <c r="D203" s="8" t="s">
        <v>14858</v>
      </c>
      <c r="E203" s="8" t="s">
        <v>2566</v>
      </c>
      <c r="F203" s="8" t="s">
        <v>14859</v>
      </c>
    </row>
    <row r="204" customHeight="1" spans="1:6">
      <c r="A204" s="6">
        <v>203</v>
      </c>
      <c r="B204" s="8" t="s">
        <v>14856</v>
      </c>
      <c r="C204" s="8" t="s">
        <v>14857</v>
      </c>
      <c r="D204" s="8" t="s">
        <v>14858</v>
      </c>
      <c r="E204" s="8" t="s">
        <v>2566</v>
      </c>
      <c r="F204" s="8" t="s">
        <v>14859</v>
      </c>
    </row>
    <row r="205" customHeight="1" spans="1:6">
      <c r="A205" s="6">
        <v>204</v>
      </c>
      <c r="B205" s="8" t="s">
        <v>14860</v>
      </c>
      <c r="C205" s="8" t="s">
        <v>14861</v>
      </c>
      <c r="D205" s="8" t="s">
        <v>14862</v>
      </c>
      <c r="E205" s="8" t="s">
        <v>899</v>
      </c>
      <c r="F205" s="8" t="s">
        <v>14863</v>
      </c>
    </row>
    <row r="206" customHeight="1" spans="1:6">
      <c r="A206" s="6">
        <v>205</v>
      </c>
      <c r="B206" s="8" t="s">
        <v>14860</v>
      </c>
      <c r="C206" s="8" t="s">
        <v>14861</v>
      </c>
      <c r="D206" s="8" t="s">
        <v>14862</v>
      </c>
      <c r="E206" s="8" t="s">
        <v>899</v>
      </c>
      <c r="F206" s="8" t="s">
        <v>14863</v>
      </c>
    </row>
    <row r="207" customHeight="1" spans="1:6">
      <c r="A207" s="6">
        <v>206</v>
      </c>
      <c r="B207" s="8" t="s">
        <v>14864</v>
      </c>
      <c r="C207" s="8" t="s">
        <v>14865</v>
      </c>
      <c r="D207" s="8" t="s">
        <v>14866</v>
      </c>
      <c r="E207" s="8" t="s">
        <v>7884</v>
      </c>
      <c r="F207" s="8" t="s">
        <v>14867</v>
      </c>
    </row>
    <row r="208" customHeight="1" spans="1:6">
      <c r="A208" s="6">
        <v>207</v>
      </c>
      <c r="B208" s="8" t="s">
        <v>14864</v>
      </c>
      <c r="C208" s="8" t="s">
        <v>14865</v>
      </c>
      <c r="D208" s="8" t="s">
        <v>14866</v>
      </c>
      <c r="E208" s="8" t="s">
        <v>7884</v>
      </c>
      <c r="F208" s="8" t="s">
        <v>14867</v>
      </c>
    </row>
    <row r="209" customHeight="1" spans="1:6">
      <c r="A209" s="6">
        <v>208</v>
      </c>
      <c r="B209" s="8" t="s">
        <v>14868</v>
      </c>
      <c r="C209" s="8" t="s">
        <v>14869</v>
      </c>
      <c r="D209" s="8" t="s">
        <v>14870</v>
      </c>
      <c r="E209" s="8" t="s">
        <v>8879</v>
      </c>
      <c r="F209" s="8" t="s">
        <v>14871</v>
      </c>
    </row>
    <row r="210" customHeight="1" spans="1:6">
      <c r="A210" s="6">
        <v>209</v>
      </c>
      <c r="B210" s="8" t="s">
        <v>14868</v>
      </c>
      <c r="C210" s="8" t="s">
        <v>14869</v>
      </c>
      <c r="D210" s="8" t="s">
        <v>14870</v>
      </c>
      <c r="E210" s="8" t="s">
        <v>8879</v>
      </c>
      <c r="F210" s="8" t="s">
        <v>14871</v>
      </c>
    </row>
    <row r="211" customHeight="1" spans="1:6">
      <c r="A211" s="6">
        <v>210</v>
      </c>
      <c r="B211" s="8" t="s">
        <v>14872</v>
      </c>
      <c r="C211" s="8" t="s">
        <v>14873</v>
      </c>
      <c r="D211" s="8" t="s">
        <v>14874</v>
      </c>
      <c r="E211" s="8" t="s">
        <v>8879</v>
      </c>
      <c r="F211" s="8" t="s">
        <v>14875</v>
      </c>
    </row>
    <row r="212" customHeight="1" spans="1:6">
      <c r="A212" s="6">
        <v>211</v>
      </c>
      <c r="B212" s="8" t="s">
        <v>14872</v>
      </c>
      <c r="C212" s="8" t="s">
        <v>14873</v>
      </c>
      <c r="D212" s="8" t="s">
        <v>14874</v>
      </c>
      <c r="E212" s="8" t="s">
        <v>8879</v>
      </c>
      <c r="F212" s="8" t="s">
        <v>14875</v>
      </c>
    </row>
    <row r="213" customHeight="1" spans="1:6">
      <c r="A213" s="6">
        <v>212</v>
      </c>
      <c r="B213" s="8" t="s">
        <v>14876</v>
      </c>
      <c r="C213" s="8" t="s">
        <v>14877</v>
      </c>
      <c r="D213" s="8" t="s">
        <v>14878</v>
      </c>
      <c r="E213" s="8" t="s">
        <v>2566</v>
      </c>
      <c r="F213" s="8" t="s">
        <v>14879</v>
      </c>
    </row>
    <row r="214" customHeight="1" spans="1:6">
      <c r="A214" s="6">
        <v>213</v>
      </c>
      <c r="B214" s="8" t="s">
        <v>14876</v>
      </c>
      <c r="C214" s="8" t="s">
        <v>14877</v>
      </c>
      <c r="D214" s="8" t="s">
        <v>14878</v>
      </c>
      <c r="E214" s="8" t="s">
        <v>2566</v>
      </c>
      <c r="F214" s="8" t="s">
        <v>14879</v>
      </c>
    </row>
    <row r="215" customHeight="1" spans="1:6">
      <c r="A215" s="6">
        <v>214</v>
      </c>
      <c r="B215" s="8" t="s">
        <v>14880</v>
      </c>
      <c r="C215" s="8" t="s">
        <v>14881</v>
      </c>
      <c r="D215" s="8" t="s">
        <v>14882</v>
      </c>
      <c r="E215" s="8" t="s">
        <v>2566</v>
      </c>
      <c r="F215" s="8" t="s">
        <v>14883</v>
      </c>
    </row>
    <row r="216" customHeight="1" spans="1:6">
      <c r="A216" s="6">
        <v>215</v>
      </c>
      <c r="B216" s="8" t="s">
        <v>14880</v>
      </c>
      <c r="C216" s="8" t="s">
        <v>14881</v>
      </c>
      <c r="D216" s="8" t="s">
        <v>14882</v>
      </c>
      <c r="E216" s="8" t="s">
        <v>2566</v>
      </c>
      <c r="F216" s="8" t="s">
        <v>14883</v>
      </c>
    </row>
    <row r="217" customHeight="1" spans="1:6">
      <c r="A217" s="6">
        <v>216</v>
      </c>
      <c r="B217" s="8" t="s">
        <v>14884</v>
      </c>
      <c r="C217" s="8" t="s">
        <v>14885</v>
      </c>
      <c r="D217" s="8" t="s">
        <v>14886</v>
      </c>
      <c r="E217" s="8" t="s">
        <v>2566</v>
      </c>
      <c r="F217" s="8" t="s">
        <v>14887</v>
      </c>
    </row>
    <row r="218" customHeight="1" spans="1:6">
      <c r="A218" s="6">
        <v>217</v>
      </c>
      <c r="B218" s="8" t="s">
        <v>14884</v>
      </c>
      <c r="C218" s="8" t="s">
        <v>14885</v>
      </c>
      <c r="D218" s="8" t="s">
        <v>14886</v>
      </c>
      <c r="E218" s="8" t="s">
        <v>2566</v>
      </c>
      <c r="F218" s="8" t="s">
        <v>14887</v>
      </c>
    </row>
    <row r="219" customHeight="1" spans="1:6">
      <c r="A219" s="6">
        <v>218</v>
      </c>
      <c r="B219" s="8" t="s">
        <v>14888</v>
      </c>
      <c r="C219" s="8" t="s">
        <v>14889</v>
      </c>
      <c r="D219" s="8" t="s">
        <v>14890</v>
      </c>
      <c r="E219" s="8" t="s">
        <v>2566</v>
      </c>
      <c r="F219" s="8" t="s">
        <v>14891</v>
      </c>
    </row>
    <row r="220" customHeight="1" spans="1:6">
      <c r="A220" s="6">
        <v>219</v>
      </c>
      <c r="B220" s="8" t="s">
        <v>14888</v>
      </c>
      <c r="C220" s="8" t="s">
        <v>14889</v>
      </c>
      <c r="D220" s="8" t="s">
        <v>14890</v>
      </c>
      <c r="E220" s="8" t="s">
        <v>2566</v>
      </c>
      <c r="F220" s="8" t="s">
        <v>14891</v>
      </c>
    </row>
    <row r="221" customHeight="1" spans="1:6">
      <c r="A221" s="6">
        <v>220</v>
      </c>
      <c r="B221" s="8" t="s">
        <v>14892</v>
      </c>
      <c r="C221" s="8" t="s">
        <v>14893</v>
      </c>
      <c r="D221" s="8" t="s">
        <v>14894</v>
      </c>
      <c r="E221" s="8" t="s">
        <v>2566</v>
      </c>
      <c r="F221" s="8" t="s">
        <v>14895</v>
      </c>
    </row>
    <row r="222" customHeight="1" spans="1:6">
      <c r="A222" s="6">
        <v>221</v>
      </c>
      <c r="B222" s="8" t="s">
        <v>14892</v>
      </c>
      <c r="C222" s="8" t="s">
        <v>14893</v>
      </c>
      <c r="D222" s="8" t="s">
        <v>14894</v>
      </c>
      <c r="E222" s="8" t="s">
        <v>2566</v>
      </c>
      <c r="F222" s="8" t="s">
        <v>14895</v>
      </c>
    </row>
    <row r="223" customHeight="1" spans="1:6">
      <c r="A223" s="6">
        <v>222</v>
      </c>
      <c r="B223" s="8" t="s">
        <v>14896</v>
      </c>
      <c r="C223" s="8" t="s">
        <v>14897</v>
      </c>
      <c r="D223" s="8" t="s">
        <v>14898</v>
      </c>
      <c r="E223" s="8" t="s">
        <v>425</v>
      </c>
      <c r="F223" s="8" t="s">
        <v>14899</v>
      </c>
    </row>
    <row r="224" customHeight="1" spans="1:6">
      <c r="A224" s="6">
        <v>223</v>
      </c>
      <c r="B224" s="8" t="s">
        <v>14896</v>
      </c>
      <c r="C224" s="8" t="s">
        <v>14897</v>
      </c>
      <c r="D224" s="8" t="s">
        <v>14898</v>
      </c>
      <c r="E224" s="8" t="s">
        <v>425</v>
      </c>
      <c r="F224" s="8" t="s">
        <v>14899</v>
      </c>
    </row>
    <row r="225" customHeight="1" spans="1:6">
      <c r="A225" s="6">
        <v>224</v>
      </c>
      <c r="B225" s="8" t="s">
        <v>14900</v>
      </c>
      <c r="C225" s="8" t="s">
        <v>14901</v>
      </c>
      <c r="D225" s="8" t="s">
        <v>14902</v>
      </c>
      <c r="E225" s="8" t="s">
        <v>239</v>
      </c>
      <c r="F225" s="8" t="s">
        <v>14903</v>
      </c>
    </row>
    <row r="226" customHeight="1" spans="1:6">
      <c r="A226" s="6">
        <v>225</v>
      </c>
      <c r="B226" s="8" t="s">
        <v>14900</v>
      </c>
      <c r="C226" s="8" t="s">
        <v>14901</v>
      </c>
      <c r="D226" s="8" t="s">
        <v>14902</v>
      </c>
      <c r="E226" s="8" t="s">
        <v>239</v>
      </c>
      <c r="F226" s="8" t="s">
        <v>14903</v>
      </c>
    </row>
    <row r="227" customHeight="1" spans="1:6">
      <c r="A227" s="6">
        <v>226</v>
      </c>
      <c r="B227" s="8" t="s">
        <v>14904</v>
      </c>
      <c r="C227" s="8" t="s">
        <v>14905</v>
      </c>
      <c r="D227" s="8" t="s">
        <v>14906</v>
      </c>
      <c r="E227" s="8" t="s">
        <v>744</v>
      </c>
      <c r="F227" s="8" t="s">
        <v>14907</v>
      </c>
    </row>
    <row r="228" customHeight="1" spans="1:6">
      <c r="A228" s="6">
        <v>227</v>
      </c>
      <c r="B228" s="8" t="s">
        <v>14904</v>
      </c>
      <c r="C228" s="8" t="s">
        <v>14905</v>
      </c>
      <c r="D228" s="8" t="s">
        <v>14906</v>
      </c>
      <c r="E228" s="8" t="s">
        <v>744</v>
      </c>
      <c r="F228" s="8" t="s">
        <v>14907</v>
      </c>
    </row>
    <row r="229" customHeight="1" spans="1:6">
      <c r="A229" s="6">
        <v>228</v>
      </c>
      <c r="B229" s="8" t="s">
        <v>14908</v>
      </c>
      <c r="C229" s="8" t="s">
        <v>14909</v>
      </c>
      <c r="D229" s="8" t="s">
        <v>14910</v>
      </c>
      <c r="E229" s="8" t="s">
        <v>293</v>
      </c>
      <c r="F229" s="8" t="s">
        <v>14911</v>
      </c>
    </row>
    <row r="230" customHeight="1" spans="1:6">
      <c r="A230" s="6">
        <v>229</v>
      </c>
      <c r="B230" s="8" t="s">
        <v>14908</v>
      </c>
      <c r="C230" s="8" t="s">
        <v>14909</v>
      </c>
      <c r="D230" s="8" t="s">
        <v>14910</v>
      </c>
      <c r="E230" s="8" t="s">
        <v>293</v>
      </c>
      <c r="F230" s="8" t="s">
        <v>14911</v>
      </c>
    </row>
    <row r="231" customHeight="1" spans="1:6">
      <c r="A231" s="6">
        <v>230</v>
      </c>
      <c r="B231" s="8" t="s">
        <v>14912</v>
      </c>
      <c r="C231" s="8" t="s">
        <v>14913</v>
      </c>
      <c r="D231" s="8" t="s">
        <v>14914</v>
      </c>
      <c r="E231" s="8" t="s">
        <v>1813</v>
      </c>
      <c r="F231" s="8" t="s">
        <v>14915</v>
      </c>
    </row>
    <row r="232" customHeight="1" spans="1:6">
      <c r="A232" s="6">
        <v>231</v>
      </c>
      <c r="B232" s="8" t="s">
        <v>14912</v>
      </c>
      <c r="C232" s="8" t="s">
        <v>14913</v>
      </c>
      <c r="D232" s="8" t="s">
        <v>14914</v>
      </c>
      <c r="E232" s="8" t="s">
        <v>1813</v>
      </c>
      <c r="F232" s="8" t="s">
        <v>14915</v>
      </c>
    </row>
    <row r="233" customHeight="1" spans="1:6">
      <c r="A233" s="6">
        <v>232</v>
      </c>
      <c r="B233" s="7" t="str">
        <f>"978-7-5478-3283-7"</f>
        <v>978-7-5478-3283-7</v>
      </c>
      <c r="C233" s="7" t="str">
        <f>"软组织贴扎技术基础与实践：肌内效贴实用诊疗技术图解"</f>
        <v>软组织贴扎技术基础与实践：肌内效贴实用诊疗技术图解</v>
      </c>
      <c r="D233" s="7" t="str">
        <f>"主编陈文华， 余波"</f>
        <v>主编陈文华， 余波</v>
      </c>
      <c r="E233" s="7" t="str">
        <f>"上海科学技术出版社"</f>
        <v>上海科学技术出版社</v>
      </c>
      <c r="F233" s="7" t="str">
        <f>"R454/18"</f>
        <v>R454/18</v>
      </c>
    </row>
    <row r="234" customHeight="1" spans="1:6">
      <c r="A234" s="6">
        <v>233</v>
      </c>
      <c r="B234" s="7" t="str">
        <f>"978-7-5478-3283-7"</f>
        <v>978-7-5478-3283-7</v>
      </c>
      <c r="C234" s="7" t="str">
        <f>"软组织贴扎技术基础与实践：肌内效贴实用诊疗技术图解"</f>
        <v>软组织贴扎技术基础与实践：肌内效贴实用诊疗技术图解</v>
      </c>
      <c r="D234" s="7" t="str">
        <f>"主编陈文华， 余波"</f>
        <v>主编陈文华， 余波</v>
      </c>
      <c r="E234" s="7" t="str">
        <f>"上海科学技术出版社"</f>
        <v>上海科学技术出版社</v>
      </c>
      <c r="F234" s="7" t="str">
        <f>"R454/18"</f>
        <v>R454/18</v>
      </c>
    </row>
    <row r="235" customHeight="1" spans="1:6">
      <c r="A235" s="6">
        <v>234</v>
      </c>
      <c r="B235" s="8" t="s">
        <v>14916</v>
      </c>
      <c r="C235" s="8" t="s">
        <v>14917</v>
      </c>
      <c r="D235" s="8" t="s">
        <v>14918</v>
      </c>
      <c r="E235" s="8" t="s">
        <v>2566</v>
      </c>
      <c r="F235" s="8" t="s">
        <v>14919</v>
      </c>
    </row>
    <row r="236" customHeight="1" spans="1:6">
      <c r="A236" s="6">
        <v>235</v>
      </c>
      <c r="B236" s="8" t="s">
        <v>14916</v>
      </c>
      <c r="C236" s="8" t="s">
        <v>14917</v>
      </c>
      <c r="D236" s="8" t="s">
        <v>14918</v>
      </c>
      <c r="E236" s="8" t="s">
        <v>2566</v>
      </c>
      <c r="F236" s="8" t="s">
        <v>14919</v>
      </c>
    </row>
    <row r="237" customHeight="1" spans="1:6">
      <c r="A237" s="6">
        <v>236</v>
      </c>
      <c r="B237" s="7" t="str">
        <f>"978-7-5433-4089-3"</f>
        <v>978-7-5433-4089-3</v>
      </c>
      <c r="C237" s="7" t="str">
        <f>"家庭急救知识图解手册"</f>
        <v>家庭急救知识图解手册</v>
      </c>
      <c r="D237" s="7" t="str">
        <f>"主编李静梅"</f>
        <v>主编李静梅</v>
      </c>
      <c r="E237" s="7" t="str">
        <f>"天津科技翻译出版有限公司"</f>
        <v>天津科技翻译出版有限公司</v>
      </c>
      <c r="F237" s="7" t="str">
        <f>"R459.7-64/2"</f>
        <v>R459.7-64/2</v>
      </c>
    </row>
    <row r="238" customHeight="1" spans="1:6">
      <c r="A238" s="6">
        <v>237</v>
      </c>
      <c r="B238" s="7" t="str">
        <f>"978-7-5433-4089-3"</f>
        <v>978-7-5433-4089-3</v>
      </c>
      <c r="C238" s="7" t="str">
        <f>"家庭急救知识图解手册"</f>
        <v>家庭急救知识图解手册</v>
      </c>
      <c r="D238" s="7" t="str">
        <f>"主编李静梅"</f>
        <v>主编李静梅</v>
      </c>
      <c r="E238" s="7" t="str">
        <f>"天津科技翻译出版有限公司"</f>
        <v>天津科技翻译出版有限公司</v>
      </c>
      <c r="F238" s="7" t="str">
        <f>"R459.7-64/2"</f>
        <v>R459.7-64/2</v>
      </c>
    </row>
    <row r="239" customHeight="1" spans="1:6">
      <c r="A239" s="6">
        <v>238</v>
      </c>
      <c r="B239" s="8" t="s">
        <v>14920</v>
      </c>
      <c r="C239" s="8" t="s">
        <v>14921</v>
      </c>
      <c r="D239" s="8" t="s">
        <v>14922</v>
      </c>
      <c r="E239" s="8" t="s">
        <v>14726</v>
      </c>
      <c r="F239" s="8" t="s">
        <v>14923</v>
      </c>
    </row>
    <row r="240" customHeight="1" spans="1:6">
      <c r="A240" s="6">
        <v>239</v>
      </c>
      <c r="B240" s="8" t="s">
        <v>14920</v>
      </c>
      <c r="C240" s="8" t="s">
        <v>14921</v>
      </c>
      <c r="D240" s="8" t="s">
        <v>14922</v>
      </c>
      <c r="E240" s="8" t="s">
        <v>14726</v>
      </c>
      <c r="F240" s="8" t="s">
        <v>14923</v>
      </c>
    </row>
    <row r="241" customHeight="1" spans="1:6">
      <c r="A241" s="6">
        <v>240</v>
      </c>
      <c r="B241" s="7" t="str">
        <f>"978-7-5725-0381-8"</f>
        <v>978-7-5725-0381-8</v>
      </c>
      <c r="C241" s="7" t="str">
        <f>"实用护理技术操作与考核标准"</f>
        <v>实用护理技术操作与考核标准</v>
      </c>
      <c r="D241" s="7" t="str">
        <f>"主编贾爱芹， 郭淑明"</f>
        <v>主编贾爱芹， 郭淑明</v>
      </c>
      <c r="E241" s="7" t="str">
        <f>"河南科学技术出版社"</f>
        <v>河南科学技术出版社</v>
      </c>
      <c r="F241" s="7" t="str">
        <f>"R47/729"</f>
        <v>R47/729</v>
      </c>
    </row>
    <row r="242" customHeight="1" spans="1:6">
      <c r="A242" s="6">
        <v>241</v>
      </c>
      <c r="B242" s="7" t="str">
        <f>"978-7-5725-0381-8"</f>
        <v>978-7-5725-0381-8</v>
      </c>
      <c r="C242" s="7" t="str">
        <f>"实用护理技术操作与考核标准"</f>
        <v>实用护理技术操作与考核标准</v>
      </c>
      <c r="D242" s="7" t="str">
        <f>"主编贾爱芹， 郭淑明"</f>
        <v>主编贾爱芹， 郭淑明</v>
      </c>
      <c r="E242" s="7" t="str">
        <f>"河南科学技术出版社"</f>
        <v>河南科学技术出版社</v>
      </c>
      <c r="F242" s="7" t="str">
        <f>"R47/729"</f>
        <v>R47/729</v>
      </c>
    </row>
    <row r="243" customHeight="1" spans="1:6">
      <c r="A243" s="6">
        <v>242</v>
      </c>
      <c r="B243" s="7" t="str">
        <f>"978-7-313-25179-4"</f>
        <v>978-7-313-25179-4</v>
      </c>
      <c r="C243" s="7" t="str">
        <f>"现代护理科研选题导论"</f>
        <v>现代护理科研选题导论</v>
      </c>
      <c r="D243" s="7" t="str">
        <f>"张士青， 侯黎莉， 奚庆红编著"</f>
        <v>张士青， 侯黎莉， 奚庆红编著</v>
      </c>
      <c r="E243" s="7" t="str">
        <f>"上海交通大学出版社"</f>
        <v>上海交通大学出版社</v>
      </c>
      <c r="F243" s="7" t="str">
        <f>"R47/730"</f>
        <v>R47/730</v>
      </c>
    </row>
    <row r="244" customHeight="1" spans="1:6">
      <c r="A244" s="6">
        <v>243</v>
      </c>
      <c r="B244" s="7" t="str">
        <f>"978-7-313-25179-4"</f>
        <v>978-7-313-25179-4</v>
      </c>
      <c r="C244" s="7" t="str">
        <f>"现代护理科研选题导论"</f>
        <v>现代护理科研选题导论</v>
      </c>
      <c r="D244" s="7" t="str">
        <f>"张士青， 侯黎莉， 奚庆红编著"</f>
        <v>张士青， 侯黎莉， 奚庆红编著</v>
      </c>
      <c r="E244" s="7" t="str">
        <f>"上海交通大学出版社"</f>
        <v>上海交通大学出版社</v>
      </c>
      <c r="F244" s="7" t="str">
        <f>"R47/730"</f>
        <v>R47/730</v>
      </c>
    </row>
    <row r="245" customHeight="1" spans="1:6">
      <c r="A245" s="6">
        <v>244</v>
      </c>
      <c r="B245" s="7" t="str">
        <f>"978-7-5604-4799-5"</f>
        <v>978-7-5604-4799-5</v>
      </c>
      <c r="C245" s="7" t="str">
        <f>"基础护理学技能"</f>
        <v>基础护理学技能</v>
      </c>
      <c r="D245" s="7" t="str">
        <f>"主编郑旭娟"</f>
        <v>主编郑旭娟</v>
      </c>
      <c r="E245" s="7" t="str">
        <f>"西北大学出版社"</f>
        <v>西北大学出版社</v>
      </c>
      <c r="F245" s="7" t="str">
        <f>"R47/731"</f>
        <v>R47/731</v>
      </c>
    </row>
    <row r="246" customHeight="1" spans="1:6">
      <c r="A246" s="6">
        <v>245</v>
      </c>
      <c r="B246" s="7" t="str">
        <f>"978-7-5604-4799-5"</f>
        <v>978-7-5604-4799-5</v>
      </c>
      <c r="C246" s="7" t="str">
        <f>"基础护理学技能"</f>
        <v>基础护理学技能</v>
      </c>
      <c r="D246" s="7" t="str">
        <f>"主编郑旭娟"</f>
        <v>主编郑旭娟</v>
      </c>
      <c r="E246" s="7" t="str">
        <f>"西北大学出版社"</f>
        <v>西北大学出版社</v>
      </c>
      <c r="F246" s="7" t="str">
        <f>"R47/731"</f>
        <v>R47/731</v>
      </c>
    </row>
    <row r="247" customHeight="1" spans="1:6">
      <c r="A247" s="6">
        <v>246</v>
      </c>
      <c r="B247" s="7" t="str">
        <f>"978-7-5551-1633-2"</f>
        <v>978-7-5551-1633-2</v>
      </c>
      <c r="C247" s="7" t="str">
        <f>"临床实用护理技术操作流程及规范"</f>
        <v>临床实用护理技术操作流程及规范</v>
      </c>
      <c r="D247" s="7" t="str">
        <f>"主编应燕萍 ... [等]"</f>
        <v>主编应燕萍 ... [等]</v>
      </c>
      <c r="E247" s="7" t="str">
        <f>"广西科学技术出版社"</f>
        <v>广西科学技术出版社</v>
      </c>
      <c r="F247" s="7" t="str">
        <f>"R47/732"</f>
        <v>R47/732</v>
      </c>
    </row>
    <row r="248" customHeight="1" spans="1:6">
      <c r="A248" s="6">
        <v>247</v>
      </c>
      <c r="B248" s="7" t="str">
        <f>"978-7-5551-1633-2"</f>
        <v>978-7-5551-1633-2</v>
      </c>
      <c r="C248" s="7" t="str">
        <f>"临床实用护理技术操作流程及规范"</f>
        <v>临床实用护理技术操作流程及规范</v>
      </c>
      <c r="D248" s="7" t="str">
        <f>"主编应燕萍 ... [等]"</f>
        <v>主编应燕萍 ... [等]</v>
      </c>
      <c r="E248" s="7" t="str">
        <f>"广西科学技术出版社"</f>
        <v>广西科学技术出版社</v>
      </c>
      <c r="F248" s="7" t="str">
        <f>"R47/732"</f>
        <v>R47/732</v>
      </c>
    </row>
    <row r="249" customHeight="1" spans="1:6">
      <c r="A249" s="6">
        <v>248</v>
      </c>
      <c r="B249" s="7" t="str">
        <f t="shared" ref="B249:B251" si="60">"978-7-5607-7097-0"</f>
        <v>978-7-5607-7097-0</v>
      </c>
      <c r="C249" s="7" t="str">
        <f t="shared" ref="C249:C251" si="61">"基础护理学实验教程"</f>
        <v>基础护理学实验教程</v>
      </c>
      <c r="D249" s="7" t="str">
        <f t="shared" ref="D249:D251" si="62">"李峰， 丁海玲， 李莹莹主编"</f>
        <v>李峰， 丁海玲， 李莹莹主编</v>
      </c>
      <c r="E249" s="7" t="str">
        <f t="shared" ref="E249:E253" si="63">"山东大学出版社"</f>
        <v>山东大学出版社</v>
      </c>
      <c r="F249" s="7" t="str">
        <f t="shared" ref="F249:F251" si="64">"R47/733"</f>
        <v>R47/733</v>
      </c>
    </row>
    <row r="250" customHeight="1" spans="1:6">
      <c r="A250" s="6">
        <v>249</v>
      </c>
      <c r="B250" s="7" t="str">
        <f t="shared" si="60"/>
        <v>978-7-5607-7097-0</v>
      </c>
      <c r="C250" s="7" t="str">
        <f t="shared" si="61"/>
        <v>基础护理学实验教程</v>
      </c>
      <c r="D250" s="7" t="str">
        <f t="shared" si="62"/>
        <v>李峰， 丁海玲， 李莹莹主编</v>
      </c>
      <c r="E250" s="7" t="str">
        <f t="shared" si="63"/>
        <v>山东大学出版社</v>
      </c>
      <c r="F250" s="7" t="str">
        <f t="shared" si="64"/>
        <v>R47/733</v>
      </c>
    </row>
    <row r="251" customHeight="1" spans="1:6">
      <c r="A251" s="6">
        <v>250</v>
      </c>
      <c r="B251" s="7" t="str">
        <f t="shared" si="60"/>
        <v>978-7-5607-7097-0</v>
      </c>
      <c r="C251" s="7" t="str">
        <f t="shared" si="61"/>
        <v>基础护理学实验教程</v>
      </c>
      <c r="D251" s="7" t="str">
        <f t="shared" si="62"/>
        <v>李峰， 丁海玲， 李莹莹主编</v>
      </c>
      <c r="E251" s="7" t="str">
        <f t="shared" si="63"/>
        <v>山东大学出版社</v>
      </c>
      <c r="F251" s="7" t="str">
        <f t="shared" si="64"/>
        <v>R47/733</v>
      </c>
    </row>
    <row r="252" customHeight="1" spans="1:6">
      <c r="A252" s="6">
        <v>251</v>
      </c>
      <c r="B252" s="7" t="str">
        <f>"978-7-5607-7096-3"</f>
        <v>978-7-5607-7096-3</v>
      </c>
      <c r="C252" s="7" t="str">
        <f>"护理综合实训教程"</f>
        <v>护理综合实训教程</v>
      </c>
      <c r="D252" s="7" t="str">
        <f>"杨丽娟 ... [等] 主编"</f>
        <v>杨丽娟 ... [等] 主编</v>
      </c>
      <c r="E252" s="7" t="str">
        <f t="shared" si="63"/>
        <v>山东大学出版社</v>
      </c>
      <c r="F252" s="7" t="str">
        <f>"R47/734"</f>
        <v>R47/734</v>
      </c>
    </row>
    <row r="253" customHeight="1" spans="1:6">
      <c r="A253" s="6">
        <v>252</v>
      </c>
      <c r="B253" s="7" t="str">
        <f>"978-7-5607-7096-3"</f>
        <v>978-7-5607-7096-3</v>
      </c>
      <c r="C253" s="7" t="str">
        <f>"护理综合实训教程"</f>
        <v>护理综合实训教程</v>
      </c>
      <c r="D253" s="7" t="str">
        <f>"杨丽娟 ... [等] 主编"</f>
        <v>杨丽娟 ... [等] 主编</v>
      </c>
      <c r="E253" s="7" t="str">
        <f t="shared" si="63"/>
        <v>山东大学出版社</v>
      </c>
      <c r="F253" s="7" t="str">
        <f>"R47/734"</f>
        <v>R47/734</v>
      </c>
    </row>
    <row r="254" customHeight="1" spans="1:6">
      <c r="A254" s="6">
        <v>253</v>
      </c>
      <c r="B254" s="7" t="str">
        <f t="shared" ref="B254:B256" si="65">"978-7-5725-0344-3"</f>
        <v>978-7-5725-0344-3</v>
      </c>
      <c r="C254" s="7" t="str">
        <f t="shared" ref="C254:C256" si="66">"护理科研关键问题与对策"</f>
        <v>护理科研关键问题与对策</v>
      </c>
      <c r="D254" s="7" t="str">
        <f t="shared" ref="D254:D256" si="67">"主编王丽芹， 张俊红， 盛莉"</f>
        <v>主编王丽芹， 张俊红， 盛莉</v>
      </c>
      <c r="E254" s="7" t="str">
        <f t="shared" ref="E254:E256" si="68">"河南科学技术出版社"</f>
        <v>河南科学技术出版社</v>
      </c>
      <c r="F254" s="7" t="str">
        <f t="shared" ref="F254:F256" si="69">"R47/735=2D"</f>
        <v>R47/735=2D</v>
      </c>
    </row>
    <row r="255" customHeight="1" spans="1:6">
      <c r="A255" s="6">
        <v>254</v>
      </c>
      <c r="B255" s="7" t="str">
        <f t="shared" si="65"/>
        <v>978-7-5725-0344-3</v>
      </c>
      <c r="C255" s="7" t="str">
        <f t="shared" si="66"/>
        <v>护理科研关键问题与对策</v>
      </c>
      <c r="D255" s="7" t="str">
        <f t="shared" si="67"/>
        <v>主编王丽芹， 张俊红， 盛莉</v>
      </c>
      <c r="E255" s="7" t="str">
        <f t="shared" si="68"/>
        <v>河南科学技术出版社</v>
      </c>
      <c r="F255" s="7" t="str">
        <f t="shared" si="69"/>
        <v>R47/735=2D</v>
      </c>
    </row>
    <row r="256" customHeight="1" spans="1:6">
      <c r="A256" s="6">
        <v>255</v>
      </c>
      <c r="B256" s="7" t="str">
        <f t="shared" si="65"/>
        <v>978-7-5725-0344-3</v>
      </c>
      <c r="C256" s="7" t="str">
        <f t="shared" si="66"/>
        <v>护理科研关键问题与对策</v>
      </c>
      <c r="D256" s="7" t="str">
        <f t="shared" si="67"/>
        <v>主编王丽芹， 张俊红， 盛莉</v>
      </c>
      <c r="E256" s="7" t="str">
        <f t="shared" si="68"/>
        <v>河南科学技术出版社</v>
      </c>
      <c r="F256" s="7" t="str">
        <f t="shared" si="69"/>
        <v>R47/735=2D</v>
      </c>
    </row>
    <row r="257" customHeight="1" spans="1:6">
      <c r="A257" s="6">
        <v>256</v>
      </c>
      <c r="B257" s="8" t="s">
        <v>14924</v>
      </c>
      <c r="C257" s="8" t="s">
        <v>14925</v>
      </c>
      <c r="D257" s="8" t="s">
        <v>14926</v>
      </c>
      <c r="E257" s="8" t="s">
        <v>293</v>
      </c>
      <c r="F257" s="8" t="s">
        <v>14927</v>
      </c>
    </row>
    <row r="258" customHeight="1" spans="1:6">
      <c r="A258" s="6">
        <v>257</v>
      </c>
      <c r="B258" s="8" t="s">
        <v>14924</v>
      </c>
      <c r="C258" s="8" t="s">
        <v>14925</v>
      </c>
      <c r="D258" s="8" t="s">
        <v>14926</v>
      </c>
      <c r="E258" s="8" t="s">
        <v>293</v>
      </c>
      <c r="F258" s="8" t="s">
        <v>14927</v>
      </c>
    </row>
    <row r="259" customHeight="1" spans="1:6">
      <c r="A259" s="6">
        <v>258</v>
      </c>
      <c r="B259" s="8" t="s">
        <v>14928</v>
      </c>
      <c r="C259" s="8" t="s">
        <v>14929</v>
      </c>
      <c r="D259" s="8" t="s">
        <v>14930</v>
      </c>
      <c r="E259" s="8" t="s">
        <v>293</v>
      </c>
      <c r="F259" s="8" t="s">
        <v>14931</v>
      </c>
    </row>
    <row r="260" customHeight="1" spans="1:6">
      <c r="A260" s="6">
        <v>259</v>
      </c>
      <c r="B260" s="8" t="s">
        <v>14928</v>
      </c>
      <c r="C260" s="8" t="s">
        <v>14929</v>
      </c>
      <c r="D260" s="8" t="s">
        <v>14930</v>
      </c>
      <c r="E260" s="8" t="s">
        <v>293</v>
      </c>
      <c r="F260" s="8" t="s">
        <v>14931</v>
      </c>
    </row>
    <row r="261" customHeight="1" spans="1:6">
      <c r="A261" s="6">
        <v>260</v>
      </c>
      <c r="B261" s="8" t="s">
        <v>14932</v>
      </c>
      <c r="C261" s="8" t="s">
        <v>14933</v>
      </c>
      <c r="D261" s="8" t="s">
        <v>14934</v>
      </c>
      <c r="E261" s="8" t="s">
        <v>610</v>
      </c>
      <c r="F261" s="8" t="s">
        <v>14935</v>
      </c>
    </row>
    <row r="262" customHeight="1" spans="1:6">
      <c r="A262" s="6">
        <v>261</v>
      </c>
      <c r="B262" s="8" t="s">
        <v>14932</v>
      </c>
      <c r="C262" s="8" t="s">
        <v>14933</v>
      </c>
      <c r="D262" s="8" t="s">
        <v>14934</v>
      </c>
      <c r="E262" s="8" t="s">
        <v>610</v>
      </c>
      <c r="F262" s="8" t="s">
        <v>14935</v>
      </c>
    </row>
    <row r="263" customHeight="1" spans="1:6">
      <c r="A263" s="6">
        <v>262</v>
      </c>
      <c r="B263" s="8" t="s">
        <v>14936</v>
      </c>
      <c r="C263" s="8" t="s">
        <v>14937</v>
      </c>
      <c r="D263" s="8" t="s">
        <v>14938</v>
      </c>
      <c r="E263" s="8" t="s">
        <v>10158</v>
      </c>
      <c r="F263" s="8" t="s">
        <v>14939</v>
      </c>
    </row>
    <row r="264" customHeight="1" spans="1:6">
      <c r="A264" s="6">
        <v>263</v>
      </c>
      <c r="B264" s="8" t="s">
        <v>14936</v>
      </c>
      <c r="C264" s="8" t="s">
        <v>14937</v>
      </c>
      <c r="D264" s="8" t="s">
        <v>14938</v>
      </c>
      <c r="E264" s="8" t="s">
        <v>10158</v>
      </c>
      <c r="F264" s="8" t="s">
        <v>14939</v>
      </c>
    </row>
    <row r="265" customHeight="1" spans="1:6">
      <c r="A265" s="6">
        <v>264</v>
      </c>
      <c r="B265" s="8" t="s">
        <v>14940</v>
      </c>
      <c r="C265" s="8" t="s">
        <v>14941</v>
      </c>
      <c r="D265" s="8" t="s">
        <v>14942</v>
      </c>
      <c r="E265" s="8" t="s">
        <v>293</v>
      </c>
      <c r="F265" s="8" t="s">
        <v>14943</v>
      </c>
    </row>
    <row r="266" customHeight="1" spans="1:6">
      <c r="A266" s="6">
        <v>265</v>
      </c>
      <c r="B266" s="8" t="s">
        <v>14940</v>
      </c>
      <c r="C266" s="8" t="s">
        <v>14941</v>
      </c>
      <c r="D266" s="8" t="s">
        <v>14942</v>
      </c>
      <c r="E266" s="8" t="s">
        <v>293</v>
      </c>
      <c r="F266" s="8" t="s">
        <v>14943</v>
      </c>
    </row>
    <row r="267" customHeight="1" spans="1:6">
      <c r="A267" s="6">
        <v>266</v>
      </c>
      <c r="B267" s="8" t="s">
        <v>14944</v>
      </c>
      <c r="C267" s="8" t="s">
        <v>14945</v>
      </c>
      <c r="D267" s="8" t="s">
        <v>14946</v>
      </c>
      <c r="E267" s="8" t="s">
        <v>293</v>
      </c>
      <c r="F267" s="8" t="s">
        <v>14947</v>
      </c>
    </row>
    <row r="268" customHeight="1" spans="1:6">
      <c r="A268" s="6">
        <v>267</v>
      </c>
      <c r="B268" s="8" t="s">
        <v>14944</v>
      </c>
      <c r="C268" s="8" t="s">
        <v>14945</v>
      </c>
      <c r="D268" s="8" t="s">
        <v>14946</v>
      </c>
      <c r="E268" s="8" t="s">
        <v>293</v>
      </c>
      <c r="F268" s="8" t="s">
        <v>14947</v>
      </c>
    </row>
    <row r="269" customHeight="1" spans="1:6">
      <c r="A269" s="6">
        <v>268</v>
      </c>
      <c r="B269" s="8" t="s">
        <v>14948</v>
      </c>
      <c r="C269" s="8" t="s">
        <v>14949</v>
      </c>
      <c r="D269" s="8" t="s">
        <v>14950</v>
      </c>
      <c r="E269" s="8" t="s">
        <v>14951</v>
      </c>
      <c r="F269" s="8" t="s">
        <v>14952</v>
      </c>
    </row>
    <row r="270" customHeight="1" spans="1:6">
      <c r="A270" s="6">
        <v>269</v>
      </c>
      <c r="B270" s="8" t="s">
        <v>14948</v>
      </c>
      <c r="C270" s="8" t="s">
        <v>14949</v>
      </c>
      <c r="D270" s="8" t="s">
        <v>14950</v>
      </c>
      <c r="E270" s="8" t="s">
        <v>14951</v>
      </c>
      <c r="F270" s="8" t="s">
        <v>14952</v>
      </c>
    </row>
    <row r="271" customHeight="1" spans="1:6">
      <c r="A271" s="6">
        <v>270</v>
      </c>
      <c r="B271" s="8" t="s">
        <v>14953</v>
      </c>
      <c r="C271" s="8" t="s">
        <v>14954</v>
      </c>
      <c r="D271" s="8" t="s">
        <v>14955</v>
      </c>
      <c r="E271" s="8" t="s">
        <v>899</v>
      </c>
      <c r="F271" s="8" t="s">
        <v>14956</v>
      </c>
    </row>
    <row r="272" customHeight="1" spans="1:6">
      <c r="A272" s="6">
        <v>271</v>
      </c>
      <c r="B272" s="8" t="s">
        <v>14953</v>
      </c>
      <c r="C272" s="8" t="s">
        <v>14954</v>
      </c>
      <c r="D272" s="8" t="s">
        <v>14955</v>
      </c>
      <c r="E272" s="8" t="s">
        <v>899</v>
      </c>
      <c r="F272" s="8" t="s">
        <v>14956</v>
      </c>
    </row>
    <row r="273" customHeight="1" spans="1:6">
      <c r="A273" s="6">
        <v>272</v>
      </c>
      <c r="B273" s="8" t="s">
        <v>14957</v>
      </c>
      <c r="C273" s="8" t="s">
        <v>14958</v>
      </c>
      <c r="D273" s="8" t="s">
        <v>14959</v>
      </c>
      <c r="E273" s="8" t="s">
        <v>2566</v>
      </c>
      <c r="F273" s="8" t="s">
        <v>14960</v>
      </c>
    </row>
    <row r="274" customHeight="1" spans="1:6">
      <c r="A274" s="6">
        <v>273</v>
      </c>
      <c r="B274" s="8" t="s">
        <v>14957</v>
      </c>
      <c r="C274" s="8" t="s">
        <v>14958</v>
      </c>
      <c r="D274" s="8" t="s">
        <v>14959</v>
      </c>
      <c r="E274" s="8" t="s">
        <v>2566</v>
      </c>
      <c r="F274" s="8" t="s">
        <v>14960</v>
      </c>
    </row>
    <row r="275" customHeight="1" spans="1:6">
      <c r="A275" s="6">
        <v>274</v>
      </c>
      <c r="B275" s="8" t="s">
        <v>14961</v>
      </c>
      <c r="C275" s="8" t="s">
        <v>14962</v>
      </c>
      <c r="D275" s="8" t="s">
        <v>14963</v>
      </c>
      <c r="E275" s="8" t="s">
        <v>293</v>
      </c>
      <c r="F275" s="8" t="s">
        <v>14964</v>
      </c>
    </row>
    <row r="276" customHeight="1" spans="1:6">
      <c r="A276" s="6">
        <v>275</v>
      </c>
      <c r="B276" s="8" t="s">
        <v>14961</v>
      </c>
      <c r="C276" s="8" t="s">
        <v>14962</v>
      </c>
      <c r="D276" s="8" t="s">
        <v>14963</v>
      </c>
      <c r="E276" s="8" t="s">
        <v>293</v>
      </c>
      <c r="F276" s="8" t="s">
        <v>14964</v>
      </c>
    </row>
    <row r="277" customHeight="1" spans="1:6">
      <c r="A277" s="6">
        <v>276</v>
      </c>
      <c r="B277" s="8" t="s">
        <v>14965</v>
      </c>
      <c r="C277" s="8" t="s">
        <v>14966</v>
      </c>
      <c r="D277" s="8" t="s">
        <v>14967</v>
      </c>
      <c r="E277" s="8" t="s">
        <v>2566</v>
      </c>
      <c r="F277" s="8" t="s">
        <v>14968</v>
      </c>
    </row>
    <row r="278" customHeight="1" spans="1:6">
      <c r="A278" s="6">
        <v>277</v>
      </c>
      <c r="B278" s="8" t="s">
        <v>14965</v>
      </c>
      <c r="C278" s="8" t="s">
        <v>14966</v>
      </c>
      <c r="D278" s="8" t="s">
        <v>14967</v>
      </c>
      <c r="E278" s="8" t="s">
        <v>2566</v>
      </c>
      <c r="F278" s="8" t="s">
        <v>14968</v>
      </c>
    </row>
    <row r="279" customHeight="1" spans="1:6">
      <c r="A279" s="6">
        <v>278</v>
      </c>
      <c r="B279" s="8" t="s">
        <v>14965</v>
      </c>
      <c r="C279" s="8" t="s">
        <v>14966</v>
      </c>
      <c r="D279" s="8" t="s">
        <v>14967</v>
      </c>
      <c r="E279" s="8" t="s">
        <v>2566</v>
      </c>
      <c r="F279" s="8" t="s">
        <v>14968</v>
      </c>
    </row>
    <row r="280" customHeight="1" spans="1:6">
      <c r="A280" s="6">
        <v>279</v>
      </c>
      <c r="B280" s="8" t="s">
        <v>14969</v>
      </c>
      <c r="C280" s="8" t="s">
        <v>14970</v>
      </c>
      <c r="D280" s="8" t="s">
        <v>14971</v>
      </c>
      <c r="E280" s="8" t="s">
        <v>1534</v>
      </c>
      <c r="F280" s="8" t="s">
        <v>14972</v>
      </c>
    </row>
    <row r="281" customHeight="1" spans="1:6">
      <c r="A281" s="6">
        <v>280</v>
      </c>
      <c r="B281" s="8" t="s">
        <v>14969</v>
      </c>
      <c r="C281" s="8" t="s">
        <v>14970</v>
      </c>
      <c r="D281" s="8" t="s">
        <v>14971</v>
      </c>
      <c r="E281" s="8" t="s">
        <v>1534</v>
      </c>
      <c r="F281" s="8" t="s">
        <v>14972</v>
      </c>
    </row>
    <row r="282" customHeight="1" spans="1:6">
      <c r="A282" s="6">
        <v>281</v>
      </c>
      <c r="B282" s="8" t="s">
        <v>14973</v>
      </c>
      <c r="C282" s="8" t="s">
        <v>14974</v>
      </c>
      <c r="D282" s="8" t="s">
        <v>14975</v>
      </c>
      <c r="E282" s="8" t="s">
        <v>899</v>
      </c>
      <c r="F282" s="8" t="s">
        <v>14976</v>
      </c>
    </row>
    <row r="283" customHeight="1" spans="1:6">
      <c r="A283" s="6">
        <v>282</v>
      </c>
      <c r="B283" s="8" t="s">
        <v>14973</v>
      </c>
      <c r="C283" s="8" t="s">
        <v>14974</v>
      </c>
      <c r="D283" s="8" t="s">
        <v>14975</v>
      </c>
      <c r="E283" s="8" t="s">
        <v>899</v>
      </c>
      <c r="F283" s="8" t="s">
        <v>14976</v>
      </c>
    </row>
    <row r="284" customHeight="1" spans="1:6">
      <c r="A284" s="6">
        <v>283</v>
      </c>
      <c r="B284" s="8" t="s">
        <v>14977</v>
      </c>
      <c r="C284" s="8" t="s">
        <v>14978</v>
      </c>
      <c r="D284" s="8" t="s">
        <v>14979</v>
      </c>
      <c r="E284" s="8" t="s">
        <v>2566</v>
      </c>
      <c r="F284" s="8" t="s">
        <v>14980</v>
      </c>
    </row>
    <row r="285" customHeight="1" spans="1:6">
      <c r="A285" s="6">
        <v>284</v>
      </c>
      <c r="B285" s="8" t="s">
        <v>14977</v>
      </c>
      <c r="C285" s="8" t="s">
        <v>14978</v>
      </c>
      <c r="D285" s="8" t="s">
        <v>14979</v>
      </c>
      <c r="E285" s="8" t="s">
        <v>2566</v>
      </c>
      <c r="F285" s="8" t="s">
        <v>14980</v>
      </c>
    </row>
    <row r="286" customHeight="1" spans="1:6">
      <c r="A286" s="6">
        <v>285</v>
      </c>
      <c r="B286" s="8" t="s">
        <v>14981</v>
      </c>
      <c r="C286" s="8" t="s">
        <v>14982</v>
      </c>
      <c r="D286" s="8" t="s">
        <v>14983</v>
      </c>
      <c r="E286" s="8" t="s">
        <v>610</v>
      </c>
      <c r="F286" s="8" t="s">
        <v>14984</v>
      </c>
    </row>
    <row r="287" customHeight="1" spans="1:6">
      <c r="A287" s="6">
        <v>286</v>
      </c>
      <c r="B287" s="8" t="s">
        <v>14981</v>
      </c>
      <c r="C287" s="8" t="s">
        <v>14982</v>
      </c>
      <c r="D287" s="8" t="s">
        <v>14983</v>
      </c>
      <c r="E287" s="8" t="s">
        <v>610</v>
      </c>
      <c r="F287" s="8" t="s">
        <v>14984</v>
      </c>
    </row>
    <row r="288" customHeight="1" spans="1:6">
      <c r="A288" s="6">
        <v>287</v>
      </c>
      <c r="B288" s="8" t="s">
        <v>14985</v>
      </c>
      <c r="C288" s="8" t="s">
        <v>14986</v>
      </c>
      <c r="D288" s="8" t="s">
        <v>14987</v>
      </c>
      <c r="E288" s="8" t="s">
        <v>610</v>
      </c>
      <c r="F288" s="8" t="s">
        <v>14988</v>
      </c>
    </row>
    <row r="289" customHeight="1" spans="1:6">
      <c r="A289" s="6">
        <v>288</v>
      </c>
      <c r="B289" s="8" t="s">
        <v>14985</v>
      </c>
      <c r="C289" s="8" t="s">
        <v>14986</v>
      </c>
      <c r="D289" s="8" t="s">
        <v>14987</v>
      </c>
      <c r="E289" s="8" t="s">
        <v>610</v>
      </c>
      <c r="F289" s="8" t="s">
        <v>14988</v>
      </c>
    </row>
    <row r="290" customHeight="1" spans="1:6">
      <c r="A290" s="6">
        <v>289</v>
      </c>
      <c r="B290" s="8" t="s">
        <v>14989</v>
      </c>
      <c r="C290" s="8" t="s">
        <v>14990</v>
      </c>
      <c r="D290" s="8" t="s">
        <v>14991</v>
      </c>
      <c r="E290" s="8" t="s">
        <v>610</v>
      </c>
      <c r="F290" s="8" t="s">
        <v>14992</v>
      </c>
    </row>
    <row r="291" customHeight="1" spans="1:6">
      <c r="A291" s="6">
        <v>290</v>
      </c>
      <c r="B291" s="8" t="s">
        <v>14989</v>
      </c>
      <c r="C291" s="8" t="s">
        <v>14990</v>
      </c>
      <c r="D291" s="8" t="s">
        <v>14991</v>
      </c>
      <c r="E291" s="8" t="s">
        <v>610</v>
      </c>
      <c r="F291" s="8" t="s">
        <v>14992</v>
      </c>
    </row>
    <row r="292" customHeight="1" spans="1:6">
      <c r="A292" s="6">
        <v>291</v>
      </c>
      <c r="B292" s="8" t="s">
        <v>14993</v>
      </c>
      <c r="C292" s="8" t="s">
        <v>14994</v>
      </c>
      <c r="D292" s="8" t="s">
        <v>14995</v>
      </c>
      <c r="E292" s="8" t="s">
        <v>293</v>
      </c>
      <c r="F292" s="8" t="s">
        <v>14996</v>
      </c>
    </row>
    <row r="293" customHeight="1" spans="1:6">
      <c r="A293" s="6">
        <v>292</v>
      </c>
      <c r="B293" s="8" t="s">
        <v>14993</v>
      </c>
      <c r="C293" s="8" t="s">
        <v>14994</v>
      </c>
      <c r="D293" s="8" t="s">
        <v>14995</v>
      </c>
      <c r="E293" s="8" t="s">
        <v>293</v>
      </c>
      <c r="F293" s="8" t="s">
        <v>14996</v>
      </c>
    </row>
    <row r="294" customHeight="1" spans="1:6">
      <c r="A294" s="6">
        <v>293</v>
      </c>
      <c r="B294" s="8" t="s">
        <v>14997</v>
      </c>
      <c r="C294" s="8" t="s">
        <v>14998</v>
      </c>
      <c r="D294" s="8" t="s">
        <v>14999</v>
      </c>
      <c r="E294" s="8" t="s">
        <v>293</v>
      </c>
      <c r="F294" s="8" t="s">
        <v>15000</v>
      </c>
    </row>
    <row r="295" customHeight="1" spans="1:6">
      <c r="A295" s="6">
        <v>294</v>
      </c>
      <c r="B295" s="8" t="s">
        <v>14997</v>
      </c>
      <c r="C295" s="8" t="s">
        <v>14998</v>
      </c>
      <c r="D295" s="8" t="s">
        <v>14999</v>
      </c>
      <c r="E295" s="8" t="s">
        <v>293</v>
      </c>
      <c r="F295" s="8" t="s">
        <v>15000</v>
      </c>
    </row>
    <row r="296" customHeight="1" spans="1:6">
      <c r="A296" s="6">
        <v>295</v>
      </c>
      <c r="B296" s="8" t="s">
        <v>15001</v>
      </c>
      <c r="C296" s="8" t="s">
        <v>15002</v>
      </c>
      <c r="D296" s="8" t="s">
        <v>15003</v>
      </c>
      <c r="E296" s="8" t="s">
        <v>293</v>
      </c>
      <c r="F296" s="8" t="s">
        <v>15004</v>
      </c>
    </row>
    <row r="297" customHeight="1" spans="1:6">
      <c r="A297" s="6">
        <v>296</v>
      </c>
      <c r="B297" s="8" t="s">
        <v>15001</v>
      </c>
      <c r="C297" s="8" t="s">
        <v>15002</v>
      </c>
      <c r="D297" s="8" t="s">
        <v>15003</v>
      </c>
      <c r="E297" s="8" t="s">
        <v>293</v>
      </c>
      <c r="F297" s="8" t="s">
        <v>15004</v>
      </c>
    </row>
    <row r="298" customHeight="1" spans="1:6">
      <c r="A298" s="6">
        <v>297</v>
      </c>
      <c r="B298" s="8" t="s">
        <v>15005</v>
      </c>
      <c r="C298" s="8" t="s">
        <v>15006</v>
      </c>
      <c r="D298" s="8" t="s">
        <v>15007</v>
      </c>
      <c r="E298" s="8" t="s">
        <v>293</v>
      </c>
      <c r="F298" s="8" t="s">
        <v>15008</v>
      </c>
    </row>
    <row r="299" customHeight="1" spans="1:6">
      <c r="A299" s="6">
        <v>298</v>
      </c>
      <c r="B299" s="8" t="s">
        <v>15005</v>
      </c>
      <c r="C299" s="8" t="s">
        <v>15006</v>
      </c>
      <c r="D299" s="8" t="s">
        <v>15007</v>
      </c>
      <c r="E299" s="8" t="s">
        <v>293</v>
      </c>
      <c r="F299" s="8" t="s">
        <v>15008</v>
      </c>
    </row>
    <row r="300" customHeight="1" spans="1:6">
      <c r="A300" s="6">
        <v>299</v>
      </c>
      <c r="B300" s="8" t="s">
        <v>15009</v>
      </c>
      <c r="C300" s="8" t="s">
        <v>15010</v>
      </c>
      <c r="D300" s="8" t="s">
        <v>15011</v>
      </c>
      <c r="E300" s="8" t="s">
        <v>3371</v>
      </c>
      <c r="F300" s="8" t="s">
        <v>15012</v>
      </c>
    </row>
    <row r="301" customHeight="1" spans="1:6">
      <c r="A301" s="6">
        <v>300</v>
      </c>
      <c r="B301" s="8" t="s">
        <v>15009</v>
      </c>
      <c r="C301" s="8" t="s">
        <v>15010</v>
      </c>
      <c r="D301" s="8" t="s">
        <v>15011</v>
      </c>
      <c r="E301" s="8" t="s">
        <v>3371</v>
      </c>
      <c r="F301" s="8" t="s">
        <v>15012</v>
      </c>
    </row>
    <row r="302" customHeight="1" spans="1:6">
      <c r="A302" s="6">
        <v>301</v>
      </c>
      <c r="B302" s="8" t="s">
        <v>15013</v>
      </c>
      <c r="C302" s="8" t="s">
        <v>15014</v>
      </c>
      <c r="D302" s="8" t="s">
        <v>15015</v>
      </c>
      <c r="E302" s="8" t="s">
        <v>744</v>
      </c>
      <c r="F302" s="8" t="s">
        <v>15016</v>
      </c>
    </row>
    <row r="303" customHeight="1" spans="1:6">
      <c r="A303" s="6">
        <v>302</v>
      </c>
      <c r="B303" s="8" t="s">
        <v>15013</v>
      </c>
      <c r="C303" s="8" t="s">
        <v>15014</v>
      </c>
      <c r="D303" s="8" t="s">
        <v>15015</v>
      </c>
      <c r="E303" s="8" t="s">
        <v>744</v>
      </c>
      <c r="F303" s="8" t="s">
        <v>15016</v>
      </c>
    </row>
    <row r="304" customHeight="1" spans="1:6">
      <c r="A304" s="6">
        <v>303</v>
      </c>
      <c r="B304" s="8" t="s">
        <v>15017</v>
      </c>
      <c r="C304" s="8" t="s">
        <v>15018</v>
      </c>
      <c r="D304" s="8" t="s">
        <v>15019</v>
      </c>
      <c r="E304" s="8" t="s">
        <v>744</v>
      </c>
      <c r="F304" s="8" t="s">
        <v>15020</v>
      </c>
    </row>
    <row r="305" customHeight="1" spans="1:6">
      <c r="A305" s="6">
        <v>304</v>
      </c>
      <c r="B305" s="8" t="s">
        <v>15017</v>
      </c>
      <c r="C305" s="8" t="s">
        <v>15018</v>
      </c>
      <c r="D305" s="8" t="s">
        <v>15019</v>
      </c>
      <c r="E305" s="8" t="s">
        <v>744</v>
      </c>
      <c r="F305" s="8" t="s">
        <v>15020</v>
      </c>
    </row>
    <row r="306" customHeight="1" spans="1:6">
      <c r="A306" s="6">
        <v>305</v>
      </c>
      <c r="B306" s="8" t="s">
        <v>15021</v>
      </c>
      <c r="C306" s="8" t="s">
        <v>15022</v>
      </c>
      <c r="D306" s="8" t="s">
        <v>15023</v>
      </c>
      <c r="E306" s="8" t="s">
        <v>744</v>
      </c>
      <c r="F306" s="8" t="s">
        <v>15024</v>
      </c>
    </row>
    <row r="307" customHeight="1" spans="1:6">
      <c r="A307" s="6">
        <v>306</v>
      </c>
      <c r="B307" s="8" t="s">
        <v>15021</v>
      </c>
      <c r="C307" s="8" t="s">
        <v>15022</v>
      </c>
      <c r="D307" s="8" t="s">
        <v>15023</v>
      </c>
      <c r="E307" s="8" t="s">
        <v>744</v>
      </c>
      <c r="F307" s="8" t="s">
        <v>15024</v>
      </c>
    </row>
    <row r="308" customHeight="1" spans="1:6">
      <c r="A308" s="6">
        <v>307</v>
      </c>
      <c r="B308" s="8" t="s">
        <v>15025</v>
      </c>
      <c r="C308" s="8" t="s">
        <v>15026</v>
      </c>
      <c r="D308" s="8" t="s">
        <v>15027</v>
      </c>
      <c r="E308" s="8" t="s">
        <v>8879</v>
      </c>
      <c r="F308" s="8" t="s">
        <v>15028</v>
      </c>
    </row>
    <row r="309" customHeight="1" spans="1:6">
      <c r="A309" s="6">
        <v>308</v>
      </c>
      <c r="B309" s="8" t="s">
        <v>15025</v>
      </c>
      <c r="C309" s="8" t="s">
        <v>15026</v>
      </c>
      <c r="D309" s="8" t="s">
        <v>15027</v>
      </c>
      <c r="E309" s="8" t="s">
        <v>8879</v>
      </c>
      <c r="F309" s="8" t="s">
        <v>15028</v>
      </c>
    </row>
    <row r="310" customHeight="1" spans="1:6">
      <c r="A310" s="6">
        <v>309</v>
      </c>
      <c r="B310" s="8" t="s">
        <v>15029</v>
      </c>
      <c r="C310" s="8" t="s">
        <v>15030</v>
      </c>
      <c r="D310" s="8" t="s">
        <v>15031</v>
      </c>
      <c r="E310" s="8" t="s">
        <v>293</v>
      </c>
      <c r="F310" s="8" t="s">
        <v>15032</v>
      </c>
    </row>
    <row r="311" customHeight="1" spans="1:6">
      <c r="A311" s="6">
        <v>310</v>
      </c>
      <c r="B311" s="8" t="s">
        <v>15029</v>
      </c>
      <c r="C311" s="8" t="s">
        <v>15030</v>
      </c>
      <c r="D311" s="8" t="s">
        <v>15031</v>
      </c>
      <c r="E311" s="8" t="s">
        <v>293</v>
      </c>
      <c r="F311" s="8" t="s">
        <v>15032</v>
      </c>
    </row>
    <row r="312" customHeight="1" spans="1:6">
      <c r="A312" s="6">
        <v>311</v>
      </c>
      <c r="B312" s="8" t="s">
        <v>15033</v>
      </c>
      <c r="C312" s="8" t="s">
        <v>15034</v>
      </c>
      <c r="D312" s="8" t="s">
        <v>15035</v>
      </c>
      <c r="E312" s="8" t="s">
        <v>1164</v>
      </c>
      <c r="F312" s="8" t="s">
        <v>15036</v>
      </c>
    </row>
    <row r="313" customHeight="1" spans="1:6">
      <c r="A313" s="6">
        <v>312</v>
      </c>
      <c r="B313" s="8" t="s">
        <v>15033</v>
      </c>
      <c r="C313" s="8" t="s">
        <v>15034</v>
      </c>
      <c r="D313" s="8" t="s">
        <v>15035</v>
      </c>
      <c r="E313" s="8" t="s">
        <v>1164</v>
      </c>
      <c r="F313" s="8" t="s">
        <v>15036</v>
      </c>
    </row>
    <row r="314" customHeight="1" spans="1:6">
      <c r="A314" s="6">
        <v>313</v>
      </c>
      <c r="B314" s="8" t="s">
        <v>15037</v>
      </c>
      <c r="C314" s="8" t="s">
        <v>15038</v>
      </c>
      <c r="D314" s="8" t="s">
        <v>15039</v>
      </c>
      <c r="E314" s="8" t="s">
        <v>293</v>
      </c>
      <c r="F314" s="8" t="s">
        <v>15040</v>
      </c>
    </row>
    <row r="315" customHeight="1" spans="1:6">
      <c r="A315" s="6">
        <v>314</v>
      </c>
      <c r="B315" s="8" t="s">
        <v>15037</v>
      </c>
      <c r="C315" s="8" t="s">
        <v>15038</v>
      </c>
      <c r="D315" s="8" t="s">
        <v>15039</v>
      </c>
      <c r="E315" s="8" t="s">
        <v>293</v>
      </c>
      <c r="F315" s="8" t="s">
        <v>15040</v>
      </c>
    </row>
    <row r="316" customHeight="1" spans="1:6">
      <c r="A316" s="6">
        <v>315</v>
      </c>
      <c r="B316" s="8" t="s">
        <v>15041</v>
      </c>
      <c r="C316" s="8" t="s">
        <v>15042</v>
      </c>
      <c r="D316" s="8" t="s">
        <v>15043</v>
      </c>
      <c r="E316" s="8" t="s">
        <v>610</v>
      </c>
      <c r="F316" s="8" t="s">
        <v>15044</v>
      </c>
    </row>
    <row r="317" customHeight="1" spans="1:6">
      <c r="A317" s="6">
        <v>316</v>
      </c>
      <c r="B317" s="8" t="s">
        <v>15041</v>
      </c>
      <c r="C317" s="8" t="s">
        <v>15042</v>
      </c>
      <c r="D317" s="8" t="s">
        <v>15043</v>
      </c>
      <c r="E317" s="8" t="s">
        <v>610</v>
      </c>
      <c r="F317" s="8" t="s">
        <v>15044</v>
      </c>
    </row>
    <row r="318" customHeight="1" spans="1:6">
      <c r="A318" s="6">
        <v>317</v>
      </c>
      <c r="B318" s="8" t="s">
        <v>15045</v>
      </c>
      <c r="C318" s="8" t="s">
        <v>15046</v>
      </c>
      <c r="D318" s="8" t="s">
        <v>15047</v>
      </c>
      <c r="E318" s="8" t="s">
        <v>8825</v>
      </c>
      <c r="F318" s="8" t="s">
        <v>15048</v>
      </c>
    </row>
    <row r="319" customHeight="1" spans="1:6">
      <c r="A319" s="6">
        <v>318</v>
      </c>
      <c r="B319" s="8" t="s">
        <v>15045</v>
      </c>
      <c r="C319" s="8" t="s">
        <v>15046</v>
      </c>
      <c r="D319" s="8" t="s">
        <v>15047</v>
      </c>
      <c r="E319" s="8" t="s">
        <v>8825</v>
      </c>
      <c r="F319" s="8" t="s">
        <v>15048</v>
      </c>
    </row>
    <row r="320" customHeight="1" spans="1:6">
      <c r="A320" s="6">
        <v>319</v>
      </c>
      <c r="B320" s="8" t="s">
        <v>15049</v>
      </c>
      <c r="C320" s="8" t="s">
        <v>15050</v>
      </c>
      <c r="D320" s="8" t="s">
        <v>15051</v>
      </c>
      <c r="E320" s="8" t="s">
        <v>375</v>
      </c>
      <c r="F320" s="8" t="s">
        <v>15052</v>
      </c>
    </row>
    <row r="321" customHeight="1" spans="1:6">
      <c r="A321" s="6">
        <v>320</v>
      </c>
      <c r="B321" s="8" t="s">
        <v>15049</v>
      </c>
      <c r="C321" s="8" t="s">
        <v>15050</v>
      </c>
      <c r="D321" s="8" t="s">
        <v>15051</v>
      </c>
      <c r="E321" s="8" t="s">
        <v>375</v>
      </c>
      <c r="F321" s="8" t="s">
        <v>15052</v>
      </c>
    </row>
    <row r="322" customHeight="1" spans="1:6">
      <c r="A322" s="6">
        <v>321</v>
      </c>
      <c r="B322" s="8" t="s">
        <v>15053</v>
      </c>
      <c r="C322" s="8" t="s">
        <v>15054</v>
      </c>
      <c r="D322" s="8" t="s">
        <v>15055</v>
      </c>
      <c r="E322" s="8" t="s">
        <v>2566</v>
      </c>
      <c r="F322" s="8" t="s">
        <v>15056</v>
      </c>
    </row>
    <row r="323" customHeight="1" spans="1:6">
      <c r="A323" s="6">
        <v>322</v>
      </c>
      <c r="B323" s="8" t="s">
        <v>15053</v>
      </c>
      <c r="C323" s="8" t="s">
        <v>15054</v>
      </c>
      <c r="D323" s="8" t="s">
        <v>15055</v>
      </c>
      <c r="E323" s="8" t="s">
        <v>2566</v>
      </c>
      <c r="F323" s="8" t="s">
        <v>15056</v>
      </c>
    </row>
    <row r="324" customHeight="1" spans="1:6">
      <c r="A324" s="6">
        <v>323</v>
      </c>
      <c r="B324" s="8" t="s">
        <v>15057</v>
      </c>
      <c r="C324" s="8" t="s">
        <v>15058</v>
      </c>
      <c r="D324" s="8" t="s">
        <v>15059</v>
      </c>
      <c r="E324" s="8" t="s">
        <v>2566</v>
      </c>
      <c r="F324" s="8" t="s">
        <v>15060</v>
      </c>
    </row>
    <row r="325" customHeight="1" spans="1:6">
      <c r="A325" s="6">
        <v>324</v>
      </c>
      <c r="B325" s="8" t="s">
        <v>15057</v>
      </c>
      <c r="C325" s="8" t="s">
        <v>15058</v>
      </c>
      <c r="D325" s="8" t="s">
        <v>15059</v>
      </c>
      <c r="E325" s="8" t="s">
        <v>2566</v>
      </c>
      <c r="F325" s="8" t="s">
        <v>15060</v>
      </c>
    </row>
    <row r="326" customHeight="1" spans="1:6">
      <c r="A326" s="6">
        <v>325</v>
      </c>
      <c r="B326" s="8" t="s">
        <v>15061</v>
      </c>
      <c r="C326" s="8" t="s">
        <v>15062</v>
      </c>
      <c r="D326" s="8" t="s">
        <v>15063</v>
      </c>
      <c r="E326" s="8" t="s">
        <v>2566</v>
      </c>
      <c r="F326" s="8" t="s">
        <v>15064</v>
      </c>
    </row>
    <row r="327" customHeight="1" spans="1:6">
      <c r="A327" s="6">
        <v>326</v>
      </c>
      <c r="B327" s="8" t="s">
        <v>15061</v>
      </c>
      <c r="C327" s="8" t="s">
        <v>15062</v>
      </c>
      <c r="D327" s="8" t="s">
        <v>15063</v>
      </c>
      <c r="E327" s="8" t="s">
        <v>2566</v>
      </c>
      <c r="F327" s="8" t="s">
        <v>15064</v>
      </c>
    </row>
    <row r="328" customHeight="1" spans="1:6">
      <c r="A328" s="6">
        <v>327</v>
      </c>
      <c r="B328" s="8" t="s">
        <v>15065</v>
      </c>
      <c r="C328" s="8" t="s">
        <v>15066</v>
      </c>
      <c r="D328" s="8" t="s">
        <v>15067</v>
      </c>
      <c r="E328" s="8" t="s">
        <v>2566</v>
      </c>
      <c r="F328" s="8" t="s">
        <v>15068</v>
      </c>
    </row>
    <row r="329" customHeight="1" spans="1:6">
      <c r="A329" s="6">
        <v>328</v>
      </c>
      <c r="B329" s="8" t="s">
        <v>15065</v>
      </c>
      <c r="C329" s="8" t="s">
        <v>15066</v>
      </c>
      <c r="D329" s="8" t="s">
        <v>15067</v>
      </c>
      <c r="E329" s="8" t="s">
        <v>2566</v>
      </c>
      <c r="F329" s="8" t="s">
        <v>15068</v>
      </c>
    </row>
    <row r="330" customHeight="1" spans="1:6">
      <c r="A330" s="6">
        <v>329</v>
      </c>
      <c r="B330" s="8" t="s">
        <v>15069</v>
      </c>
      <c r="C330" s="8" t="s">
        <v>15070</v>
      </c>
      <c r="D330" s="8" t="s">
        <v>15071</v>
      </c>
      <c r="E330" s="8" t="s">
        <v>2566</v>
      </c>
      <c r="F330" s="8" t="s">
        <v>15072</v>
      </c>
    </row>
    <row r="331" customHeight="1" spans="1:6">
      <c r="A331" s="6">
        <v>330</v>
      </c>
      <c r="B331" s="8" t="s">
        <v>15069</v>
      </c>
      <c r="C331" s="8" t="s">
        <v>15070</v>
      </c>
      <c r="D331" s="8" t="s">
        <v>15071</v>
      </c>
      <c r="E331" s="8" t="s">
        <v>2566</v>
      </c>
      <c r="F331" s="8" t="s">
        <v>15072</v>
      </c>
    </row>
    <row r="332" customHeight="1" spans="1:6">
      <c r="A332" s="6">
        <v>331</v>
      </c>
      <c r="B332" s="8" t="s">
        <v>15073</v>
      </c>
      <c r="C332" s="8" t="s">
        <v>15074</v>
      </c>
      <c r="D332" s="8" t="s">
        <v>15075</v>
      </c>
      <c r="E332" s="8" t="s">
        <v>899</v>
      </c>
      <c r="F332" s="8" t="s">
        <v>15076</v>
      </c>
    </row>
    <row r="333" customHeight="1" spans="1:6">
      <c r="A333" s="6">
        <v>332</v>
      </c>
      <c r="B333" s="8" t="s">
        <v>15073</v>
      </c>
      <c r="C333" s="8" t="s">
        <v>15074</v>
      </c>
      <c r="D333" s="8" t="s">
        <v>15075</v>
      </c>
      <c r="E333" s="8" t="s">
        <v>899</v>
      </c>
      <c r="F333" s="8" t="s">
        <v>15076</v>
      </c>
    </row>
    <row r="334" customHeight="1" spans="1:6">
      <c r="A334" s="6">
        <v>333</v>
      </c>
      <c r="B334" s="8" t="s">
        <v>15077</v>
      </c>
      <c r="C334" s="8" t="s">
        <v>15078</v>
      </c>
      <c r="D334" s="8" t="s">
        <v>15079</v>
      </c>
      <c r="E334" s="8" t="s">
        <v>293</v>
      </c>
      <c r="F334" s="8" t="s">
        <v>15080</v>
      </c>
    </row>
    <row r="335" customHeight="1" spans="1:6">
      <c r="A335" s="6">
        <v>334</v>
      </c>
      <c r="B335" s="8" t="s">
        <v>15077</v>
      </c>
      <c r="C335" s="8" t="s">
        <v>15078</v>
      </c>
      <c r="D335" s="8" t="s">
        <v>15079</v>
      </c>
      <c r="E335" s="8" t="s">
        <v>293</v>
      </c>
      <c r="F335" s="8" t="s">
        <v>15080</v>
      </c>
    </row>
    <row r="336" customHeight="1" spans="1:6">
      <c r="A336" s="6">
        <v>335</v>
      </c>
      <c r="B336" s="8" t="s">
        <v>15081</v>
      </c>
      <c r="C336" s="8" t="s">
        <v>15082</v>
      </c>
      <c r="D336" s="8" t="s">
        <v>15083</v>
      </c>
      <c r="E336" s="8" t="s">
        <v>293</v>
      </c>
      <c r="F336" s="8" t="s">
        <v>15084</v>
      </c>
    </row>
    <row r="337" customHeight="1" spans="1:6">
      <c r="A337" s="6">
        <v>336</v>
      </c>
      <c r="B337" s="8" t="s">
        <v>15081</v>
      </c>
      <c r="C337" s="8" t="s">
        <v>15082</v>
      </c>
      <c r="D337" s="8" t="s">
        <v>15083</v>
      </c>
      <c r="E337" s="8" t="s">
        <v>293</v>
      </c>
      <c r="F337" s="8" t="s">
        <v>15084</v>
      </c>
    </row>
    <row r="338" customHeight="1" spans="1:6">
      <c r="A338" s="6">
        <v>337</v>
      </c>
      <c r="B338" s="8" t="s">
        <v>15085</v>
      </c>
      <c r="C338" s="8" t="s">
        <v>15086</v>
      </c>
      <c r="D338" s="8" t="s">
        <v>15087</v>
      </c>
      <c r="E338" s="8" t="s">
        <v>293</v>
      </c>
      <c r="F338" s="8" t="s">
        <v>15088</v>
      </c>
    </row>
    <row r="339" customHeight="1" spans="1:6">
      <c r="A339" s="6">
        <v>338</v>
      </c>
      <c r="B339" s="8" t="s">
        <v>15085</v>
      </c>
      <c r="C339" s="8" t="s">
        <v>15086</v>
      </c>
      <c r="D339" s="8" t="s">
        <v>15087</v>
      </c>
      <c r="E339" s="8" t="s">
        <v>293</v>
      </c>
      <c r="F339" s="8" t="s">
        <v>15088</v>
      </c>
    </row>
    <row r="340" customHeight="1" spans="1:6">
      <c r="A340" s="6">
        <v>339</v>
      </c>
      <c r="B340" s="8" t="s">
        <v>15089</v>
      </c>
      <c r="C340" s="8" t="s">
        <v>15090</v>
      </c>
      <c r="D340" s="8" t="s">
        <v>15091</v>
      </c>
      <c r="E340" s="8" t="s">
        <v>375</v>
      </c>
      <c r="F340" s="8" t="s">
        <v>15092</v>
      </c>
    </row>
    <row r="341" customHeight="1" spans="1:6">
      <c r="A341" s="6">
        <v>340</v>
      </c>
      <c r="B341" s="8" t="s">
        <v>15089</v>
      </c>
      <c r="C341" s="8" t="s">
        <v>15090</v>
      </c>
      <c r="D341" s="8" t="s">
        <v>15091</v>
      </c>
      <c r="E341" s="8" t="s">
        <v>375</v>
      </c>
      <c r="F341" s="8" t="s">
        <v>15092</v>
      </c>
    </row>
    <row r="342" customHeight="1" spans="1:6">
      <c r="A342" s="6">
        <v>341</v>
      </c>
      <c r="B342" s="8" t="s">
        <v>15093</v>
      </c>
      <c r="C342" s="8" t="s">
        <v>15094</v>
      </c>
      <c r="D342" s="8" t="s">
        <v>15095</v>
      </c>
      <c r="E342" s="8" t="s">
        <v>744</v>
      </c>
      <c r="F342" s="8" t="s">
        <v>15096</v>
      </c>
    </row>
    <row r="343" customHeight="1" spans="1:6">
      <c r="A343" s="6">
        <v>342</v>
      </c>
      <c r="B343" s="8" t="s">
        <v>15093</v>
      </c>
      <c r="C343" s="8" t="s">
        <v>15094</v>
      </c>
      <c r="D343" s="8" t="s">
        <v>15095</v>
      </c>
      <c r="E343" s="8" t="s">
        <v>744</v>
      </c>
      <c r="F343" s="8" t="s">
        <v>15096</v>
      </c>
    </row>
    <row r="344" customHeight="1" spans="1:6">
      <c r="A344" s="6">
        <v>343</v>
      </c>
      <c r="B344" s="8" t="s">
        <v>15097</v>
      </c>
      <c r="C344" s="8" t="s">
        <v>15098</v>
      </c>
      <c r="D344" s="8" t="s">
        <v>15099</v>
      </c>
      <c r="E344" s="8" t="s">
        <v>744</v>
      </c>
      <c r="F344" s="8" t="s">
        <v>15100</v>
      </c>
    </row>
    <row r="345" customHeight="1" spans="1:6">
      <c r="A345" s="6">
        <v>344</v>
      </c>
      <c r="B345" s="8" t="s">
        <v>15097</v>
      </c>
      <c r="C345" s="8" t="s">
        <v>15098</v>
      </c>
      <c r="D345" s="8" t="s">
        <v>15099</v>
      </c>
      <c r="E345" s="8" t="s">
        <v>744</v>
      </c>
      <c r="F345" s="8" t="s">
        <v>15100</v>
      </c>
    </row>
    <row r="346" customHeight="1" spans="1:6">
      <c r="A346" s="6">
        <v>345</v>
      </c>
      <c r="B346" s="8" t="s">
        <v>15101</v>
      </c>
      <c r="C346" s="8" t="s">
        <v>15102</v>
      </c>
      <c r="D346" s="8" t="s">
        <v>15103</v>
      </c>
      <c r="E346" s="8" t="s">
        <v>8153</v>
      </c>
      <c r="F346" s="8" t="s">
        <v>15104</v>
      </c>
    </row>
    <row r="347" customHeight="1" spans="1:6">
      <c r="A347" s="6">
        <v>346</v>
      </c>
      <c r="B347" s="8" t="s">
        <v>15101</v>
      </c>
      <c r="C347" s="8" t="s">
        <v>15102</v>
      </c>
      <c r="D347" s="8" t="s">
        <v>15103</v>
      </c>
      <c r="E347" s="8" t="s">
        <v>8153</v>
      </c>
      <c r="F347" s="8" t="s">
        <v>15104</v>
      </c>
    </row>
    <row r="348" customHeight="1" spans="1:6">
      <c r="A348" s="6">
        <v>347</v>
      </c>
      <c r="B348" s="8" t="s">
        <v>15105</v>
      </c>
      <c r="C348" s="8" t="s">
        <v>15106</v>
      </c>
      <c r="D348" s="8" t="s">
        <v>15107</v>
      </c>
      <c r="E348" s="8" t="s">
        <v>293</v>
      </c>
      <c r="F348" s="8" t="s">
        <v>15108</v>
      </c>
    </row>
    <row r="349" customHeight="1" spans="1:6">
      <c r="A349" s="6">
        <v>348</v>
      </c>
      <c r="B349" s="8" t="s">
        <v>15105</v>
      </c>
      <c r="C349" s="8" t="s">
        <v>15106</v>
      </c>
      <c r="D349" s="8" t="s">
        <v>15107</v>
      </c>
      <c r="E349" s="8" t="s">
        <v>293</v>
      </c>
      <c r="F349" s="8" t="s">
        <v>15108</v>
      </c>
    </row>
    <row r="350" customHeight="1" spans="1:6">
      <c r="A350" s="6">
        <v>349</v>
      </c>
      <c r="B350" s="8" t="s">
        <v>15109</v>
      </c>
      <c r="C350" s="8" t="s">
        <v>15110</v>
      </c>
      <c r="D350" s="8" t="s">
        <v>15111</v>
      </c>
      <c r="E350" s="8" t="s">
        <v>8002</v>
      </c>
      <c r="F350" s="8" t="s">
        <v>15112</v>
      </c>
    </row>
    <row r="351" customHeight="1" spans="1:6">
      <c r="A351" s="6">
        <v>350</v>
      </c>
      <c r="B351" s="8" t="s">
        <v>15109</v>
      </c>
      <c r="C351" s="8" t="s">
        <v>15110</v>
      </c>
      <c r="D351" s="8" t="s">
        <v>15111</v>
      </c>
      <c r="E351" s="8" t="s">
        <v>8002</v>
      </c>
      <c r="F351" s="8" t="s">
        <v>15112</v>
      </c>
    </row>
    <row r="352" customHeight="1" spans="1:6">
      <c r="A352" s="6">
        <v>351</v>
      </c>
      <c r="B352" s="8" t="s">
        <v>15113</v>
      </c>
      <c r="C352" s="8" t="s">
        <v>15114</v>
      </c>
      <c r="D352" s="8" t="s">
        <v>15115</v>
      </c>
      <c r="E352" s="8" t="s">
        <v>2566</v>
      </c>
      <c r="F352" s="8" t="s">
        <v>15116</v>
      </c>
    </row>
    <row r="353" customHeight="1" spans="1:6">
      <c r="A353" s="6">
        <v>352</v>
      </c>
      <c r="B353" s="8" t="s">
        <v>15113</v>
      </c>
      <c r="C353" s="8" t="s">
        <v>15114</v>
      </c>
      <c r="D353" s="8" t="s">
        <v>15115</v>
      </c>
      <c r="E353" s="8" t="s">
        <v>2566</v>
      </c>
      <c r="F353" s="8" t="s">
        <v>15116</v>
      </c>
    </row>
    <row r="354" customHeight="1" spans="1:6">
      <c r="A354" s="6">
        <v>353</v>
      </c>
      <c r="B354" s="8" t="s">
        <v>15117</v>
      </c>
      <c r="C354" s="8" t="s">
        <v>15118</v>
      </c>
      <c r="D354" s="8" t="s">
        <v>15119</v>
      </c>
      <c r="E354" s="8" t="s">
        <v>15120</v>
      </c>
      <c r="F354" s="8" t="s">
        <v>15121</v>
      </c>
    </row>
    <row r="355" customHeight="1" spans="1:6">
      <c r="A355" s="6">
        <v>354</v>
      </c>
      <c r="B355" s="8" t="s">
        <v>15117</v>
      </c>
      <c r="C355" s="8" t="s">
        <v>15118</v>
      </c>
      <c r="D355" s="8" t="s">
        <v>15119</v>
      </c>
      <c r="E355" s="8" t="s">
        <v>15120</v>
      </c>
      <c r="F355" s="8" t="s">
        <v>15121</v>
      </c>
    </row>
    <row r="356" customHeight="1" spans="1:6">
      <c r="A356" s="6">
        <v>355</v>
      </c>
      <c r="B356" s="8" t="s">
        <v>15122</v>
      </c>
      <c r="C356" s="8" t="s">
        <v>15123</v>
      </c>
      <c r="D356" s="8" t="s">
        <v>15124</v>
      </c>
      <c r="E356" s="8" t="s">
        <v>2566</v>
      </c>
      <c r="F356" s="8" t="s">
        <v>15125</v>
      </c>
    </row>
    <row r="357" customHeight="1" spans="1:6">
      <c r="A357" s="6">
        <v>356</v>
      </c>
      <c r="B357" s="8" t="s">
        <v>15122</v>
      </c>
      <c r="C357" s="8" t="s">
        <v>15126</v>
      </c>
      <c r="D357" s="8" t="s">
        <v>15124</v>
      </c>
      <c r="E357" s="8" t="s">
        <v>2566</v>
      </c>
      <c r="F357" s="8" t="s">
        <v>15127</v>
      </c>
    </row>
    <row r="358" customHeight="1" spans="1:6">
      <c r="A358" s="6">
        <v>357</v>
      </c>
      <c r="B358" s="8" t="s">
        <v>15128</v>
      </c>
      <c r="C358" s="8" t="s">
        <v>15129</v>
      </c>
      <c r="D358" s="8" t="s">
        <v>15130</v>
      </c>
      <c r="E358" s="8" t="s">
        <v>5806</v>
      </c>
      <c r="F358" s="8" t="s">
        <v>15131</v>
      </c>
    </row>
    <row r="359" customHeight="1" spans="1:6">
      <c r="A359" s="6">
        <v>358</v>
      </c>
      <c r="B359" s="8" t="s">
        <v>15128</v>
      </c>
      <c r="C359" s="8" t="s">
        <v>15129</v>
      </c>
      <c r="D359" s="8" t="s">
        <v>15130</v>
      </c>
      <c r="E359" s="8" t="s">
        <v>5806</v>
      </c>
      <c r="F359" s="8" t="s">
        <v>15131</v>
      </c>
    </row>
    <row r="360" customHeight="1" spans="1:6">
      <c r="A360" s="6">
        <v>359</v>
      </c>
      <c r="B360" s="8" t="s">
        <v>15132</v>
      </c>
      <c r="C360" s="8" t="s">
        <v>15133</v>
      </c>
      <c r="D360" s="8" t="s">
        <v>15134</v>
      </c>
      <c r="E360" s="8" t="s">
        <v>1236</v>
      </c>
      <c r="F360" s="8" t="s">
        <v>15135</v>
      </c>
    </row>
    <row r="361" customHeight="1" spans="1:6">
      <c r="A361" s="6">
        <v>360</v>
      </c>
      <c r="B361" s="8" t="s">
        <v>15132</v>
      </c>
      <c r="C361" s="8" t="s">
        <v>15133</v>
      </c>
      <c r="D361" s="8" t="s">
        <v>15134</v>
      </c>
      <c r="E361" s="8" t="s">
        <v>1236</v>
      </c>
      <c r="F361" s="8" t="s">
        <v>15135</v>
      </c>
    </row>
    <row r="362" customHeight="1" spans="1:6">
      <c r="A362" s="6">
        <v>361</v>
      </c>
      <c r="B362" s="8" t="s">
        <v>15136</v>
      </c>
      <c r="C362" s="8" t="s">
        <v>15137</v>
      </c>
      <c r="D362" s="8" t="s">
        <v>15138</v>
      </c>
      <c r="E362" s="8" t="s">
        <v>11482</v>
      </c>
      <c r="F362" s="8" t="s">
        <v>15139</v>
      </c>
    </row>
    <row r="363" customHeight="1" spans="1:6">
      <c r="A363" s="6">
        <v>362</v>
      </c>
      <c r="B363" s="8" t="s">
        <v>15136</v>
      </c>
      <c r="C363" s="8" t="s">
        <v>15137</v>
      </c>
      <c r="D363" s="8" t="s">
        <v>15138</v>
      </c>
      <c r="E363" s="8" t="s">
        <v>11482</v>
      </c>
      <c r="F363" s="8" t="s">
        <v>15139</v>
      </c>
    </row>
    <row r="364" customHeight="1" spans="1:6">
      <c r="A364" s="6">
        <v>363</v>
      </c>
      <c r="B364" s="8" t="s">
        <v>15140</v>
      </c>
      <c r="C364" s="8" t="s">
        <v>15141</v>
      </c>
      <c r="D364" s="8" t="s">
        <v>15142</v>
      </c>
      <c r="E364" s="8" t="s">
        <v>8879</v>
      </c>
      <c r="F364" s="8" t="s">
        <v>15143</v>
      </c>
    </row>
    <row r="365" customHeight="1" spans="1:6">
      <c r="A365" s="6">
        <v>364</v>
      </c>
      <c r="B365" s="8" t="s">
        <v>15140</v>
      </c>
      <c r="C365" s="8" t="s">
        <v>15141</v>
      </c>
      <c r="D365" s="8" t="s">
        <v>15142</v>
      </c>
      <c r="E365" s="8" t="s">
        <v>8879</v>
      </c>
      <c r="F365" s="8" t="s">
        <v>15143</v>
      </c>
    </row>
    <row r="366" customHeight="1" spans="1:6">
      <c r="A366" s="6">
        <v>365</v>
      </c>
      <c r="B366" s="8" t="s">
        <v>15144</v>
      </c>
      <c r="C366" s="8" t="s">
        <v>15145</v>
      </c>
      <c r="D366" s="8" t="s">
        <v>15146</v>
      </c>
      <c r="E366" s="8" t="s">
        <v>8153</v>
      </c>
      <c r="F366" s="8" t="s">
        <v>15147</v>
      </c>
    </row>
    <row r="367" customHeight="1" spans="1:6">
      <c r="A367" s="6">
        <v>366</v>
      </c>
      <c r="B367" s="8" t="s">
        <v>15144</v>
      </c>
      <c r="C367" s="8" t="s">
        <v>15145</v>
      </c>
      <c r="D367" s="8" t="s">
        <v>15146</v>
      </c>
      <c r="E367" s="8" t="s">
        <v>8153</v>
      </c>
      <c r="F367" s="8" t="s">
        <v>15147</v>
      </c>
    </row>
    <row r="368" customHeight="1" spans="1:6">
      <c r="A368" s="6">
        <v>367</v>
      </c>
      <c r="B368" s="8" t="s">
        <v>15148</v>
      </c>
      <c r="C368" s="8" t="s">
        <v>15149</v>
      </c>
      <c r="D368" s="8" t="s">
        <v>15150</v>
      </c>
      <c r="E368" s="8" t="s">
        <v>899</v>
      </c>
      <c r="F368" s="8" t="s">
        <v>15151</v>
      </c>
    </row>
    <row r="369" customHeight="1" spans="1:6">
      <c r="A369" s="6">
        <v>368</v>
      </c>
      <c r="B369" s="8" t="s">
        <v>15148</v>
      </c>
      <c r="C369" s="8" t="s">
        <v>15149</v>
      </c>
      <c r="D369" s="8" t="s">
        <v>15150</v>
      </c>
      <c r="E369" s="8" t="s">
        <v>899</v>
      </c>
      <c r="F369" s="8" t="s">
        <v>15151</v>
      </c>
    </row>
    <row r="370" customHeight="1" spans="1:6">
      <c r="A370" s="6">
        <v>369</v>
      </c>
      <c r="B370" s="8" t="s">
        <v>15152</v>
      </c>
      <c r="C370" s="8" t="s">
        <v>15153</v>
      </c>
      <c r="D370" s="8" t="s">
        <v>15154</v>
      </c>
      <c r="E370" s="8" t="s">
        <v>15155</v>
      </c>
      <c r="F370" s="8" t="s">
        <v>15156</v>
      </c>
    </row>
    <row r="371" customHeight="1" spans="1:6">
      <c r="A371" s="6">
        <v>370</v>
      </c>
      <c r="B371" s="8" t="s">
        <v>15152</v>
      </c>
      <c r="C371" s="8" t="s">
        <v>15153</v>
      </c>
      <c r="D371" s="8" t="s">
        <v>15154</v>
      </c>
      <c r="E371" s="8" t="s">
        <v>15155</v>
      </c>
      <c r="F371" s="8" t="s">
        <v>15156</v>
      </c>
    </row>
    <row r="372" customHeight="1" spans="1:6">
      <c r="A372" s="6">
        <v>371</v>
      </c>
      <c r="B372" s="8" t="s">
        <v>15157</v>
      </c>
      <c r="C372" s="8" t="s">
        <v>15158</v>
      </c>
      <c r="D372" s="8" t="s">
        <v>15159</v>
      </c>
      <c r="E372" s="8" t="s">
        <v>899</v>
      </c>
      <c r="F372" s="8" t="s">
        <v>15160</v>
      </c>
    </row>
    <row r="373" customHeight="1" spans="1:6">
      <c r="A373" s="6">
        <v>372</v>
      </c>
      <c r="B373" s="8" t="s">
        <v>15157</v>
      </c>
      <c r="C373" s="8" t="s">
        <v>15158</v>
      </c>
      <c r="D373" s="8" t="s">
        <v>15159</v>
      </c>
      <c r="E373" s="8" t="s">
        <v>899</v>
      </c>
      <c r="F373" s="8" t="s">
        <v>15160</v>
      </c>
    </row>
    <row r="374" customHeight="1" spans="1:6">
      <c r="A374" s="6">
        <v>373</v>
      </c>
      <c r="B374" s="8" t="s">
        <v>15161</v>
      </c>
      <c r="C374" s="8" t="s">
        <v>15162</v>
      </c>
      <c r="D374" s="8" t="s">
        <v>15163</v>
      </c>
      <c r="E374" s="8" t="s">
        <v>293</v>
      </c>
      <c r="F374" s="8" t="s">
        <v>15164</v>
      </c>
    </row>
    <row r="375" customHeight="1" spans="1:6">
      <c r="A375" s="6">
        <v>374</v>
      </c>
      <c r="B375" s="8" t="s">
        <v>15161</v>
      </c>
      <c r="C375" s="8" t="s">
        <v>15162</v>
      </c>
      <c r="D375" s="8" t="s">
        <v>15163</v>
      </c>
      <c r="E375" s="8" t="s">
        <v>293</v>
      </c>
      <c r="F375" s="8" t="s">
        <v>15164</v>
      </c>
    </row>
    <row r="376" customHeight="1" spans="1:6">
      <c r="A376" s="6">
        <v>375</v>
      </c>
      <c r="B376" s="8" t="s">
        <v>15165</v>
      </c>
      <c r="C376" s="8" t="s">
        <v>15166</v>
      </c>
      <c r="D376" s="8" t="s">
        <v>15167</v>
      </c>
      <c r="E376" s="8" t="s">
        <v>293</v>
      </c>
      <c r="F376" s="8" t="s">
        <v>15168</v>
      </c>
    </row>
    <row r="377" customHeight="1" spans="1:6">
      <c r="A377" s="6">
        <v>376</v>
      </c>
      <c r="B377" s="8" t="s">
        <v>15165</v>
      </c>
      <c r="C377" s="8" t="s">
        <v>15166</v>
      </c>
      <c r="D377" s="8" t="s">
        <v>15167</v>
      </c>
      <c r="E377" s="8" t="s">
        <v>293</v>
      </c>
      <c r="F377" s="8" t="s">
        <v>15168</v>
      </c>
    </row>
    <row r="378" customHeight="1" spans="1:6">
      <c r="A378" s="6">
        <v>377</v>
      </c>
      <c r="B378" s="8" t="s">
        <v>15169</v>
      </c>
      <c r="C378" s="8" t="s">
        <v>15170</v>
      </c>
      <c r="D378" s="8" t="s">
        <v>15171</v>
      </c>
      <c r="E378" s="8" t="s">
        <v>293</v>
      </c>
      <c r="F378" s="8" t="s">
        <v>15172</v>
      </c>
    </row>
    <row r="379" customHeight="1" spans="1:6">
      <c r="A379" s="6">
        <v>378</v>
      </c>
      <c r="B379" s="8" t="s">
        <v>15169</v>
      </c>
      <c r="C379" s="8" t="s">
        <v>15170</v>
      </c>
      <c r="D379" s="8" t="s">
        <v>15171</v>
      </c>
      <c r="E379" s="8" t="s">
        <v>293</v>
      </c>
      <c r="F379" s="8" t="s">
        <v>15172</v>
      </c>
    </row>
    <row r="380" customHeight="1" spans="1:6">
      <c r="A380" s="6">
        <v>379</v>
      </c>
      <c r="B380" s="8" t="s">
        <v>15173</v>
      </c>
      <c r="C380" s="8" t="s">
        <v>15174</v>
      </c>
      <c r="D380" s="8" t="s">
        <v>15175</v>
      </c>
      <c r="E380" s="8" t="s">
        <v>288</v>
      </c>
      <c r="F380" s="8" t="s">
        <v>15176</v>
      </c>
    </row>
    <row r="381" customHeight="1" spans="1:6">
      <c r="A381" s="6">
        <v>380</v>
      </c>
      <c r="B381" s="8" t="s">
        <v>15173</v>
      </c>
      <c r="C381" s="8" t="s">
        <v>15174</v>
      </c>
      <c r="D381" s="8" t="s">
        <v>15175</v>
      </c>
      <c r="E381" s="8" t="s">
        <v>288</v>
      </c>
      <c r="F381" s="8" t="s">
        <v>15176</v>
      </c>
    </row>
    <row r="382" customHeight="1" spans="1:6">
      <c r="A382" s="6">
        <v>381</v>
      </c>
      <c r="B382" s="8" t="s">
        <v>15177</v>
      </c>
      <c r="C382" s="8" t="s">
        <v>15178</v>
      </c>
      <c r="D382" s="8" t="s">
        <v>15179</v>
      </c>
      <c r="E382" s="8" t="s">
        <v>8002</v>
      </c>
      <c r="F382" s="8" t="s">
        <v>15180</v>
      </c>
    </row>
    <row r="383" customHeight="1" spans="1:6">
      <c r="A383" s="6">
        <v>382</v>
      </c>
      <c r="B383" s="8" t="s">
        <v>15177</v>
      </c>
      <c r="C383" s="8" t="s">
        <v>15178</v>
      </c>
      <c r="D383" s="8" t="s">
        <v>15179</v>
      </c>
      <c r="E383" s="8" t="s">
        <v>8002</v>
      </c>
      <c r="F383" s="8" t="s">
        <v>15180</v>
      </c>
    </row>
    <row r="384" customHeight="1" spans="1:6">
      <c r="A384" s="6">
        <v>383</v>
      </c>
      <c r="B384" s="7" t="str">
        <f>"978-7-5180-8509-5"</f>
        <v>978-7-5180-8509-5</v>
      </c>
      <c r="C384" s="7" t="str">
        <f>"临床常见急危重症护理研究"</f>
        <v>临床常见急危重症护理研究</v>
      </c>
      <c r="D384" s="7" t="str">
        <f>"董桂银， 卢唤鸽著"</f>
        <v>董桂银， 卢唤鸽著</v>
      </c>
      <c r="E384" s="7" t="str">
        <f>"中国纺织出版社有限公司"</f>
        <v>中国纺织出版社有限公司</v>
      </c>
      <c r="F384" s="7" t="str">
        <f>"R472.2/73"</f>
        <v>R472.2/73</v>
      </c>
    </row>
    <row r="385" customHeight="1" spans="1:6">
      <c r="A385" s="6">
        <v>384</v>
      </c>
      <c r="B385" s="7" t="str">
        <f>"978-7-5180-8509-5"</f>
        <v>978-7-5180-8509-5</v>
      </c>
      <c r="C385" s="7" t="str">
        <f>"临床常见急危重症护理研究"</f>
        <v>临床常见急危重症护理研究</v>
      </c>
      <c r="D385" s="7" t="str">
        <f>"董桂银， 卢唤鸽著"</f>
        <v>董桂银， 卢唤鸽著</v>
      </c>
      <c r="E385" s="7" t="str">
        <f>"中国纺织出版社有限公司"</f>
        <v>中国纺织出版社有限公司</v>
      </c>
      <c r="F385" s="7" t="str">
        <f>"R472.2/73"</f>
        <v>R472.2/73</v>
      </c>
    </row>
    <row r="386" customHeight="1" spans="1:6">
      <c r="A386" s="6">
        <v>385</v>
      </c>
      <c r="B386" s="8" t="s">
        <v>15181</v>
      </c>
      <c r="C386" s="8" t="s">
        <v>15182</v>
      </c>
      <c r="D386" s="8" t="s">
        <v>15183</v>
      </c>
      <c r="E386" s="8" t="s">
        <v>11482</v>
      </c>
      <c r="F386" s="8" t="s">
        <v>15184</v>
      </c>
    </row>
    <row r="387" customHeight="1" spans="1:6">
      <c r="A387" s="6">
        <v>386</v>
      </c>
      <c r="B387" s="8" t="s">
        <v>15181</v>
      </c>
      <c r="C387" s="8" t="s">
        <v>15182</v>
      </c>
      <c r="D387" s="8" t="s">
        <v>15183</v>
      </c>
      <c r="E387" s="8" t="s">
        <v>11482</v>
      </c>
      <c r="F387" s="8" t="s">
        <v>15184</v>
      </c>
    </row>
    <row r="388" customHeight="1" spans="1:6">
      <c r="A388" s="6">
        <v>387</v>
      </c>
      <c r="B388" s="8" t="s">
        <v>15185</v>
      </c>
      <c r="C388" s="8" t="s">
        <v>15186</v>
      </c>
      <c r="D388" s="8" t="s">
        <v>15187</v>
      </c>
      <c r="E388" s="8" t="s">
        <v>1617</v>
      </c>
      <c r="F388" s="8" t="s">
        <v>15188</v>
      </c>
    </row>
    <row r="389" customHeight="1" spans="1:6">
      <c r="A389" s="6">
        <v>388</v>
      </c>
      <c r="B389" s="8" t="s">
        <v>15185</v>
      </c>
      <c r="C389" s="8" t="s">
        <v>15186</v>
      </c>
      <c r="D389" s="8" t="s">
        <v>15187</v>
      </c>
      <c r="E389" s="8" t="s">
        <v>1617</v>
      </c>
      <c r="F389" s="8" t="s">
        <v>15188</v>
      </c>
    </row>
    <row r="390" customHeight="1" spans="1:6">
      <c r="A390" s="6">
        <v>389</v>
      </c>
      <c r="B390" s="8" t="s">
        <v>15189</v>
      </c>
      <c r="C390" s="8" t="s">
        <v>15190</v>
      </c>
      <c r="D390" s="8" t="s">
        <v>15191</v>
      </c>
      <c r="E390" s="8" t="s">
        <v>11482</v>
      </c>
      <c r="F390" s="8" t="s">
        <v>15192</v>
      </c>
    </row>
    <row r="391" customHeight="1" spans="1:6">
      <c r="A391" s="6">
        <v>390</v>
      </c>
      <c r="B391" s="8" t="s">
        <v>15189</v>
      </c>
      <c r="C391" s="8" t="s">
        <v>15190</v>
      </c>
      <c r="D391" s="8" t="s">
        <v>15191</v>
      </c>
      <c r="E391" s="8" t="s">
        <v>11482</v>
      </c>
      <c r="F391" s="8" t="s">
        <v>15192</v>
      </c>
    </row>
    <row r="392" customHeight="1" spans="1:6">
      <c r="A392" s="6">
        <v>391</v>
      </c>
      <c r="B392" s="8" t="s">
        <v>15193</v>
      </c>
      <c r="C392" s="8" t="s">
        <v>15194</v>
      </c>
      <c r="D392" s="8" t="s">
        <v>15195</v>
      </c>
      <c r="E392" s="8" t="s">
        <v>2566</v>
      </c>
      <c r="F392" s="8" t="s">
        <v>15196</v>
      </c>
    </row>
    <row r="393" customHeight="1" spans="1:6">
      <c r="A393" s="6">
        <v>392</v>
      </c>
      <c r="B393" s="8" t="s">
        <v>15193</v>
      </c>
      <c r="C393" s="8" t="s">
        <v>15194</v>
      </c>
      <c r="D393" s="8" t="s">
        <v>15195</v>
      </c>
      <c r="E393" s="8" t="s">
        <v>2566</v>
      </c>
      <c r="F393" s="8" t="s">
        <v>15196</v>
      </c>
    </row>
    <row r="394" customHeight="1" spans="1:6">
      <c r="A394" s="6">
        <v>393</v>
      </c>
      <c r="B394" s="8" t="s">
        <v>15197</v>
      </c>
      <c r="C394" s="8" t="s">
        <v>15198</v>
      </c>
      <c r="D394" s="8" t="s">
        <v>15087</v>
      </c>
      <c r="E394" s="8" t="s">
        <v>293</v>
      </c>
      <c r="F394" s="8" t="s">
        <v>15199</v>
      </c>
    </row>
    <row r="395" customHeight="1" spans="1:6">
      <c r="A395" s="6">
        <v>394</v>
      </c>
      <c r="B395" s="8" t="s">
        <v>15197</v>
      </c>
      <c r="C395" s="8" t="s">
        <v>15198</v>
      </c>
      <c r="D395" s="8" t="s">
        <v>15087</v>
      </c>
      <c r="E395" s="8" t="s">
        <v>293</v>
      </c>
      <c r="F395" s="8" t="s">
        <v>15199</v>
      </c>
    </row>
    <row r="396" customHeight="1" spans="1:6">
      <c r="A396" s="6">
        <v>395</v>
      </c>
      <c r="B396" s="8" t="s">
        <v>15200</v>
      </c>
      <c r="C396" s="8" t="s">
        <v>15201</v>
      </c>
      <c r="D396" s="8" t="s">
        <v>15202</v>
      </c>
      <c r="E396" s="8" t="s">
        <v>293</v>
      </c>
      <c r="F396" s="8" t="s">
        <v>15203</v>
      </c>
    </row>
    <row r="397" customHeight="1" spans="1:6">
      <c r="A397" s="6">
        <v>396</v>
      </c>
      <c r="B397" s="8" t="s">
        <v>15200</v>
      </c>
      <c r="C397" s="8" t="s">
        <v>15201</v>
      </c>
      <c r="D397" s="8" t="s">
        <v>15202</v>
      </c>
      <c r="E397" s="8" t="s">
        <v>293</v>
      </c>
      <c r="F397" s="8" t="s">
        <v>15203</v>
      </c>
    </row>
    <row r="398" customHeight="1" spans="1:6">
      <c r="A398" s="6">
        <v>397</v>
      </c>
      <c r="B398" s="8" t="s">
        <v>15204</v>
      </c>
      <c r="C398" s="8" t="s">
        <v>15205</v>
      </c>
      <c r="D398" s="8" t="s">
        <v>15206</v>
      </c>
      <c r="E398" s="8" t="s">
        <v>5806</v>
      </c>
      <c r="F398" s="8" t="s">
        <v>15207</v>
      </c>
    </row>
    <row r="399" customHeight="1" spans="1:6">
      <c r="A399" s="6">
        <v>398</v>
      </c>
      <c r="B399" s="8" t="s">
        <v>15204</v>
      </c>
      <c r="C399" s="8" t="s">
        <v>15205</v>
      </c>
      <c r="D399" s="8" t="s">
        <v>15206</v>
      </c>
      <c r="E399" s="8" t="s">
        <v>5806</v>
      </c>
      <c r="F399" s="8" t="s">
        <v>15207</v>
      </c>
    </row>
    <row r="400" customHeight="1" spans="1:6">
      <c r="A400" s="6">
        <v>399</v>
      </c>
      <c r="B400" s="8" t="s">
        <v>15208</v>
      </c>
      <c r="C400" s="8" t="s">
        <v>15209</v>
      </c>
      <c r="D400" s="8" t="s">
        <v>15210</v>
      </c>
      <c r="E400" s="8" t="s">
        <v>8879</v>
      </c>
      <c r="F400" s="8" t="s">
        <v>15211</v>
      </c>
    </row>
    <row r="401" customHeight="1" spans="1:6">
      <c r="A401" s="6">
        <v>400</v>
      </c>
      <c r="B401" s="8" t="s">
        <v>15208</v>
      </c>
      <c r="C401" s="8" t="s">
        <v>15209</v>
      </c>
      <c r="D401" s="8" t="s">
        <v>15210</v>
      </c>
      <c r="E401" s="8" t="s">
        <v>8879</v>
      </c>
      <c r="F401" s="8" t="s">
        <v>15211</v>
      </c>
    </row>
    <row r="402" customHeight="1" spans="1:6">
      <c r="A402" s="6">
        <v>401</v>
      </c>
      <c r="B402" s="8" t="s">
        <v>15212</v>
      </c>
      <c r="C402" s="8" t="s">
        <v>15213</v>
      </c>
      <c r="D402" s="8" t="s">
        <v>15214</v>
      </c>
      <c r="E402" s="8" t="s">
        <v>2566</v>
      </c>
      <c r="F402" s="8" t="s">
        <v>15215</v>
      </c>
    </row>
    <row r="403" customHeight="1" spans="1:6">
      <c r="A403" s="6">
        <v>402</v>
      </c>
      <c r="B403" s="8" t="s">
        <v>15212</v>
      </c>
      <c r="C403" s="8" t="s">
        <v>15213</v>
      </c>
      <c r="D403" s="8" t="s">
        <v>15214</v>
      </c>
      <c r="E403" s="8" t="s">
        <v>2566</v>
      </c>
      <c r="F403" s="8" t="s">
        <v>15215</v>
      </c>
    </row>
    <row r="404" customHeight="1" spans="1:6">
      <c r="A404" s="6">
        <v>403</v>
      </c>
      <c r="B404" s="8" t="s">
        <v>15216</v>
      </c>
      <c r="C404" s="8" t="s">
        <v>15217</v>
      </c>
      <c r="D404" s="8" t="s">
        <v>15218</v>
      </c>
      <c r="E404" s="8" t="s">
        <v>610</v>
      </c>
      <c r="F404" s="8" t="s">
        <v>15219</v>
      </c>
    </row>
    <row r="405" customHeight="1" spans="1:6">
      <c r="A405" s="6">
        <v>404</v>
      </c>
      <c r="B405" s="8" t="s">
        <v>15216</v>
      </c>
      <c r="C405" s="8" t="s">
        <v>15217</v>
      </c>
      <c r="D405" s="8" t="s">
        <v>15218</v>
      </c>
      <c r="E405" s="8" t="s">
        <v>610</v>
      </c>
      <c r="F405" s="8" t="s">
        <v>15219</v>
      </c>
    </row>
    <row r="406" customHeight="1" spans="1:6">
      <c r="A406" s="6">
        <v>405</v>
      </c>
      <c r="B406" s="8" t="s">
        <v>15220</v>
      </c>
      <c r="C406" s="8" t="s">
        <v>15221</v>
      </c>
      <c r="D406" s="8" t="s">
        <v>15222</v>
      </c>
      <c r="E406" s="8" t="s">
        <v>8879</v>
      </c>
      <c r="F406" s="8" t="s">
        <v>15223</v>
      </c>
    </row>
    <row r="407" customHeight="1" spans="1:6">
      <c r="A407" s="6">
        <v>406</v>
      </c>
      <c r="B407" s="8" t="s">
        <v>15220</v>
      </c>
      <c r="C407" s="8" t="s">
        <v>15221</v>
      </c>
      <c r="D407" s="8" t="s">
        <v>15222</v>
      </c>
      <c r="E407" s="8" t="s">
        <v>8879</v>
      </c>
      <c r="F407" s="8" t="s">
        <v>15223</v>
      </c>
    </row>
    <row r="408" customHeight="1" spans="1:6">
      <c r="A408" s="6">
        <v>407</v>
      </c>
      <c r="B408" s="8" t="s">
        <v>15224</v>
      </c>
      <c r="C408" s="8" t="s">
        <v>15225</v>
      </c>
      <c r="D408" s="8" t="s">
        <v>15226</v>
      </c>
      <c r="E408" s="8" t="s">
        <v>8825</v>
      </c>
      <c r="F408" s="8" t="s">
        <v>15227</v>
      </c>
    </row>
    <row r="409" customHeight="1" spans="1:6">
      <c r="A409" s="6">
        <v>408</v>
      </c>
      <c r="B409" s="8" t="s">
        <v>15224</v>
      </c>
      <c r="C409" s="8" t="s">
        <v>15225</v>
      </c>
      <c r="D409" s="8" t="s">
        <v>15226</v>
      </c>
      <c r="E409" s="8" t="s">
        <v>8825</v>
      </c>
      <c r="F409" s="8" t="s">
        <v>15227</v>
      </c>
    </row>
    <row r="410" customHeight="1" spans="1:6">
      <c r="A410" s="6">
        <v>409</v>
      </c>
      <c r="B410" s="8" t="s">
        <v>15228</v>
      </c>
      <c r="C410" s="8" t="s">
        <v>15229</v>
      </c>
      <c r="D410" s="8" t="s">
        <v>15230</v>
      </c>
      <c r="E410" s="8" t="s">
        <v>7884</v>
      </c>
      <c r="F410" s="8" t="s">
        <v>15231</v>
      </c>
    </row>
    <row r="411" customHeight="1" spans="1:6">
      <c r="A411" s="6">
        <v>410</v>
      </c>
      <c r="B411" s="8" t="s">
        <v>15228</v>
      </c>
      <c r="C411" s="8" t="s">
        <v>15229</v>
      </c>
      <c r="D411" s="8" t="s">
        <v>15230</v>
      </c>
      <c r="E411" s="8" t="s">
        <v>7884</v>
      </c>
      <c r="F411" s="8" t="s">
        <v>15231</v>
      </c>
    </row>
    <row r="412" customHeight="1" spans="1:6">
      <c r="A412" s="6">
        <v>411</v>
      </c>
      <c r="B412" s="8" t="s">
        <v>15232</v>
      </c>
      <c r="C412" s="8" t="s">
        <v>15233</v>
      </c>
      <c r="D412" s="8" t="s">
        <v>15234</v>
      </c>
      <c r="E412" s="8" t="s">
        <v>293</v>
      </c>
      <c r="F412" s="8" t="s">
        <v>15235</v>
      </c>
    </row>
    <row r="413" customHeight="1" spans="1:6">
      <c r="A413" s="6">
        <v>412</v>
      </c>
      <c r="B413" s="8" t="s">
        <v>15232</v>
      </c>
      <c r="C413" s="8" t="s">
        <v>15233</v>
      </c>
      <c r="D413" s="8" t="s">
        <v>15234</v>
      </c>
      <c r="E413" s="8" t="s">
        <v>293</v>
      </c>
      <c r="F413" s="8" t="s">
        <v>15235</v>
      </c>
    </row>
    <row r="414" customHeight="1" spans="1:6">
      <c r="A414" s="6">
        <v>413</v>
      </c>
      <c r="B414" s="8" t="s">
        <v>15236</v>
      </c>
      <c r="C414" s="8" t="s">
        <v>15237</v>
      </c>
      <c r="D414" s="8" t="s">
        <v>15238</v>
      </c>
      <c r="E414" s="8" t="s">
        <v>1534</v>
      </c>
      <c r="F414" s="8" t="s">
        <v>15239</v>
      </c>
    </row>
    <row r="415" customHeight="1" spans="1:6">
      <c r="A415" s="6">
        <v>414</v>
      </c>
      <c r="B415" s="8" t="s">
        <v>15236</v>
      </c>
      <c r="C415" s="8" t="s">
        <v>15237</v>
      </c>
      <c r="D415" s="8" t="s">
        <v>15238</v>
      </c>
      <c r="E415" s="8" t="s">
        <v>1534</v>
      </c>
      <c r="F415" s="8" t="s">
        <v>15239</v>
      </c>
    </row>
    <row r="416" customHeight="1" spans="1:6">
      <c r="A416" s="6">
        <v>415</v>
      </c>
      <c r="B416" s="8" t="s">
        <v>15240</v>
      </c>
      <c r="C416" s="8" t="s">
        <v>15241</v>
      </c>
      <c r="D416" s="8" t="s">
        <v>15242</v>
      </c>
      <c r="E416" s="8" t="s">
        <v>558</v>
      </c>
      <c r="F416" s="8" t="s">
        <v>15243</v>
      </c>
    </row>
    <row r="417" customHeight="1" spans="1:6">
      <c r="A417" s="6">
        <v>416</v>
      </c>
      <c r="B417" s="8" t="s">
        <v>15240</v>
      </c>
      <c r="C417" s="8" t="s">
        <v>15241</v>
      </c>
      <c r="D417" s="8" t="s">
        <v>15242</v>
      </c>
      <c r="E417" s="8" t="s">
        <v>558</v>
      </c>
      <c r="F417" s="8" t="s">
        <v>15243</v>
      </c>
    </row>
    <row r="418" customHeight="1" spans="1:6">
      <c r="A418" s="6">
        <v>417</v>
      </c>
      <c r="B418" s="8" t="s">
        <v>15244</v>
      </c>
      <c r="C418" s="8" t="s">
        <v>15245</v>
      </c>
      <c r="D418" s="8" t="s">
        <v>15246</v>
      </c>
      <c r="E418" s="8" t="s">
        <v>380</v>
      </c>
      <c r="F418" s="8" t="s">
        <v>15247</v>
      </c>
    </row>
    <row r="419" customHeight="1" spans="1:6">
      <c r="A419" s="6">
        <v>418</v>
      </c>
      <c r="B419" s="8" t="s">
        <v>15244</v>
      </c>
      <c r="C419" s="8" t="s">
        <v>15245</v>
      </c>
      <c r="D419" s="8" t="s">
        <v>15246</v>
      </c>
      <c r="E419" s="8" t="s">
        <v>380</v>
      </c>
      <c r="F419" s="8" t="s">
        <v>15247</v>
      </c>
    </row>
    <row r="420" customHeight="1" spans="1:6">
      <c r="A420" s="6">
        <v>419</v>
      </c>
      <c r="B420" s="8" t="s">
        <v>15248</v>
      </c>
      <c r="C420" s="8" t="s">
        <v>15249</v>
      </c>
      <c r="D420" s="8" t="s">
        <v>15250</v>
      </c>
      <c r="E420" s="8" t="s">
        <v>8879</v>
      </c>
      <c r="F420" s="8" t="s">
        <v>15251</v>
      </c>
    </row>
    <row r="421" customHeight="1" spans="1:6">
      <c r="A421" s="6">
        <v>420</v>
      </c>
      <c r="B421" s="8" t="s">
        <v>15248</v>
      </c>
      <c r="C421" s="8" t="s">
        <v>15249</v>
      </c>
      <c r="D421" s="8" t="s">
        <v>15250</v>
      </c>
      <c r="E421" s="8" t="s">
        <v>8879</v>
      </c>
      <c r="F421" s="8" t="s">
        <v>15251</v>
      </c>
    </row>
    <row r="422" customHeight="1" spans="1:6">
      <c r="A422" s="6">
        <v>421</v>
      </c>
      <c r="B422" s="8" t="s">
        <v>15252</v>
      </c>
      <c r="C422" s="8" t="s">
        <v>15253</v>
      </c>
      <c r="D422" s="8" t="s">
        <v>15254</v>
      </c>
      <c r="E422" s="8" t="s">
        <v>14951</v>
      </c>
      <c r="F422" s="8" t="s">
        <v>15255</v>
      </c>
    </row>
    <row r="423" customHeight="1" spans="1:6">
      <c r="A423" s="6">
        <v>422</v>
      </c>
      <c r="B423" s="8" t="s">
        <v>15252</v>
      </c>
      <c r="C423" s="8" t="s">
        <v>15253</v>
      </c>
      <c r="D423" s="8" t="s">
        <v>15254</v>
      </c>
      <c r="E423" s="8" t="s">
        <v>14951</v>
      </c>
      <c r="F423" s="8" t="s">
        <v>15255</v>
      </c>
    </row>
    <row r="424" customHeight="1" spans="1:6">
      <c r="A424" s="6">
        <v>423</v>
      </c>
      <c r="B424" s="7" t="str">
        <f>"978-7-122-39520-7"</f>
        <v>978-7-122-39520-7</v>
      </c>
      <c r="C424" s="7" t="str">
        <f>"神经外科专科护理"</f>
        <v>神经外科专科护理</v>
      </c>
      <c r="D424" s="7" t="str">
        <f>"陶子荣 ... [等] 主编"</f>
        <v>陶子荣 ... [等] 主编</v>
      </c>
      <c r="E424" s="7" t="str">
        <f>"化学工业出版社"</f>
        <v>化学工业出版社</v>
      </c>
      <c r="F424" s="7" t="str">
        <f>"R473.6/89"</f>
        <v>R473.6/89</v>
      </c>
    </row>
    <row r="425" customHeight="1" spans="1:6">
      <c r="A425" s="6">
        <v>424</v>
      </c>
      <c r="B425" s="7" t="str">
        <f>"978-7-122-39520-7"</f>
        <v>978-7-122-39520-7</v>
      </c>
      <c r="C425" s="7" t="str">
        <f>"神经外科专科护理"</f>
        <v>神经外科专科护理</v>
      </c>
      <c r="D425" s="7" t="str">
        <f>"陶子荣 ... [等] 主编"</f>
        <v>陶子荣 ... [等] 主编</v>
      </c>
      <c r="E425" s="7" t="str">
        <f>"化学工业出版社"</f>
        <v>化学工业出版社</v>
      </c>
      <c r="F425" s="7" t="str">
        <f>"R473.6/89"</f>
        <v>R473.6/89</v>
      </c>
    </row>
    <row r="426" customHeight="1" spans="1:6">
      <c r="A426" s="6">
        <v>425</v>
      </c>
      <c r="B426" s="8" t="s">
        <v>15256</v>
      </c>
      <c r="C426" s="8" t="s">
        <v>15257</v>
      </c>
      <c r="D426" s="8" t="s">
        <v>15258</v>
      </c>
      <c r="E426" s="8" t="s">
        <v>1534</v>
      </c>
      <c r="F426" s="8" t="s">
        <v>15259</v>
      </c>
    </row>
    <row r="427" customHeight="1" spans="1:6">
      <c r="A427" s="6">
        <v>426</v>
      </c>
      <c r="B427" s="8" t="s">
        <v>15256</v>
      </c>
      <c r="C427" s="8" t="s">
        <v>15257</v>
      </c>
      <c r="D427" s="8" t="s">
        <v>15258</v>
      </c>
      <c r="E427" s="8" t="s">
        <v>1534</v>
      </c>
      <c r="F427" s="8" t="s">
        <v>15259</v>
      </c>
    </row>
    <row r="428" customHeight="1" spans="1:6">
      <c r="A428" s="6">
        <v>427</v>
      </c>
      <c r="B428" s="8" t="s">
        <v>15260</v>
      </c>
      <c r="C428" s="8" t="s">
        <v>15261</v>
      </c>
      <c r="D428" s="8" t="s">
        <v>15262</v>
      </c>
      <c r="E428" s="8" t="s">
        <v>14726</v>
      </c>
      <c r="F428" s="8" t="s">
        <v>15263</v>
      </c>
    </row>
    <row r="429" customHeight="1" spans="1:6">
      <c r="A429" s="6">
        <v>428</v>
      </c>
      <c r="B429" s="8" t="s">
        <v>15260</v>
      </c>
      <c r="C429" s="8" t="s">
        <v>15261</v>
      </c>
      <c r="D429" s="8" t="s">
        <v>15262</v>
      </c>
      <c r="E429" s="8" t="s">
        <v>14726</v>
      </c>
      <c r="F429" s="8" t="s">
        <v>15263</v>
      </c>
    </row>
    <row r="430" customHeight="1" spans="1:6">
      <c r="A430" s="6">
        <v>429</v>
      </c>
      <c r="B430" s="8" t="s">
        <v>15264</v>
      </c>
      <c r="C430" s="8" t="s">
        <v>15265</v>
      </c>
      <c r="D430" s="8" t="s">
        <v>15266</v>
      </c>
      <c r="E430" s="8" t="s">
        <v>3996</v>
      </c>
      <c r="F430" s="8" t="s">
        <v>15267</v>
      </c>
    </row>
    <row r="431" customHeight="1" spans="1:6">
      <c r="A431" s="6">
        <v>430</v>
      </c>
      <c r="B431" s="8" t="s">
        <v>15264</v>
      </c>
      <c r="C431" s="8" t="s">
        <v>15265</v>
      </c>
      <c r="D431" s="8" t="s">
        <v>15266</v>
      </c>
      <c r="E431" s="8" t="s">
        <v>3996</v>
      </c>
      <c r="F431" s="8" t="s">
        <v>15267</v>
      </c>
    </row>
    <row r="432" customHeight="1" spans="1:6">
      <c r="A432" s="6">
        <v>431</v>
      </c>
      <c r="B432" s="8" t="s">
        <v>15268</v>
      </c>
      <c r="C432" s="8" t="s">
        <v>15269</v>
      </c>
      <c r="D432" s="8" t="s">
        <v>15270</v>
      </c>
      <c r="E432" s="8" t="s">
        <v>3996</v>
      </c>
      <c r="F432" s="8" t="s">
        <v>15271</v>
      </c>
    </row>
    <row r="433" customHeight="1" spans="1:6">
      <c r="A433" s="6">
        <v>432</v>
      </c>
      <c r="B433" s="8" t="s">
        <v>15268</v>
      </c>
      <c r="C433" s="8" t="s">
        <v>15269</v>
      </c>
      <c r="D433" s="8" t="s">
        <v>15270</v>
      </c>
      <c r="E433" s="8" t="s">
        <v>3996</v>
      </c>
      <c r="F433" s="8" t="s">
        <v>15271</v>
      </c>
    </row>
    <row r="434" customHeight="1" spans="1:6">
      <c r="A434" s="6">
        <v>433</v>
      </c>
      <c r="B434" s="8" t="s">
        <v>15272</v>
      </c>
      <c r="C434" s="8" t="s">
        <v>15273</v>
      </c>
      <c r="D434" s="8" t="s">
        <v>15274</v>
      </c>
      <c r="E434" s="8" t="s">
        <v>293</v>
      </c>
      <c r="F434" s="8" t="s">
        <v>15275</v>
      </c>
    </row>
    <row r="435" customHeight="1" spans="1:6">
      <c r="A435" s="6">
        <v>434</v>
      </c>
      <c r="B435" s="8" t="s">
        <v>15272</v>
      </c>
      <c r="C435" s="8" t="s">
        <v>15273</v>
      </c>
      <c r="D435" s="8" t="s">
        <v>15274</v>
      </c>
      <c r="E435" s="8" t="s">
        <v>293</v>
      </c>
      <c r="F435" s="8" t="s">
        <v>15275</v>
      </c>
    </row>
    <row r="436" customHeight="1" spans="1:6">
      <c r="A436" s="6">
        <v>435</v>
      </c>
      <c r="B436" s="8" t="s">
        <v>15276</v>
      </c>
      <c r="C436" s="8" t="s">
        <v>15277</v>
      </c>
      <c r="D436" s="8" t="s">
        <v>15278</v>
      </c>
      <c r="E436" s="8" t="s">
        <v>11482</v>
      </c>
      <c r="F436" s="8" t="s">
        <v>15279</v>
      </c>
    </row>
    <row r="437" customHeight="1" spans="1:6">
      <c r="A437" s="6">
        <v>436</v>
      </c>
      <c r="B437" s="8" t="s">
        <v>15276</v>
      </c>
      <c r="C437" s="8" t="s">
        <v>15277</v>
      </c>
      <c r="D437" s="8" t="s">
        <v>15278</v>
      </c>
      <c r="E437" s="8" t="s">
        <v>11482</v>
      </c>
      <c r="F437" s="8" t="s">
        <v>15279</v>
      </c>
    </row>
    <row r="438" customHeight="1" spans="1:6">
      <c r="A438" s="6">
        <v>437</v>
      </c>
      <c r="B438" s="8" t="s">
        <v>15280</v>
      </c>
      <c r="C438" s="8" t="s">
        <v>15281</v>
      </c>
      <c r="D438" s="8" t="s">
        <v>15282</v>
      </c>
      <c r="E438" s="8" t="s">
        <v>8879</v>
      </c>
      <c r="F438" s="8" t="s">
        <v>15283</v>
      </c>
    </row>
    <row r="439" customHeight="1" spans="1:6">
      <c r="A439" s="6">
        <v>438</v>
      </c>
      <c r="B439" s="8" t="s">
        <v>15280</v>
      </c>
      <c r="C439" s="8" t="s">
        <v>15281</v>
      </c>
      <c r="D439" s="8" t="s">
        <v>15282</v>
      </c>
      <c r="E439" s="8" t="s">
        <v>8879</v>
      </c>
      <c r="F439" s="8" t="s">
        <v>15283</v>
      </c>
    </row>
    <row r="440" customHeight="1" spans="1:6">
      <c r="A440" s="6">
        <v>439</v>
      </c>
      <c r="B440" s="8" t="s">
        <v>15284</v>
      </c>
      <c r="C440" s="8" t="s">
        <v>15285</v>
      </c>
      <c r="D440" s="8" t="s">
        <v>15286</v>
      </c>
      <c r="E440" s="8" t="s">
        <v>8879</v>
      </c>
      <c r="F440" s="8" t="s">
        <v>15287</v>
      </c>
    </row>
    <row r="441" customHeight="1" spans="1:6">
      <c r="A441" s="6">
        <v>440</v>
      </c>
      <c r="B441" s="8" t="s">
        <v>15284</v>
      </c>
      <c r="C441" s="8" t="s">
        <v>15285</v>
      </c>
      <c r="D441" s="8" t="s">
        <v>15286</v>
      </c>
      <c r="E441" s="8" t="s">
        <v>8879</v>
      </c>
      <c r="F441" s="8" t="s">
        <v>15287</v>
      </c>
    </row>
    <row r="442" customHeight="1" spans="1:6">
      <c r="A442" s="6">
        <v>441</v>
      </c>
      <c r="B442" s="7" t="str">
        <f>"978-7-5487-4085-8"</f>
        <v>978-7-5487-4085-8</v>
      </c>
      <c r="C442" s="7" t="str">
        <f>"妇幼护理与保健"</f>
        <v>妇幼护理与保健</v>
      </c>
      <c r="D442" s="7" t="str">
        <f>"主编罗太珍， 翟巾帼， 高玲玲"</f>
        <v>主编罗太珍， 翟巾帼， 高玲玲</v>
      </c>
      <c r="E442" s="7" t="str">
        <f>"中南大学出版社"</f>
        <v>中南大学出版社</v>
      </c>
      <c r="F442" s="7" t="str">
        <f>"R473.71/84"</f>
        <v>R473.71/84</v>
      </c>
    </row>
    <row r="443" customHeight="1" spans="1:6">
      <c r="A443" s="6">
        <v>442</v>
      </c>
      <c r="B443" s="7" t="str">
        <f>"978-7-5487-4085-8"</f>
        <v>978-7-5487-4085-8</v>
      </c>
      <c r="C443" s="7" t="str">
        <f>"妇幼护理与保健"</f>
        <v>妇幼护理与保健</v>
      </c>
      <c r="D443" s="7" t="str">
        <f>"主编罗太珍， 翟巾帼， 高玲玲"</f>
        <v>主编罗太珍， 翟巾帼， 高玲玲</v>
      </c>
      <c r="E443" s="7" t="str">
        <f>"中南大学出版社"</f>
        <v>中南大学出版社</v>
      </c>
      <c r="F443" s="7" t="str">
        <f>"R473.71/84"</f>
        <v>R473.71/84</v>
      </c>
    </row>
    <row r="444" customHeight="1" spans="1:6">
      <c r="A444" s="6">
        <v>443</v>
      </c>
      <c r="B444" s="7" t="str">
        <f>"978-7-5690-4876-6"</f>
        <v>978-7-5690-4876-6</v>
      </c>
      <c r="C444" s="7" t="str">
        <f>"妇产科护理案例汇编与循证"</f>
        <v>妇产科护理案例汇编与循证</v>
      </c>
      <c r="D444" s="7" t="str">
        <f>"主编任建华 ... [等]"</f>
        <v>主编任建华 ... [等]</v>
      </c>
      <c r="E444" s="7" t="str">
        <f>"四川大学出版社"</f>
        <v>四川大学出版社</v>
      </c>
      <c r="F444" s="7" t="str">
        <f>"R473.71/85"</f>
        <v>R473.71/85</v>
      </c>
    </row>
    <row r="445" customHeight="1" spans="1:6">
      <c r="A445" s="6">
        <v>444</v>
      </c>
      <c r="B445" s="7" t="str">
        <f>"978-7-5690-4876-6"</f>
        <v>978-7-5690-4876-6</v>
      </c>
      <c r="C445" s="7" t="str">
        <f>"妇产科护理案例汇编与循证"</f>
        <v>妇产科护理案例汇编与循证</v>
      </c>
      <c r="D445" s="7" t="str">
        <f>"主编任建华 ... [等]"</f>
        <v>主编任建华 ... [等]</v>
      </c>
      <c r="E445" s="7" t="str">
        <f>"四川大学出版社"</f>
        <v>四川大学出版社</v>
      </c>
      <c r="F445" s="7" t="str">
        <f>"R473.71/85"</f>
        <v>R473.71/85</v>
      </c>
    </row>
    <row r="446" customHeight="1" spans="1:6">
      <c r="A446" s="6">
        <v>445</v>
      </c>
      <c r="B446" s="8" t="s">
        <v>15288</v>
      </c>
      <c r="C446" s="8" t="s">
        <v>15289</v>
      </c>
      <c r="D446" s="8" t="s">
        <v>15246</v>
      </c>
      <c r="E446" s="8" t="s">
        <v>380</v>
      </c>
      <c r="F446" s="8" t="s">
        <v>15290</v>
      </c>
    </row>
    <row r="447" customHeight="1" spans="1:6">
      <c r="A447" s="6">
        <v>446</v>
      </c>
      <c r="B447" s="8" t="s">
        <v>15288</v>
      </c>
      <c r="C447" s="8" t="s">
        <v>15289</v>
      </c>
      <c r="D447" s="8" t="s">
        <v>15246</v>
      </c>
      <c r="E447" s="8" t="s">
        <v>380</v>
      </c>
      <c r="F447" s="8" t="s">
        <v>15290</v>
      </c>
    </row>
    <row r="448" customHeight="1" spans="1:6">
      <c r="A448" s="6">
        <v>447</v>
      </c>
      <c r="B448" s="8" t="s">
        <v>15291</v>
      </c>
      <c r="C448" s="8" t="s">
        <v>15292</v>
      </c>
      <c r="D448" s="8" t="s">
        <v>15293</v>
      </c>
      <c r="E448" s="8" t="s">
        <v>2566</v>
      </c>
      <c r="F448" s="8" t="s">
        <v>15294</v>
      </c>
    </row>
    <row r="449" customHeight="1" spans="1:6">
      <c r="A449" s="6">
        <v>448</v>
      </c>
      <c r="B449" s="8" t="s">
        <v>15291</v>
      </c>
      <c r="C449" s="8" t="s">
        <v>15292</v>
      </c>
      <c r="D449" s="8" t="s">
        <v>15293</v>
      </c>
      <c r="E449" s="8" t="s">
        <v>2566</v>
      </c>
      <c r="F449" s="8" t="s">
        <v>15294</v>
      </c>
    </row>
    <row r="450" customHeight="1" spans="1:6">
      <c r="A450" s="6">
        <v>449</v>
      </c>
      <c r="B450" s="8" t="s">
        <v>15291</v>
      </c>
      <c r="C450" s="8" t="s">
        <v>15292</v>
      </c>
      <c r="D450" s="8" t="s">
        <v>15293</v>
      </c>
      <c r="E450" s="8" t="s">
        <v>2566</v>
      </c>
      <c r="F450" s="8" t="s">
        <v>15294</v>
      </c>
    </row>
    <row r="451" customHeight="1" spans="1:6">
      <c r="A451" s="6">
        <v>450</v>
      </c>
      <c r="B451" s="8" t="s">
        <v>15295</v>
      </c>
      <c r="C451" s="8" t="s">
        <v>15296</v>
      </c>
      <c r="D451" s="8" t="s">
        <v>15297</v>
      </c>
      <c r="E451" s="8" t="s">
        <v>3996</v>
      </c>
      <c r="F451" s="8" t="s">
        <v>15298</v>
      </c>
    </row>
    <row r="452" customHeight="1" spans="1:6">
      <c r="A452" s="6">
        <v>451</v>
      </c>
      <c r="B452" s="8" t="s">
        <v>15295</v>
      </c>
      <c r="C452" s="8" t="s">
        <v>15296</v>
      </c>
      <c r="D452" s="8" t="s">
        <v>15297</v>
      </c>
      <c r="E452" s="8" t="s">
        <v>3996</v>
      </c>
      <c r="F452" s="8" t="s">
        <v>15298</v>
      </c>
    </row>
    <row r="453" customHeight="1" spans="1:6">
      <c r="A453" s="6">
        <v>452</v>
      </c>
      <c r="B453" s="7" t="str">
        <f>"978-7-122-39616-7"</f>
        <v>978-7-122-39616-7</v>
      </c>
      <c r="C453" s="7" t="str">
        <f>"神经内科专科护理"</f>
        <v>神经内科专科护理</v>
      </c>
      <c r="D453" s="7" t="str">
        <f>"岳丽青 ... [等] 主编"</f>
        <v>岳丽青 ... [等] 主编</v>
      </c>
      <c r="E453" s="7" t="str">
        <f>"化学工业出版社"</f>
        <v>化学工业出版社</v>
      </c>
      <c r="F453" s="7" t="str">
        <f>"R473.74/22"</f>
        <v>R473.74/22</v>
      </c>
    </row>
    <row r="454" customHeight="1" spans="1:6">
      <c r="A454" s="6">
        <v>453</v>
      </c>
      <c r="B454" s="7" t="str">
        <f>"978-7-122-39616-7"</f>
        <v>978-7-122-39616-7</v>
      </c>
      <c r="C454" s="7" t="str">
        <f>"神经内科专科护理"</f>
        <v>神经内科专科护理</v>
      </c>
      <c r="D454" s="7" t="str">
        <f>"岳丽青 ... [等] 主编"</f>
        <v>岳丽青 ... [等] 主编</v>
      </c>
      <c r="E454" s="7" t="str">
        <f>"化学工业出版社"</f>
        <v>化学工业出版社</v>
      </c>
      <c r="F454" s="7" t="str">
        <f>"R473.74/22"</f>
        <v>R473.74/22</v>
      </c>
    </row>
    <row r="455" customHeight="1" spans="1:6">
      <c r="A455" s="6">
        <v>454</v>
      </c>
      <c r="B455" s="8" t="s">
        <v>15299</v>
      </c>
      <c r="C455" s="8" t="s">
        <v>15300</v>
      </c>
      <c r="D455" s="8" t="s">
        <v>15301</v>
      </c>
      <c r="E455" s="8" t="s">
        <v>2566</v>
      </c>
      <c r="F455" s="8" t="s">
        <v>15302</v>
      </c>
    </row>
    <row r="456" customHeight="1" spans="1:6">
      <c r="A456" s="6">
        <v>455</v>
      </c>
      <c r="B456" s="8" t="s">
        <v>15299</v>
      </c>
      <c r="C456" s="8" t="s">
        <v>15300</v>
      </c>
      <c r="D456" s="8" t="s">
        <v>15301</v>
      </c>
      <c r="E456" s="8" t="s">
        <v>2566</v>
      </c>
      <c r="F456" s="8" t="s">
        <v>15302</v>
      </c>
    </row>
    <row r="457" customHeight="1" spans="1:6">
      <c r="A457" s="6">
        <v>456</v>
      </c>
      <c r="B457" s="8" t="s">
        <v>15303</v>
      </c>
      <c r="C457" s="8" t="s">
        <v>15304</v>
      </c>
      <c r="D457" s="8" t="s">
        <v>15305</v>
      </c>
      <c r="E457" s="8" t="s">
        <v>14726</v>
      </c>
      <c r="F457" s="8" t="s">
        <v>15306</v>
      </c>
    </row>
    <row r="458" customHeight="1" spans="1:6">
      <c r="A458" s="6">
        <v>457</v>
      </c>
      <c r="B458" s="8" t="s">
        <v>15303</v>
      </c>
      <c r="C458" s="8" t="s">
        <v>15304</v>
      </c>
      <c r="D458" s="8" t="s">
        <v>15305</v>
      </c>
      <c r="E458" s="8" t="s">
        <v>14726</v>
      </c>
      <c r="F458" s="8" t="s">
        <v>15306</v>
      </c>
    </row>
    <row r="459" customHeight="1" spans="1:6">
      <c r="A459" s="6">
        <v>458</v>
      </c>
      <c r="B459" s="8" t="s">
        <v>15307</v>
      </c>
      <c r="C459" s="8" t="s">
        <v>15308</v>
      </c>
      <c r="D459" s="8" t="s">
        <v>15309</v>
      </c>
      <c r="E459" s="8" t="s">
        <v>14850</v>
      </c>
      <c r="F459" s="8" t="s">
        <v>15310</v>
      </c>
    </row>
    <row r="460" customHeight="1" spans="1:6">
      <c r="A460" s="6">
        <v>459</v>
      </c>
      <c r="B460" s="8" t="s">
        <v>15307</v>
      </c>
      <c r="C460" s="8" t="s">
        <v>15308</v>
      </c>
      <c r="D460" s="8" t="s">
        <v>15309</v>
      </c>
      <c r="E460" s="8" t="s">
        <v>14850</v>
      </c>
      <c r="F460" s="8" t="s">
        <v>15310</v>
      </c>
    </row>
    <row r="461" customHeight="1" spans="1:6">
      <c r="A461" s="6">
        <v>460</v>
      </c>
      <c r="B461" s="8" t="s">
        <v>15311</v>
      </c>
      <c r="C461" s="8" t="s">
        <v>15312</v>
      </c>
      <c r="D461" s="8" t="s">
        <v>15313</v>
      </c>
      <c r="E461" s="8" t="s">
        <v>8153</v>
      </c>
      <c r="F461" s="8" t="s">
        <v>15314</v>
      </c>
    </row>
    <row r="462" customHeight="1" spans="1:6">
      <c r="A462" s="6">
        <v>461</v>
      </c>
      <c r="B462" s="8" t="s">
        <v>15311</v>
      </c>
      <c r="C462" s="8" t="s">
        <v>15312</v>
      </c>
      <c r="D462" s="8" t="s">
        <v>15313</v>
      </c>
      <c r="E462" s="8" t="s">
        <v>8153</v>
      </c>
      <c r="F462" s="8" t="s">
        <v>15314</v>
      </c>
    </row>
    <row r="463" customHeight="1" spans="1:6">
      <c r="A463" s="6">
        <v>462</v>
      </c>
      <c r="B463" s="8" t="s">
        <v>15315</v>
      </c>
      <c r="C463" s="8" t="s">
        <v>15316</v>
      </c>
      <c r="D463" s="8" t="s">
        <v>15246</v>
      </c>
      <c r="E463" s="8" t="s">
        <v>380</v>
      </c>
      <c r="F463" s="8" t="s">
        <v>15317</v>
      </c>
    </row>
    <row r="464" customHeight="1" spans="1:6">
      <c r="A464" s="6">
        <v>463</v>
      </c>
      <c r="B464" s="8" t="s">
        <v>15315</v>
      </c>
      <c r="C464" s="8" t="s">
        <v>15316</v>
      </c>
      <c r="D464" s="8" t="s">
        <v>15246</v>
      </c>
      <c r="E464" s="8" t="s">
        <v>380</v>
      </c>
      <c r="F464" s="8" t="s">
        <v>15317</v>
      </c>
    </row>
    <row r="465" customHeight="1" spans="1:6">
      <c r="A465" s="6">
        <v>464</v>
      </c>
      <c r="B465" s="8" t="s">
        <v>15318</v>
      </c>
      <c r="C465" s="8" t="s">
        <v>15319</v>
      </c>
      <c r="D465" s="8" t="s">
        <v>15320</v>
      </c>
      <c r="E465" s="8" t="s">
        <v>11482</v>
      </c>
      <c r="F465" s="8" t="s">
        <v>15321</v>
      </c>
    </row>
    <row r="466" customHeight="1" spans="1:6">
      <c r="A466" s="6">
        <v>465</v>
      </c>
      <c r="B466" s="8" t="s">
        <v>15318</v>
      </c>
      <c r="C466" s="8" t="s">
        <v>15319</v>
      </c>
      <c r="D466" s="8" t="s">
        <v>15320</v>
      </c>
      <c r="E466" s="8" t="s">
        <v>11482</v>
      </c>
      <c r="F466" s="8" t="s">
        <v>15321</v>
      </c>
    </row>
    <row r="467" customHeight="1" spans="1:6">
      <c r="A467" s="6">
        <v>466</v>
      </c>
      <c r="B467" s="8" t="s">
        <v>15322</v>
      </c>
      <c r="C467" s="8" t="s">
        <v>15323</v>
      </c>
      <c r="D467" s="8" t="s">
        <v>15324</v>
      </c>
      <c r="E467" s="8" t="s">
        <v>610</v>
      </c>
      <c r="F467" s="8" t="s">
        <v>15325</v>
      </c>
    </row>
    <row r="468" customHeight="1" spans="1:6">
      <c r="A468" s="6">
        <v>467</v>
      </c>
      <c r="B468" s="8" t="s">
        <v>15322</v>
      </c>
      <c r="C468" s="8" t="s">
        <v>15323</v>
      </c>
      <c r="D468" s="8" t="s">
        <v>15324</v>
      </c>
      <c r="E468" s="8" t="s">
        <v>610</v>
      </c>
      <c r="F468" s="8" t="s">
        <v>15325</v>
      </c>
    </row>
    <row r="469" customHeight="1" spans="1:6">
      <c r="A469" s="6">
        <v>468</v>
      </c>
      <c r="B469" s="7" t="str">
        <f t="shared" ref="B469:B471" si="70">"978-7-108-04999-5"</f>
        <v>978-7-108-04999-5</v>
      </c>
      <c r="C469" s="7" t="str">
        <f t="shared" ref="C469:C471" si="71">"死亡晚餐派对：真实医学探案故事集"</f>
        <v>死亡晚餐派对：真实医学探案故事集</v>
      </c>
      <c r="D469" s="7" t="str">
        <f t="shared" ref="D469:D471" si="72">"(美) 乔纳森·埃德罗著；江孟蓉译"</f>
        <v>(美) 乔纳森·埃德罗著；江孟蓉译</v>
      </c>
      <c r="E469" s="7" t="str">
        <f t="shared" ref="E469:E471" si="73">"三联书店"</f>
        <v>三联书店</v>
      </c>
      <c r="F469" s="7" t="str">
        <f t="shared" ref="F469:F471" si="74">"R-49/29"</f>
        <v>R-49/29</v>
      </c>
    </row>
    <row r="470" customHeight="1" spans="1:6">
      <c r="A470" s="6">
        <v>469</v>
      </c>
      <c r="B470" s="7" t="str">
        <f t="shared" si="70"/>
        <v>978-7-108-04999-5</v>
      </c>
      <c r="C470" s="7" t="str">
        <f t="shared" si="71"/>
        <v>死亡晚餐派对：真实医学探案故事集</v>
      </c>
      <c r="D470" s="7" t="str">
        <f t="shared" si="72"/>
        <v>(美) 乔纳森·埃德罗著；江孟蓉译</v>
      </c>
      <c r="E470" s="7" t="str">
        <f t="shared" si="73"/>
        <v>三联书店</v>
      </c>
      <c r="F470" s="7" t="str">
        <f t="shared" si="74"/>
        <v>R-49/29</v>
      </c>
    </row>
    <row r="471" customHeight="1" spans="1:6">
      <c r="A471" s="6">
        <v>470</v>
      </c>
      <c r="B471" s="7" t="str">
        <f t="shared" si="70"/>
        <v>978-7-108-04999-5</v>
      </c>
      <c r="C471" s="7" t="str">
        <f t="shared" si="71"/>
        <v>死亡晚餐派对：真实医学探案故事集</v>
      </c>
      <c r="D471" s="7" t="str">
        <f t="shared" si="72"/>
        <v>(美) 乔纳森·埃德罗著；江孟蓉译</v>
      </c>
      <c r="E471" s="7" t="str">
        <f t="shared" si="73"/>
        <v>三联书店</v>
      </c>
      <c r="F471" s="7" t="str">
        <f t="shared" si="74"/>
        <v>R-49/29</v>
      </c>
    </row>
    <row r="472" customHeight="1" spans="1:6">
      <c r="A472" s="6">
        <v>471</v>
      </c>
      <c r="B472" s="7" t="str">
        <f>"978-7-5060-8843-5"</f>
        <v>978-7-5060-8843-5</v>
      </c>
      <c r="C472" s="7" t="str">
        <f>"治疗的真相：如何用“循证思维”改善医学治疗?"</f>
        <v>治疗的真相：如何用“循证思维”改善医学治疗?</v>
      </c>
      <c r="D472" s="7" t="str">
        <f>"(英) 伊莫金·埃文斯 (Imogen Evans) ... [等] 著；杨克虎， 陈耀龙译"</f>
        <v>(英) 伊莫金·埃文斯 (Imogen Evans) ... [等] 著；杨克虎， 陈耀龙译</v>
      </c>
      <c r="E472" s="7" t="str">
        <f>"东方出版社"</f>
        <v>东方出版社</v>
      </c>
      <c r="F472" s="7" t="str">
        <f>"R-49/30"</f>
        <v>R-49/30</v>
      </c>
    </row>
    <row r="473" customHeight="1" spans="1:6">
      <c r="A473" s="6">
        <v>472</v>
      </c>
      <c r="B473" s="7" t="str">
        <f>"978-7-5060-8843-5"</f>
        <v>978-7-5060-8843-5</v>
      </c>
      <c r="C473" s="7" t="str">
        <f>"治疗的真相：如何用“循证思维”改善医学治疗?"</f>
        <v>治疗的真相：如何用“循证思维”改善医学治疗?</v>
      </c>
      <c r="D473" s="7" t="str">
        <f>"(英) 伊莫金·埃文斯 (Imogen Evans) ... [等] 著；杨克虎， 陈耀龙译"</f>
        <v>(英) 伊莫金·埃文斯 (Imogen Evans) ... [等] 著；杨克虎， 陈耀龙译</v>
      </c>
      <c r="E473" s="7" t="str">
        <f>"东方出版社"</f>
        <v>东方出版社</v>
      </c>
      <c r="F473" s="7" t="str">
        <f>"R-49/30"</f>
        <v>R-49/30</v>
      </c>
    </row>
    <row r="474" customHeight="1" spans="1:6">
      <c r="A474" s="6">
        <v>473</v>
      </c>
      <c r="B474" s="8" t="s">
        <v>15326</v>
      </c>
      <c r="C474" s="8" t="s">
        <v>15327</v>
      </c>
      <c r="D474" s="8" t="s">
        <v>15328</v>
      </c>
      <c r="E474" s="8" t="s">
        <v>360</v>
      </c>
      <c r="F474" s="8" t="s">
        <v>15329</v>
      </c>
    </row>
    <row r="475" customHeight="1" spans="1:6">
      <c r="A475" s="6">
        <v>474</v>
      </c>
      <c r="B475" s="8" t="s">
        <v>15326</v>
      </c>
      <c r="C475" s="8" t="s">
        <v>15327</v>
      </c>
      <c r="D475" s="8" t="s">
        <v>15328</v>
      </c>
      <c r="E475" s="8" t="s">
        <v>360</v>
      </c>
      <c r="F475" s="8" t="s">
        <v>15329</v>
      </c>
    </row>
    <row r="476" customHeight="1" spans="1:6">
      <c r="A476" s="6">
        <v>475</v>
      </c>
      <c r="B476" s="8" t="s">
        <v>15330</v>
      </c>
      <c r="C476" s="8" t="s">
        <v>15331</v>
      </c>
      <c r="D476" s="8" t="s">
        <v>10187</v>
      </c>
      <c r="E476" s="8" t="s">
        <v>28</v>
      </c>
      <c r="F476" s="8" t="s">
        <v>15332</v>
      </c>
    </row>
    <row r="477" customHeight="1" spans="1:6">
      <c r="A477" s="6">
        <v>476</v>
      </c>
      <c r="B477" s="8" t="s">
        <v>15330</v>
      </c>
      <c r="C477" s="8" t="s">
        <v>15331</v>
      </c>
      <c r="D477" s="8" t="s">
        <v>10187</v>
      </c>
      <c r="E477" s="8" t="s">
        <v>28</v>
      </c>
      <c r="F477" s="8" t="s">
        <v>15332</v>
      </c>
    </row>
    <row r="478" customHeight="1" spans="1:6">
      <c r="A478" s="6">
        <v>477</v>
      </c>
      <c r="B478" s="8" t="s">
        <v>15333</v>
      </c>
      <c r="C478" s="8" t="s">
        <v>15334</v>
      </c>
      <c r="D478" s="8" t="s">
        <v>15335</v>
      </c>
      <c r="E478" s="8" t="s">
        <v>3180</v>
      </c>
      <c r="F478" s="8" t="s">
        <v>15336</v>
      </c>
    </row>
    <row r="479" customHeight="1" spans="1:6">
      <c r="A479" s="6">
        <v>478</v>
      </c>
      <c r="B479" s="8" t="s">
        <v>15333</v>
      </c>
      <c r="C479" s="8" t="s">
        <v>15334</v>
      </c>
      <c r="D479" s="8" t="s">
        <v>15335</v>
      </c>
      <c r="E479" s="8" t="s">
        <v>3180</v>
      </c>
      <c r="F479" s="8" t="s">
        <v>15336</v>
      </c>
    </row>
    <row r="480" customHeight="1" spans="1:6">
      <c r="A480" s="6">
        <v>479</v>
      </c>
      <c r="B480" s="8" t="s">
        <v>15337</v>
      </c>
      <c r="C480" s="8" t="s">
        <v>15338</v>
      </c>
      <c r="D480" s="8" t="s">
        <v>15339</v>
      </c>
      <c r="E480" s="8" t="s">
        <v>288</v>
      </c>
      <c r="F480" s="8" t="s">
        <v>15340</v>
      </c>
    </row>
    <row r="481" customHeight="1" spans="1:6">
      <c r="A481" s="6">
        <v>480</v>
      </c>
      <c r="B481" s="8" t="s">
        <v>15337</v>
      </c>
      <c r="C481" s="8" t="s">
        <v>15338</v>
      </c>
      <c r="D481" s="8" t="s">
        <v>15339</v>
      </c>
      <c r="E481" s="8" t="s">
        <v>288</v>
      </c>
      <c r="F481" s="8" t="s">
        <v>15340</v>
      </c>
    </row>
    <row r="482" customHeight="1" spans="1:6">
      <c r="A482" s="6">
        <v>481</v>
      </c>
      <c r="B482" s="8" t="s">
        <v>15341</v>
      </c>
      <c r="C482" s="8" t="s">
        <v>15342</v>
      </c>
      <c r="D482" s="8" t="s">
        <v>15343</v>
      </c>
      <c r="E482" s="8" t="s">
        <v>375</v>
      </c>
      <c r="F482" s="8" t="s">
        <v>15344</v>
      </c>
    </row>
    <row r="483" customHeight="1" spans="1:6">
      <c r="A483" s="6">
        <v>482</v>
      </c>
      <c r="B483" s="8" t="s">
        <v>15341</v>
      </c>
      <c r="C483" s="8" t="s">
        <v>15342</v>
      </c>
      <c r="D483" s="8" t="s">
        <v>15343</v>
      </c>
      <c r="E483" s="8" t="s">
        <v>375</v>
      </c>
      <c r="F483" s="8" t="s">
        <v>15344</v>
      </c>
    </row>
    <row r="484" customHeight="1" spans="1:6">
      <c r="A484" s="6">
        <v>483</v>
      </c>
      <c r="B484" s="8" t="s">
        <v>15345</v>
      </c>
      <c r="C484" s="8" t="s">
        <v>15346</v>
      </c>
      <c r="D484" s="8" t="s">
        <v>15347</v>
      </c>
      <c r="E484" s="8" t="s">
        <v>2566</v>
      </c>
      <c r="F484" s="8" t="s">
        <v>15348</v>
      </c>
    </row>
    <row r="485" customHeight="1" spans="1:6">
      <c r="A485" s="6">
        <v>484</v>
      </c>
      <c r="B485" s="8" t="s">
        <v>15345</v>
      </c>
      <c r="C485" s="8" t="s">
        <v>15346</v>
      </c>
      <c r="D485" s="8" t="s">
        <v>15347</v>
      </c>
      <c r="E485" s="8" t="s">
        <v>2566</v>
      </c>
      <c r="F485" s="8" t="s">
        <v>15348</v>
      </c>
    </row>
    <row r="486" customHeight="1" spans="1:6">
      <c r="A486" s="6">
        <v>485</v>
      </c>
      <c r="B486" s="8" t="s">
        <v>15349</v>
      </c>
      <c r="C486" s="8" t="s">
        <v>15350</v>
      </c>
      <c r="D486" s="8" t="s">
        <v>15351</v>
      </c>
      <c r="E486" s="8" t="s">
        <v>2566</v>
      </c>
      <c r="F486" s="8" t="s">
        <v>15352</v>
      </c>
    </row>
    <row r="487" customHeight="1" spans="1:6">
      <c r="A487" s="6">
        <v>486</v>
      </c>
      <c r="B487" s="8" t="s">
        <v>15349</v>
      </c>
      <c r="C487" s="8" t="s">
        <v>15350</v>
      </c>
      <c r="D487" s="8" t="s">
        <v>15351</v>
      </c>
      <c r="E487" s="8" t="s">
        <v>2566</v>
      </c>
      <c r="F487" s="8" t="s">
        <v>15352</v>
      </c>
    </row>
    <row r="488" customHeight="1" spans="1:6">
      <c r="A488" s="6">
        <v>487</v>
      </c>
      <c r="B488" s="8" t="s">
        <v>15353</v>
      </c>
      <c r="C488" s="8" t="s">
        <v>15354</v>
      </c>
      <c r="D488" s="8" t="s">
        <v>15355</v>
      </c>
      <c r="E488" s="8" t="s">
        <v>2566</v>
      </c>
      <c r="F488" s="8" t="s">
        <v>15356</v>
      </c>
    </row>
    <row r="489" customHeight="1" spans="1:6">
      <c r="A489" s="6">
        <v>488</v>
      </c>
      <c r="B489" s="8" t="s">
        <v>15353</v>
      </c>
      <c r="C489" s="8" t="s">
        <v>15354</v>
      </c>
      <c r="D489" s="8" t="s">
        <v>15355</v>
      </c>
      <c r="E489" s="8" t="s">
        <v>2566</v>
      </c>
      <c r="F489" s="8" t="s">
        <v>15356</v>
      </c>
    </row>
    <row r="490" customHeight="1" spans="1:6">
      <c r="A490" s="6">
        <v>489</v>
      </c>
      <c r="B490" s="8" t="s">
        <v>15357</v>
      </c>
      <c r="C490" s="8" t="s">
        <v>15358</v>
      </c>
      <c r="D490" s="8" t="s">
        <v>15359</v>
      </c>
      <c r="E490" s="8" t="s">
        <v>2566</v>
      </c>
      <c r="F490" s="8" t="s">
        <v>15360</v>
      </c>
    </row>
    <row r="491" customHeight="1" spans="1:6">
      <c r="A491" s="6">
        <v>490</v>
      </c>
      <c r="B491" s="8" t="s">
        <v>15357</v>
      </c>
      <c r="C491" s="8" t="s">
        <v>15358</v>
      </c>
      <c r="D491" s="8" t="s">
        <v>15359</v>
      </c>
      <c r="E491" s="8" t="s">
        <v>2566</v>
      </c>
      <c r="F491" s="8" t="s">
        <v>15360</v>
      </c>
    </row>
    <row r="492" customHeight="1" spans="1:6">
      <c r="A492" s="6">
        <v>491</v>
      </c>
      <c r="B492" s="7" t="str">
        <f t="shared" ref="B492:B494" si="75">"978-7-5217-3095-1"</f>
        <v>978-7-5217-3095-1</v>
      </c>
      <c r="C492" s="7" t="str">
        <f t="shared" ref="C492:C494" si="76">"瘟疫周期：人口、经济与传染病的博弈循环"</f>
        <v>瘟疫周期：人口、经济与传染病的博弈循环</v>
      </c>
      <c r="D492" s="7" t="str">
        <f t="shared" ref="D492:D494" si="77">"(美) 查尔斯·肯尼著Charles Kenny；舍其译"</f>
        <v>(美) 查尔斯·肯尼著Charles Kenny；舍其译</v>
      </c>
      <c r="E492" s="7" t="str">
        <f t="shared" ref="E492:E494" si="78">"中信出版集团股份有限公司"</f>
        <v>中信出版集团股份有限公司</v>
      </c>
      <c r="F492" s="7" t="str">
        <f t="shared" ref="F492:F494" si="79">"R51/49"</f>
        <v>R51/49</v>
      </c>
    </row>
    <row r="493" customHeight="1" spans="1:6">
      <c r="A493" s="6">
        <v>492</v>
      </c>
      <c r="B493" s="7" t="str">
        <f t="shared" si="75"/>
        <v>978-7-5217-3095-1</v>
      </c>
      <c r="C493" s="7" t="str">
        <f t="shared" si="76"/>
        <v>瘟疫周期：人口、经济与传染病的博弈循环</v>
      </c>
      <c r="D493" s="7" t="str">
        <f t="shared" si="77"/>
        <v>(美) 查尔斯·肯尼著Charles Kenny；舍其译</v>
      </c>
      <c r="E493" s="7" t="str">
        <f t="shared" si="78"/>
        <v>中信出版集团股份有限公司</v>
      </c>
      <c r="F493" s="7" t="str">
        <f t="shared" si="79"/>
        <v>R51/49</v>
      </c>
    </row>
    <row r="494" customHeight="1" spans="1:6">
      <c r="A494" s="6">
        <v>493</v>
      </c>
      <c r="B494" s="7" t="str">
        <f t="shared" si="75"/>
        <v>978-7-5217-3095-1</v>
      </c>
      <c r="C494" s="7" t="str">
        <f t="shared" si="76"/>
        <v>瘟疫周期：人口、经济与传染病的博弈循环</v>
      </c>
      <c r="D494" s="7" t="str">
        <f t="shared" si="77"/>
        <v>(美) 查尔斯·肯尼著Charles Kenny；舍其译</v>
      </c>
      <c r="E494" s="7" t="str">
        <f t="shared" si="78"/>
        <v>中信出版集团股份有限公司</v>
      </c>
      <c r="F494" s="7" t="str">
        <f t="shared" si="79"/>
        <v>R51/49</v>
      </c>
    </row>
    <row r="495" customHeight="1" spans="1:6">
      <c r="A495" s="6">
        <v>494</v>
      </c>
      <c r="B495" s="8" t="s">
        <v>15361</v>
      </c>
      <c r="C495" s="8" t="s">
        <v>15362</v>
      </c>
      <c r="D495" s="8" t="s">
        <v>15363</v>
      </c>
      <c r="E495" s="8" t="s">
        <v>2566</v>
      </c>
      <c r="F495" s="8" t="s">
        <v>15364</v>
      </c>
    </row>
    <row r="496" customHeight="1" spans="1:6">
      <c r="A496" s="6">
        <v>495</v>
      </c>
      <c r="B496" s="8" t="s">
        <v>15361</v>
      </c>
      <c r="C496" s="8" t="s">
        <v>15362</v>
      </c>
      <c r="D496" s="8" t="s">
        <v>15363</v>
      </c>
      <c r="E496" s="8" t="s">
        <v>2566</v>
      </c>
      <c r="F496" s="8" t="s">
        <v>15364</v>
      </c>
    </row>
    <row r="497" customHeight="1" spans="1:6">
      <c r="A497" s="6">
        <v>496</v>
      </c>
      <c r="B497" s="8" t="s">
        <v>15365</v>
      </c>
      <c r="C497" s="8" t="s">
        <v>15366</v>
      </c>
      <c r="D497" s="8" t="s">
        <v>15367</v>
      </c>
      <c r="E497" s="8" t="s">
        <v>2566</v>
      </c>
      <c r="F497" s="8" t="s">
        <v>15368</v>
      </c>
    </row>
    <row r="498" customHeight="1" spans="1:6">
      <c r="A498" s="6">
        <v>497</v>
      </c>
      <c r="B498" s="8" t="s">
        <v>15365</v>
      </c>
      <c r="C498" s="8" t="s">
        <v>15366</v>
      </c>
      <c r="D498" s="8" t="s">
        <v>15367</v>
      </c>
      <c r="E498" s="8" t="s">
        <v>2566</v>
      </c>
      <c r="F498" s="8" t="s">
        <v>15368</v>
      </c>
    </row>
    <row r="499" customHeight="1" spans="1:6">
      <c r="A499" s="6">
        <v>498</v>
      </c>
      <c r="B499" s="8" t="s">
        <v>15369</v>
      </c>
      <c r="C499" s="8" t="s">
        <v>15370</v>
      </c>
      <c r="D499" s="8" t="s">
        <v>15371</v>
      </c>
      <c r="E499" s="8" t="s">
        <v>14519</v>
      </c>
      <c r="F499" s="8" t="s">
        <v>15372</v>
      </c>
    </row>
    <row r="500" customHeight="1" spans="1:6">
      <c r="A500" s="6">
        <v>499</v>
      </c>
      <c r="B500" s="8" t="s">
        <v>15373</v>
      </c>
      <c r="C500" s="8" t="s">
        <v>15374</v>
      </c>
      <c r="D500" s="8" t="s">
        <v>15375</v>
      </c>
      <c r="E500" s="8" t="s">
        <v>2566</v>
      </c>
      <c r="F500" s="8" t="s">
        <v>15376</v>
      </c>
    </row>
    <row r="501" customHeight="1" spans="1:6">
      <c r="A501" s="6">
        <v>500</v>
      </c>
      <c r="B501" s="8" t="s">
        <v>15373</v>
      </c>
      <c r="C501" s="8" t="s">
        <v>15374</v>
      </c>
      <c r="D501" s="8" t="s">
        <v>15375</v>
      </c>
      <c r="E501" s="8" t="s">
        <v>2566</v>
      </c>
      <c r="F501" s="8" t="s">
        <v>15376</v>
      </c>
    </row>
    <row r="502" customHeight="1" spans="1:6">
      <c r="A502" s="6">
        <v>501</v>
      </c>
      <c r="B502" s="8" t="s">
        <v>15377</v>
      </c>
      <c r="C502" s="8" t="s">
        <v>15378</v>
      </c>
      <c r="D502" s="8" t="s">
        <v>15379</v>
      </c>
      <c r="E502" s="8" t="s">
        <v>665</v>
      </c>
      <c r="F502" s="8" t="s">
        <v>15380</v>
      </c>
    </row>
    <row r="503" customHeight="1" spans="1:6">
      <c r="A503" s="6">
        <v>502</v>
      </c>
      <c r="B503" s="8" t="s">
        <v>15381</v>
      </c>
      <c r="C503" s="8" t="s">
        <v>15382</v>
      </c>
      <c r="D503" s="8" t="s">
        <v>15383</v>
      </c>
      <c r="E503" s="8" t="s">
        <v>14519</v>
      </c>
      <c r="F503" s="8" t="s">
        <v>15384</v>
      </c>
    </row>
    <row r="504" customHeight="1" spans="1:6">
      <c r="A504" s="6">
        <v>503</v>
      </c>
      <c r="B504" s="8" t="s">
        <v>15381</v>
      </c>
      <c r="C504" s="8" t="s">
        <v>15382</v>
      </c>
      <c r="D504" s="8" t="s">
        <v>15383</v>
      </c>
      <c r="E504" s="8" t="s">
        <v>14519</v>
      </c>
      <c r="F504" s="8" t="s">
        <v>15384</v>
      </c>
    </row>
    <row r="505" customHeight="1" spans="1:6">
      <c r="A505" s="6">
        <v>504</v>
      </c>
      <c r="B505" s="8" t="s">
        <v>15385</v>
      </c>
      <c r="C505" s="8" t="s">
        <v>15386</v>
      </c>
      <c r="D505" s="8" t="s">
        <v>15387</v>
      </c>
      <c r="E505" s="8" t="s">
        <v>2566</v>
      </c>
      <c r="F505" s="8" t="s">
        <v>15388</v>
      </c>
    </row>
    <row r="506" customHeight="1" spans="1:6">
      <c r="A506" s="6">
        <v>505</v>
      </c>
      <c r="B506" s="8" t="s">
        <v>15385</v>
      </c>
      <c r="C506" s="8" t="s">
        <v>15386</v>
      </c>
      <c r="D506" s="8" t="s">
        <v>15387</v>
      </c>
      <c r="E506" s="8" t="s">
        <v>2566</v>
      </c>
      <c r="F506" s="8" t="s">
        <v>15388</v>
      </c>
    </row>
    <row r="507" customHeight="1" spans="1:6">
      <c r="A507" s="6">
        <v>506</v>
      </c>
      <c r="B507" s="8" t="s">
        <v>15389</v>
      </c>
      <c r="C507" s="8" t="s">
        <v>15390</v>
      </c>
      <c r="D507" s="8" t="s">
        <v>15391</v>
      </c>
      <c r="E507" s="8" t="s">
        <v>293</v>
      </c>
      <c r="F507" s="8" t="s">
        <v>15392</v>
      </c>
    </row>
    <row r="508" customHeight="1" spans="1:6">
      <c r="A508" s="6">
        <v>507</v>
      </c>
      <c r="B508" s="8" t="s">
        <v>15389</v>
      </c>
      <c r="C508" s="8" t="s">
        <v>15390</v>
      </c>
      <c r="D508" s="8" t="s">
        <v>15391</v>
      </c>
      <c r="E508" s="8" t="s">
        <v>293</v>
      </c>
      <c r="F508" s="8" t="s">
        <v>15392</v>
      </c>
    </row>
    <row r="509" customHeight="1" spans="1:6">
      <c r="A509" s="6">
        <v>508</v>
      </c>
      <c r="B509" s="8" t="s">
        <v>15393</v>
      </c>
      <c r="C509" s="8" t="s">
        <v>15394</v>
      </c>
      <c r="D509" s="8" t="s">
        <v>15395</v>
      </c>
      <c r="E509" s="8" t="s">
        <v>2566</v>
      </c>
      <c r="F509" s="8" t="s">
        <v>15396</v>
      </c>
    </row>
    <row r="510" customHeight="1" spans="1:6">
      <c r="A510" s="6">
        <v>509</v>
      </c>
      <c r="B510" s="8" t="s">
        <v>15393</v>
      </c>
      <c r="C510" s="8" t="s">
        <v>15394</v>
      </c>
      <c r="D510" s="8" t="s">
        <v>15395</v>
      </c>
      <c r="E510" s="8" t="s">
        <v>2566</v>
      </c>
      <c r="F510" s="8" t="s">
        <v>15396</v>
      </c>
    </row>
    <row r="511" customHeight="1" spans="1:6">
      <c r="A511" s="6">
        <v>510</v>
      </c>
      <c r="B511" s="8" t="s">
        <v>15397</v>
      </c>
      <c r="C511" s="8" t="s">
        <v>15398</v>
      </c>
      <c r="D511" s="8" t="s">
        <v>15399</v>
      </c>
      <c r="E511" s="8" t="s">
        <v>14519</v>
      </c>
      <c r="F511" s="8" t="s">
        <v>15400</v>
      </c>
    </row>
    <row r="512" customHeight="1" spans="1:6">
      <c r="A512" s="6">
        <v>511</v>
      </c>
      <c r="B512" s="8" t="s">
        <v>15397</v>
      </c>
      <c r="C512" s="8" t="s">
        <v>15398</v>
      </c>
      <c r="D512" s="8" t="s">
        <v>15399</v>
      </c>
      <c r="E512" s="8" t="s">
        <v>14519</v>
      </c>
      <c r="F512" s="8" t="s">
        <v>15400</v>
      </c>
    </row>
    <row r="513" customHeight="1" spans="1:6">
      <c r="A513" s="6">
        <v>512</v>
      </c>
      <c r="B513" s="8" t="s">
        <v>15401</v>
      </c>
      <c r="C513" s="8" t="s">
        <v>15402</v>
      </c>
      <c r="D513" s="8" t="s">
        <v>15399</v>
      </c>
      <c r="E513" s="8" t="s">
        <v>14519</v>
      </c>
      <c r="F513" s="8" t="s">
        <v>15403</v>
      </c>
    </row>
    <row r="514" customHeight="1" spans="1:6">
      <c r="A514" s="6">
        <v>513</v>
      </c>
      <c r="B514" s="8" t="s">
        <v>15401</v>
      </c>
      <c r="C514" s="8" t="s">
        <v>15402</v>
      </c>
      <c r="D514" s="8" t="s">
        <v>15399</v>
      </c>
      <c r="E514" s="8" t="s">
        <v>14519</v>
      </c>
      <c r="F514" s="8" t="s">
        <v>15403</v>
      </c>
    </row>
    <row r="515" customHeight="1" spans="1:6">
      <c r="A515" s="6">
        <v>514</v>
      </c>
      <c r="B515" s="7" t="str">
        <f>"978-7-5478-5390-0"</f>
        <v>978-7-5478-5390-0</v>
      </c>
      <c r="C515" s="7" t="str">
        <f>"老年康复"</f>
        <v>老年康复</v>
      </c>
      <c r="D515" s="7" t="str">
        <f>"主编David X. Cifu， Henry L. Lew， Mooyeon Oh-Park；主译郑洁皎， 高文"</f>
        <v>主编David X. Cifu， Henry L. Lew， Mooyeon Oh-Park；主译郑洁皎， 高文</v>
      </c>
      <c r="E515" s="7" t="str">
        <f>"上海科学技术出版社"</f>
        <v>上海科学技术出版社</v>
      </c>
      <c r="F515" s="7" t="str">
        <f>"R592.09/4"</f>
        <v>R592.09/4</v>
      </c>
    </row>
    <row r="516" customHeight="1" spans="1:6">
      <c r="A516" s="6">
        <v>515</v>
      </c>
      <c r="B516" s="7" t="str">
        <f>"978-7-5478-5390-0"</f>
        <v>978-7-5478-5390-0</v>
      </c>
      <c r="C516" s="7" t="str">
        <f>"老年康复"</f>
        <v>老年康复</v>
      </c>
      <c r="D516" s="7" t="str">
        <f>"主编David X. Cifu， Henry L. Lew， Mooyeon Oh-Park；主译郑洁皎， 高文"</f>
        <v>主编David X. Cifu， Henry L. Lew， Mooyeon Oh-Park；主译郑洁皎， 高文</v>
      </c>
      <c r="E516" s="7" t="str">
        <f>"上海科学技术出版社"</f>
        <v>上海科学技术出版社</v>
      </c>
      <c r="F516" s="7" t="str">
        <f>"R592.09/4"</f>
        <v>R592.09/4</v>
      </c>
    </row>
    <row r="517" customHeight="1" spans="1:6">
      <c r="A517" s="6">
        <v>516</v>
      </c>
      <c r="B517" s="7" t="str">
        <f>"978-7-5192-8602-6"</f>
        <v>978-7-5192-8602-6</v>
      </c>
      <c r="C517" s="7" t="str">
        <f>"老年常见慢性疾病家庭康复照护"</f>
        <v>老年常见慢性疾病家庭康复照护</v>
      </c>
      <c r="D517" s="7" t="str">
        <f>"吴军， 朱蟾玉编著"</f>
        <v>吴军， 朱蟾玉编著</v>
      </c>
      <c r="E517" s="7" t="str">
        <f>"上海世界图书出版公司"</f>
        <v>上海世界图书出版公司</v>
      </c>
      <c r="F517" s="7" t="str">
        <f>"R592/26"</f>
        <v>R592/26</v>
      </c>
    </row>
    <row r="518" customHeight="1" spans="1:6">
      <c r="A518" s="6">
        <v>517</v>
      </c>
      <c r="B518" s="7" t="str">
        <f>"978-7-5192-8602-6"</f>
        <v>978-7-5192-8602-6</v>
      </c>
      <c r="C518" s="7" t="str">
        <f>"老年常见慢性疾病家庭康复照护"</f>
        <v>老年常见慢性疾病家庭康复照护</v>
      </c>
      <c r="D518" s="7" t="str">
        <f>"吴军， 朱蟾玉编著"</f>
        <v>吴军， 朱蟾玉编著</v>
      </c>
      <c r="E518" s="7" t="str">
        <f>"上海世界图书出版公司"</f>
        <v>上海世界图书出版公司</v>
      </c>
      <c r="F518" s="7" t="str">
        <f>"R592/26"</f>
        <v>R592/26</v>
      </c>
    </row>
    <row r="519" customHeight="1" spans="1:6">
      <c r="A519" s="6">
        <v>518</v>
      </c>
      <c r="B519" s="8" t="s">
        <v>15404</v>
      </c>
      <c r="C519" s="8" t="s">
        <v>15405</v>
      </c>
      <c r="D519" s="8" t="s">
        <v>15406</v>
      </c>
      <c r="E519" s="8" t="s">
        <v>8153</v>
      </c>
      <c r="F519" s="8" t="s">
        <v>15407</v>
      </c>
    </row>
    <row r="520" customHeight="1" spans="1:6">
      <c r="A520" s="6">
        <v>519</v>
      </c>
      <c r="B520" s="8" t="s">
        <v>15404</v>
      </c>
      <c r="C520" s="8" t="s">
        <v>15405</v>
      </c>
      <c r="D520" s="8" t="s">
        <v>15406</v>
      </c>
      <c r="E520" s="8" t="s">
        <v>8153</v>
      </c>
      <c r="F520" s="8" t="s">
        <v>15407</v>
      </c>
    </row>
    <row r="521" customHeight="1" spans="1:6">
      <c r="A521" s="6">
        <v>520</v>
      </c>
      <c r="B521" s="8" t="s">
        <v>15408</v>
      </c>
      <c r="C521" s="8" t="s">
        <v>15409</v>
      </c>
      <c r="D521" s="8" t="s">
        <v>15410</v>
      </c>
      <c r="E521" s="8" t="s">
        <v>2566</v>
      </c>
      <c r="F521" s="8" t="s">
        <v>15411</v>
      </c>
    </row>
    <row r="522" customHeight="1" spans="1:6">
      <c r="A522" s="6">
        <v>521</v>
      </c>
      <c r="B522" s="8" t="s">
        <v>15408</v>
      </c>
      <c r="C522" s="8" t="s">
        <v>15409</v>
      </c>
      <c r="D522" s="8" t="s">
        <v>15410</v>
      </c>
      <c r="E522" s="8" t="s">
        <v>2566</v>
      </c>
      <c r="F522" s="8" t="s">
        <v>15411</v>
      </c>
    </row>
    <row r="523" customHeight="1" spans="1:6">
      <c r="A523" s="6">
        <v>522</v>
      </c>
      <c r="B523" s="8" t="s">
        <v>15412</v>
      </c>
      <c r="C523" s="8" t="s">
        <v>15413</v>
      </c>
      <c r="D523" s="8" t="s">
        <v>15414</v>
      </c>
      <c r="E523" s="8" t="s">
        <v>2566</v>
      </c>
      <c r="F523" s="8" t="s">
        <v>15415</v>
      </c>
    </row>
    <row r="524" customHeight="1" spans="1:6">
      <c r="A524" s="6">
        <v>523</v>
      </c>
      <c r="B524" s="8" t="s">
        <v>15412</v>
      </c>
      <c r="C524" s="8" t="s">
        <v>15413</v>
      </c>
      <c r="D524" s="8" t="s">
        <v>15414</v>
      </c>
      <c r="E524" s="8" t="s">
        <v>2566</v>
      </c>
      <c r="F524" s="8" t="s">
        <v>15415</v>
      </c>
    </row>
    <row r="525" customHeight="1" spans="1:6">
      <c r="A525" s="6">
        <v>524</v>
      </c>
      <c r="B525" s="8" t="s">
        <v>15412</v>
      </c>
      <c r="C525" s="8" t="s">
        <v>15413</v>
      </c>
      <c r="D525" s="8" t="s">
        <v>15414</v>
      </c>
      <c r="E525" s="8" t="s">
        <v>2566</v>
      </c>
      <c r="F525" s="8" t="s">
        <v>15415</v>
      </c>
    </row>
    <row r="526" customHeight="1" spans="1:6">
      <c r="A526" s="6">
        <v>525</v>
      </c>
      <c r="B526" s="8" t="s">
        <v>15416</v>
      </c>
      <c r="C526" s="8" t="s">
        <v>15417</v>
      </c>
      <c r="D526" s="8" t="s">
        <v>15418</v>
      </c>
      <c r="E526" s="8" t="s">
        <v>2566</v>
      </c>
      <c r="F526" s="8" t="s">
        <v>15419</v>
      </c>
    </row>
    <row r="527" customHeight="1" spans="1:6">
      <c r="A527" s="6">
        <v>526</v>
      </c>
      <c r="B527" s="8" t="s">
        <v>15416</v>
      </c>
      <c r="C527" s="8" t="s">
        <v>15417</v>
      </c>
      <c r="D527" s="8" t="s">
        <v>15418</v>
      </c>
      <c r="E527" s="8" t="s">
        <v>2566</v>
      </c>
      <c r="F527" s="8" t="s">
        <v>15419</v>
      </c>
    </row>
    <row r="528" customHeight="1" spans="1:6">
      <c r="A528" s="6">
        <v>527</v>
      </c>
      <c r="B528" s="8" t="s">
        <v>15416</v>
      </c>
      <c r="C528" s="8" t="s">
        <v>15417</v>
      </c>
      <c r="D528" s="8" t="s">
        <v>15418</v>
      </c>
      <c r="E528" s="8" t="s">
        <v>2566</v>
      </c>
      <c r="F528" s="8" t="s">
        <v>15419</v>
      </c>
    </row>
    <row r="529" customHeight="1" spans="1:6">
      <c r="A529" s="6">
        <v>528</v>
      </c>
      <c r="B529" s="8" t="s">
        <v>15420</v>
      </c>
      <c r="C529" s="8" t="s">
        <v>15421</v>
      </c>
      <c r="D529" s="8" t="s">
        <v>15422</v>
      </c>
      <c r="E529" s="8" t="s">
        <v>2566</v>
      </c>
      <c r="F529" s="8" t="s">
        <v>15423</v>
      </c>
    </row>
    <row r="530" customHeight="1" spans="1:6">
      <c r="A530" s="6">
        <v>529</v>
      </c>
      <c r="B530" s="8" t="s">
        <v>15420</v>
      </c>
      <c r="C530" s="8" t="s">
        <v>15421</v>
      </c>
      <c r="D530" s="8" t="s">
        <v>15422</v>
      </c>
      <c r="E530" s="8" t="s">
        <v>2566</v>
      </c>
      <c r="F530" s="8" t="s">
        <v>15423</v>
      </c>
    </row>
    <row r="531" customHeight="1" spans="1:6">
      <c r="A531" s="6">
        <v>530</v>
      </c>
      <c r="B531" s="7" t="str">
        <f>"978-7-5679-1744-6"</f>
        <v>978-7-5679-1744-6</v>
      </c>
      <c r="C531" s="7" t="str">
        <f>"中华医学百科全书．公共卫生学．流行病学"</f>
        <v>中华医学百科全书．公共卫生学．流行病学</v>
      </c>
      <c r="D531" s="7" t="str">
        <f>"刘德培， 王辰总主编"</f>
        <v>刘德培， 王辰总主编</v>
      </c>
      <c r="E531" s="7" t="str">
        <f>"中国协和医科大学出版社"</f>
        <v>中国协和医科大学出版社</v>
      </c>
      <c r="F531" s="7" t="str">
        <f>"R-61/22/30"</f>
        <v>R-61/22/30</v>
      </c>
    </row>
    <row r="532" customHeight="1" spans="1:6">
      <c r="A532" s="6">
        <v>531</v>
      </c>
      <c r="B532" s="7" t="str">
        <f>"978-7-5679-1727-9"</f>
        <v>978-7-5679-1727-9</v>
      </c>
      <c r="C532" s="7" t="str">
        <f>"中华医学百科全书．中医药学．中医心理学"</f>
        <v>中华医学百科全书．中医药学．中医心理学</v>
      </c>
      <c r="D532" s="7" t="str">
        <f>"刘德培， 王辰总主编"</f>
        <v>刘德培， 王辰总主编</v>
      </c>
      <c r="E532" s="7" t="str">
        <f>"中国协和医科大学出版社"</f>
        <v>中国协和医科大学出版社</v>
      </c>
      <c r="F532" s="7" t="str">
        <f>"R-61/22/31"</f>
        <v>R-61/22/31</v>
      </c>
    </row>
    <row r="533" customHeight="1" spans="1:6">
      <c r="A533" s="6">
        <v>532</v>
      </c>
      <c r="B533" s="8" t="s">
        <v>15424</v>
      </c>
      <c r="C533" s="8" t="s">
        <v>15425</v>
      </c>
      <c r="D533" s="8" t="s">
        <v>15426</v>
      </c>
      <c r="E533" s="8" t="s">
        <v>2566</v>
      </c>
      <c r="F533" s="8" t="s">
        <v>15427</v>
      </c>
    </row>
    <row r="534" customHeight="1" spans="1:6">
      <c r="A534" s="6">
        <v>533</v>
      </c>
      <c r="B534" s="8" t="s">
        <v>15424</v>
      </c>
      <c r="C534" s="8" t="s">
        <v>15425</v>
      </c>
      <c r="D534" s="8" t="s">
        <v>15426</v>
      </c>
      <c r="E534" s="8" t="s">
        <v>2566</v>
      </c>
      <c r="F534" s="8" t="s">
        <v>15427</v>
      </c>
    </row>
    <row r="535" customHeight="1" spans="1:6">
      <c r="A535" s="6">
        <v>534</v>
      </c>
      <c r="B535" s="8" t="s">
        <v>15428</v>
      </c>
      <c r="C535" s="8" t="s">
        <v>15429</v>
      </c>
      <c r="D535" s="8" t="s">
        <v>15430</v>
      </c>
      <c r="E535" s="8" t="s">
        <v>2566</v>
      </c>
      <c r="F535" s="8" t="s">
        <v>15431</v>
      </c>
    </row>
    <row r="536" customHeight="1" spans="1:6">
      <c r="A536" s="6">
        <v>535</v>
      </c>
      <c r="B536" s="8" t="s">
        <v>15428</v>
      </c>
      <c r="C536" s="8" t="s">
        <v>15429</v>
      </c>
      <c r="D536" s="8" t="s">
        <v>15430</v>
      </c>
      <c r="E536" s="8" t="s">
        <v>2566</v>
      </c>
      <c r="F536" s="8" t="s">
        <v>15431</v>
      </c>
    </row>
    <row r="537" customHeight="1" spans="1:6">
      <c r="A537" s="6">
        <v>536</v>
      </c>
      <c r="B537" s="8" t="s">
        <v>15428</v>
      </c>
      <c r="C537" s="8" t="s">
        <v>15429</v>
      </c>
      <c r="D537" s="8" t="s">
        <v>15430</v>
      </c>
      <c r="E537" s="8" t="s">
        <v>2566</v>
      </c>
      <c r="F537" s="8" t="s">
        <v>15431</v>
      </c>
    </row>
    <row r="538" customHeight="1" spans="1:6">
      <c r="A538" s="6">
        <v>537</v>
      </c>
      <c r="B538" s="7" t="str">
        <f>"978-7-5725-0390-0"</f>
        <v>978-7-5725-0390-0</v>
      </c>
      <c r="C538" s="7" t="str">
        <f>"肌骨超声：物理与康复医学临床实践指南"</f>
        <v>肌骨超声：物理与康复医学临床实践指南</v>
      </c>
      <c r="D538" s="7" t="str">
        <f>"(土) 莱文特·厄兹恰克尔， (比) 马内丁·德米恩克主编；张志杰， 刘春龙， 朱毅主译"</f>
        <v>(土) 莱文特·厄兹恰克尔， (比) 马内丁·德米恩克主编；张志杰， 刘春龙， 朱毅主译</v>
      </c>
      <c r="E538" s="7" t="str">
        <f>"河南科学技术出版社"</f>
        <v>河南科学技术出版社</v>
      </c>
      <c r="F538" s="7" t="str">
        <f>"R68/78"</f>
        <v>R68/78</v>
      </c>
    </row>
    <row r="539" customHeight="1" spans="1:6">
      <c r="A539" s="6">
        <v>538</v>
      </c>
      <c r="B539" s="7" t="str">
        <f>"978-7-5725-0390-0"</f>
        <v>978-7-5725-0390-0</v>
      </c>
      <c r="C539" s="7" t="str">
        <f>"肌骨超声：物理与康复医学临床实践指南"</f>
        <v>肌骨超声：物理与康复医学临床实践指南</v>
      </c>
      <c r="D539" s="7" t="str">
        <f>"(土) 莱文特·厄兹恰克尔， (比) 马内丁·德米恩克主编；张志杰， 刘春龙， 朱毅主译"</f>
        <v>(土) 莱文特·厄兹恰克尔， (比) 马内丁·德米恩克主编；张志杰， 刘春龙， 朱毅主译</v>
      </c>
      <c r="E539" s="7" t="str">
        <f>"河南科学技术出版社"</f>
        <v>河南科学技术出版社</v>
      </c>
      <c r="F539" s="7" t="str">
        <f>"R68/78"</f>
        <v>R68/78</v>
      </c>
    </row>
    <row r="540" customHeight="1" spans="1:6">
      <c r="A540" s="6">
        <v>539</v>
      </c>
      <c r="B540" s="8" t="s">
        <v>15432</v>
      </c>
      <c r="C540" s="8" t="s">
        <v>15433</v>
      </c>
      <c r="D540" s="8" t="s">
        <v>15434</v>
      </c>
      <c r="E540" s="8" t="s">
        <v>2566</v>
      </c>
      <c r="F540" s="8" t="s">
        <v>15435</v>
      </c>
    </row>
    <row r="541" customHeight="1" spans="1:6">
      <c r="A541" s="6">
        <v>540</v>
      </c>
      <c r="B541" s="8" t="s">
        <v>15432</v>
      </c>
      <c r="C541" s="8" t="s">
        <v>15433</v>
      </c>
      <c r="D541" s="8" t="s">
        <v>15434</v>
      </c>
      <c r="E541" s="8" t="s">
        <v>2566</v>
      </c>
      <c r="F541" s="8" t="s">
        <v>15435</v>
      </c>
    </row>
    <row r="542" customHeight="1" spans="1:6">
      <c r="A542" s="6">
        <v>541</v>
      </c>
      <c r="B542" s="8" t="s">
        <v>15436</v>
      </c>
      <c r="C542" s="8" t="s">
        <v>15437</v>
      </c>
      <c r="D542" s="8" t="s">
        <v>15438</v>
      </c>
      <c r="E542" s="8" t="s">
        <v>2438</v>
      </c>
      <c r="F542" s="8" t="s">
        <v>15439</v>
      </c>
    </row>
    <row r="543" customHeight="1" spans="1:6">
      <c r="A543" s="6">
        <v>542</v>
      </c>
      <c r="B543" s="8" t="s">
        <v>15440</v>
      </c>
      <c r="C543" s="8" t="s">
        <v>15441</v>
      </c>
      <c r="D543" s="8" t="s">
        <v>15442</v>
      </c>
      <c r="E543" s="8" t="s">
        <v>2566</v>
      </c>
      <c r="F543" s="8" t="s">
        <v>15443</v>
      </c>
    </row>
    <row r="544" customHeight="1" spans="1:6">
      <c r="A544" s="6">
        <v>543</v>
      </c>
      <c r="B544" s="8" t="s">
        <v>15440</v>
      </c>
      <c r="C544" s="8" t="s">
        <v>15441</v>
      </c>
      <c r="D544" s="8" t="s">
        <v>15442</v>
      </c>
      <c r="E544" s="8" t="s">
        <v>2566</v>
      </c>
      <c r="F544" s="8" t="s">
        <v>15443</v>
      </c>
    </row>
    <row r="545" customHeight="1" spans="1:6">
      <c r="A545" s="6">
        <v>544</v>
      </c>
      <c r="B545" s="8" t="s">
        <v>15444</v>
      </c>
      <c r="C545" s="8" t="s">
        <v>15445</v>
      </c>
      <c r="D545" s="8" t="s">
        <v>15446</v>
      </c>
      <c r="E545" s="8" t="s">
        <v>2566</v>
      </c>
      <c r="F545" s="8" t="s">
        <v>15447</v>
      </c>
    </row>
    <row r="546" customHeight="1" spans="1:6">
      <c r="A546" s="6">
        <v>545</v>
      </c>
      <c r="B546" s="8" t="s">
        <v>15444</v>
      </c>
      <c r="C546" s="8" t="s">
        <v>15445</v>
      </c>
      <c r="D546" s="8" t="s">
        <v>15446</v>
      </c>
      <c r="E546" s="8" t="s">
        <v>2566</v>
      </c>
      <c r="F546" s="8" t="s">
        <v>15447</v>
      </c>
    </row>
    <row r="547" customHeight="1" spans="1:6">
      <c r="A547" s="6">
        <v>546</v>
      </c>
      <c r="B547" s="8" t="s">
        <v>15448</v>
      </c>
      <c r="C547" s="8" t="s">
        <v>15449</v>
      </c>
      <c r="D547" s="8" t="s">
        <v>15246</v>
      </c>
      <c r="E547" s="8" t="s">
        <v>380</v>
      </c>
      <c r="F547" s="8" t="s">
        <v>15450</v>
      </c>
    </row>
    <row r="548" customHeight="1" spans="1:6">
      <c r="A548" s="6">
        <v>547</v>
      </c>
      <c r="B548" s="8" t="s">
        <v>15448</v>
      </c>
      <c r="C548" s="8" t="s">
        <v>15449</v>
      </c>
      <c r="D548" s="8" t="s">
        <v>15246</v>
      </c>
      <c r="E548" s="8" t="s">
        <v>380</v>
      </c>
      <c r="F548" s="8" t="s">
        <v>15450</v>
      </c>
    </row>
    <row r="549" customHeight="1" spans="1:6">
      <c r="A549" s="6">
        <v>548</v>
      </c>
      <c r="B549" s="8" t="s">
        <v>15451</v>
      </c>
      <c r="C549" s="8" t="s">
        <v>15452</v>
      </c>
      <c r="D549" s="8" t="s">
        <v>15453</v>
      </c>
      <c r="E549" s="8" t="s">
        <v>2566</v>
      </c>
      <c r="F549" s="8" t="s">
        <v>15454</v>
      </c>
    </row>
    <row r="550" customHeight="1" spans="1:6">
      <c r="A550" s="6">
        <v>549</v>
      </c>
      <c r="B550" s="8" t="s">
        <v>15451</v>
      </c>
      <c r="C550" s="8" t="s">
        <v>15452</v>
      </c>
      <c r="D550" s="8" t="s">
        <v>15453</v>
      </c>
      <c r="E550" s="8" t="s">
        <v>2566</v>
      </c>
      <c r="F550" s="8" t="s">
        <v>15454</v>
      </c>
    </row>
    <row r="551" customHeight="1" spans="1:6">
      <c r="A551" s="6">
        <v>550</v>
      </c>
      <c r="B551" s="8" t="s">
        <v>15455</v>
      </c>
      <c r="C551" s="8" t="s">
        <v>15456</v>
      </c>
      <c r="D551" s="8" t="s">
        <v>15457</v>
      </c>
      <c r="E551" s="8" t="s">
        <v>2566</v>
      </c>
      <c r="F551" s="8" t="s">
        <v>15458</v>
      </c>
    </row>
    <row r="552" customHeight="1" spans="1:6">
      <c r="A552" s="6">
        <v>551</v>
      </c>
      <c r="B552" s="8" t="s">
        <v>15455</v>
      </c>
      <c r="C552" s="8" t="s">
        <v>15456</v>
      </c>
      <c r="D552" s="8" t="s">
        <v>15457</v>
      </c>
      <c r="E552" s="8" t="s">
        <v>2566</v>
      </c>
      <c r="F552" s="8" t="s">
        <v>15458</v>
      </c>
    </row>
    <row r="553" customHeight="1" spans="1:6">
      <c r="A553" s="6">
        <v>552</v>
      </c>
      <c r="B553" s="8" t="s">
        <v>15455</v>
      </c>
      <c r="C553" s="8" t="s">
        <v>15456</v>
      </c>
      <c r="D553" s="8" t="s">
        <v>15457</v>
      </c>
      <c r="E553" s="8" t="s">
        <v>2566</v>
      </c>
      <c r="F553" s="8" t="s">
        <v>15458</v>
      </c>
    </row>
    <row r="554" customHeight="1" spans="1:6">
      <c r="A554" s="6">
        <v>553</v>
      </c>
      <c r="B554" s="8" t="s">
        <v>15459</v>
      </c>
      <c r="C554" s="8" t="s">
        <v>15460</v>
      </c>
      <c r="D554" s="8" t="s">
        <v>15461</v>
      </c>
      <c r="E554" s="8" t="s">
        <v>2566</v>
      </c>
      <c r="F554" s="8" t="s">
        <v>15462</v>
      </c>
    </row>
    <row r="555" customHeight="1" spans="1:6">
      <c r="A555" s="6">
        <v>554</v>
      </c>
      <c r="B555" s="8" t="s">
        <v>15459</v>
      </c>
      <c r="C555" s="8" t="s">
        <v>15460</v>
      </c>
      <c r="D555" s="8" t="s">
        <v>15461</v>
      </c>
      <c r="E555" s="8" t="s">
        <v>2566</v>
      </c>
      <c r="F555" s="8" t="s">
        <v>15462</v>
      </c>
    </row>
    <row r="556" customHeight="1" spans="1:6">
      <c r="A556" s="6">
        <v>555</v>
      </c>
      <c r="B556" s="8" t="s">
        <v>15459</v>
      </c>
      <c r="C556" s="8" t="s">
        <v>15460</v>
      </c>
      <c r="D556" s="8" t="s">
        <v>15461</v>
      </c>
      <c r="E556" s="8" t="s">
        <v>2566</v>
      </c>
      <c r="F556" s="8" t="s">
        <v>15462</v>
      </c>
    </row>
    <row r="557" customHeight="1" spans="1:6">
      <c r="A557" s="6">
        <v>556</v>
      </c>
      <c r="B557" s="8" t="s">
        <v>15463</v>
      </c>
      <c r="C557" s="8" t="s">
        <v>15464</v>
      </c>
      <c r="D557" s="8" t="s">
        <v>15465</v>
      </c>
      <c r="E557" s="8" t="s">
        <v>14519</v>
      </c>
      <c r="F557" s="8" t="s">
        <v>15466</v>
      </c>
    </row>
    <row r="558" customHeight="1" spans="1:6">
      <c r="A558" s="6">
        <v>557</v>
      </c>
      <c r="B558" s="8" t="s">
        <v>15463</v>
      </c>
      <c r="C558" s="8" t="s">
        <v>15464</v>
      </c>
      <c r="D558" s="8" t="s">
        <v>15465</v>
      </c>
      <c r="E558" s="8" t="s">
        <v>14519</v>
      </c>
      <c r="F558" s="8" t="s">
        <v>15466</v>
      </c>
    </row>
    <row r="559" customHeight="1" spans="1:6">
      <c r="A559" s="6">
        <v>558</v>
      </c>
      <c r="B559" s="8" t="s">
        <v>15463</v>
      </c>
      <c r="C559" s="8" t="s">
        <v>15464</v>
      </c>
      <c r="D559" s="8" t="s">
        <v>15465</v>
      </c>
      <c r="E559" s="8" t="s">
        <v>14519</v>
      </c>
      <c r="F559" s="8" t="s">
        <v>15466</v>
      </c>
    </row>
    <row r="560" customHeight="1" spans="1:6">
      <c r="A560" s="6">
        <v>559</v>
      </c>
      <c r="B560" s="7" t="str">
        <f t="shared" ref="B560:B562" si="80">"978-7-5706-1234-5"</f>
        <v>978-7-5706-1234-5</v>
      </c>
      <c r="C560" s="7" t="str">
        <f t="shared" ref="C560:C562" si="81">"甲状腺癌的防治与康复"</f>
        <v>甲状腺癌的防治与康复</v>
      </c>
      <c r="D560" s="7" t="str">
        <f t="shared" ref="D560:D562" si="82">"吴高松， 彭莉娜主编"</f>
        <v>吴高松， 彭莉娜主编</v>
      </c>
      <c r="E560" s="7" t="str">
        <f t="shared" ref="E560:E562" si="83">"湖北科学技术出版社"</f>
        <v>湖北科学技术出版社</v>
      </c>
      <c r="F560" s="7" t="str">
        <f t="shared" ref="F560:F562" si="84">"R73/126"</f>
        <v>R73/126</v>
      </c>
    </row>
    <row r="561" customHeight="1" spans="1:6">
      <c r="A561" s="6">
        <v>560</v>
      </c>
      <c r="B561" s="7" t="str">
        <f t="shared" si="80"/>
        <v>978-7-5706-1234-5</v>
      </c>
      <c r="C561" s="7" t="str">
        <f t="shared" si="81"/>
        <v>甲状腺癌的防治与康复</v>
      </c>
      <c r="D561" s="7" t="str">
        <f t="shared" si="82"/>
        <v>吴高松， 彭莉娜主编</v>
      </c>
      <c r="E561" s="7" t="str">
        <f t="shared" si="83"/>
        <v>湖北科学技术出版社</v>
      </c>
      <c r="F561" s="7" t="str">
        <f t="shared" si="84"/>
        <v>R73/126</v>
      </c>
    </row>
    <row r="562" customHeight="1" spans="1:6">
      <c r="A562" s="6">
        <v>561</v>
      </c>
      <c r="B562" s="7" t="str">
        <f t="shared" si="80"/>
        <v>978-7-5706-1234-5</v>
      </c>
      <c r="C562" s="7" t="str">
        <f t="shared" si="81"/>
        <v>甲状腺癌的防治与康复</v>
      </c>
      <c r="D562" s="7" t="str">
        <f t="shared" si="82"/>
        <v>吴高松， 彭莉娜主编</v>
      </c>
      <c r="E562" s="7" t="str">
        <f t="shared" si="83"/>
        <v>湖北科学技术出版社</v>
      </c>
      <c r="F562" s="7" t="str">
        <f t="shared" si="84"/>
        <v>R73/126</v>
      </c>
    </row>
    <row r="563" customHeight="1" spans="1:6">
      <c r="A563" s="6">
        <v>562</v>
      </c>
      <c r="B563" s="8" t="s">
        <v>15467</v>
      </c>
      <c r="C563" s="8" t="s">
        <v>15468</v>
      </c>
      <c r="D563" s="8" t="s">
        <v>15469</v>
      </c>
      <c r="E563" s="8" t="s">
        <v>2566</v>
      </c>
      <c r="F563" s="8" t="s">
        <v>15470</v>
      </c>
    </row>
    <row r="564" customHeight="1" spans="1:6">
      <c r="A564" s="6">
        <v>563</v>
      </c>
      <c r="B564" s="8" t="s">
        <v>15467</v>
      </c>
      <c r="C564" s="8" t="s">
        <v>15468</v>
      </c>
      <c r="D564" s="8" t="s">
        <v>15469</v>
      </c>
      <c r="E564" s="8" t="s">
        <v>2566</v>
      </c>
      <c r="F564" s="8" t="s">
        <v>15470</v>
      </c>
    </row>
    <row r="565" customHeight="1" spans="1:6">
      <c r="A565" s="6">
        <v>564</v>
      </c>
      <c r="B565" s="8" t="s">
        <v>15471</v>
      </c>
      <c r="C565" s="8" t="s">
        <v>15472</v>
      </c>
      <c r="D565" s="8" t="s">
        <v>15473</v>
      </c>
      <c r="E565" s="8" t="s">
        <v>2566</v>
      </c>
      <c r="F565" s="8" t="s">
        <v>15474</v>
      </c>
    </row>
    <row r="566" customHeight="1" spans="1:6">
      <c r="A566" s="6">
        <v>565</v>
      </c>
      <c r="B566" s="8" t="s">
        <v>15471</v>
      </c>
      <c r="C566" s="8" t="s">
        <v>15472</v>
      </c>
      <c r="D566" s="8" t="s">
        <v>15473</v>
      </c>
      <c r="E566" s="8" t="s">
        <v>2566</v>
      </c>
      <c r="F566" s="8" t="s">
        <v>15474</v>
      </c>
    </row>
    <row r="567" customHeight="1" spans="1:6">
      <c r="A567" s="6">
        <v>566</v>
      </c>
      <c r="B567" s="7" t="str">
        <f>"978-7-5690-2100-4"</f>
        <v>978-7-5690-2100-4</v>
      </c>
      <c r="C567" s="7" t="str">
        <f>"肿瘤康复“指南针”：肿瘤康复科普手册：an education handbook of science popularization"</f>
        <v>肿瘤康复“指南针”：肿瘤康复科普手册：an education handbook of science popularization</v>
      </c>
      <c r="D567" s="7" t="str">
        <f>"主编彭星辰， 苏勇林， 胡晓林"</f>
        <v>主编彭星辰， 苏勇林， 胡晓林</v>
      </c>
      <c r="E567" s="7" t="str">
        <f>"四川大学出版社"</f>
        <v>四川大学出版社</v>
      </c>
      <c r="F567" s="7" t="str">
        <f>"R730.9/9"</f>
        <v>R730.9/9</v>
      </c>
    </row>
    <row r="568" customHeight="1" spans="1:6">
      <c r="A568" s="6">
        <v>567</v>
      </c>
      <c r="B568" s="7" t="str">
        <f>"978-7-5690-2100-4"</f>
        <v>978-7-5690-2100-4</v>
      </c>
      <c r="C568" s="7" t="str">
        <f>"肿瘤康复“指南针”：肿瘤康复科普手册：an education handbook of science popularization"</f>
        <v>肿瘤康复“指南针”：肿瘤康复科普手册：an education handbook of science popularization</v>
      </c>
      <c r="D568" s="7" t="str">
        <f>"主编彭星辰， 苏勇林， 胡晓林"</f>
        <v>主编彭星辰， 苏勇林， 胡晓林</v>
      </c>
      <c r="E568" s="7" t="str">
        <f>"四川大学出版社"</f>
        <v>四川大学出版社</v>
      </c>
      <c r="F568" s="7" t="str">
        <f>"R730.9/9"</f>
        <v>R730.9/9</v>
      </c>
    </row>
    <row r="569" customHeight="1" spans="1:6">
      <c r="A569" s="6">
        <v>568</v>
      </c>
      <c r="B569" s="7" t="str">
        <f>"978-7-5217-2943-6"</f>
        <v>978-7-5217-2943-6</v>
      </c>
      <c r="C569" s="7" t="str">
        <f>"狡猾的细胞：癌症的进化故事与治愈之道：how evolution helps us understand and treat cancer"</f>
        <v>狡猾的细胞：癌症的进化故事与治愈之道：how evolution helps us understand and treat cancer</v>
      </c>
      <c r="D569" s="7" t="str">
        <f>"(美) 雅典娜·阿克蒂皮斯著；李兆栋译"</f>
        <v>(美) 雅典娜·阿克蒂皮斯著；李兆栋译</v>
      </c>
      <c r="E569" s="7" t="str">
        <f>"中信出版集团股份有限公司"</f>
        <v>中信出版集团股份有限公司</v>
      </c>
      <c r="F569" s="7" t="str">
        <f>"R73-49/2"</f>
        <v>R73-49/2</v>
      </c>
    </row>
    <row r="570" customHeight="1" spans="1:6">
      <c r="A570" s="6">
        <v>569</v>
      </c>
      <c r="B570" s="7" t="str">
        <f>"978-7-5217-2943-6"</f>
        <v>978-7-5217-2943-6</v>
      </c>
      <c r="C570" s="7" t="str">
        <f>"狡猾的细胞：癌症的进化故事与治愈之道：how evolution helps us understand and treat cancer"</f>
        <v>狡猾的细胞：癌症的进化故事与治愈之道：how evolution helps us understand and treat cancer</v>
      </c>
      <c r="D570" s="7" t="str">
        <f>"(美) 雅典娜·阿克蒂皮斯著；李兆栋译"</f>
        <v>(美) 雅典娜·阿克蒂皮斯著；李兆栋译</v>
      </c>
      <c r="E570" s="7" t="str">
        <f>"中信出版集团股份有限公司"</f>
        <v>中信出版集团股份有限公司</v>
      </c>
      <c r="F570" s="7" t="str">
        <f>"R73-49/2"</f>
        <v>R73-49/2</v>
      </c>
    </row>
    <row r="571" customHeight="1" spans="1:6">
      <c r="A571" s="6">
        <v>570</v>
      </c>
      <c r="B571" s="8" t="s">
        <v>15475</v>
      </c>
      <c r="C571" s="8" t="s">
        <v>15476</v>
      </c>
      <c r="D571" s="8" t="s">
        <v>15477</v>
      </c>
      <c r="E571" s="8" t="s">
        <v>2566</v>
      </c>
      <c r="F571" s="8" t="s">
        <v>15478</v>
      </c>
    </row>
    <row r="572" customHeight="1" spans="1:6">
      <c r="A572" s="6">
        <v>571</v>
      </c>
      <c r="B572" s="8" t="s">
        <v>15475</v>
      </c>
      <c r="C572" s="8" t="s">
        <v>15476</v>
      </c>
      <c r="D572" s="8" t="s">
        <v>15477</v>
      </c>
      <c r="E572" s="8" t="s">
        <v>2566</v>
      </c>
      <c r="F572" s="8" t="s">
        <v>15478</v>
      </c>
    </row>
    <row r="573" customHeight="1" spans="1:6">
      <c r="A573" s="6">
        <v>572</v>
      </c>
      <c r="B573" s="8" t="s">
        <v>15479</v>
      </c>
      <c r="C573" s="8" t="s">
        <v>15480</v>
      </c>
      <c r="D573" s="8" t="s">
        <v>15481</v>
      </c>
      <c r="E573" s="8" t="s">
        <v>2566</v>
      </c>
      <c r="F573" s="8" t="s">
        <v>15482</v>
      </c>
    </row>
    <row r="574" customHeight="1" spans="1:6">
      <c r="A574" s="6">
        <v>573</v>
      </c>
      <c r="B574" s="8" t="s">
        <v>15479</v>
      </c>
      <c r="C574" s="8" t="s">
        <v>15480</v>
      </c>
      <c r="D574" s="8" t="s">
        <v>15481</v>
      </c>
      <c r="E574" s="8" t="s">
        <v>2566</v>
      </c>
      <c r="F574" s="8" t="s">
        <v>15482</v>
      </c>
    </row>
    <row r="575" customHeight="1" spans="1:6">
      <c r="A575" s="6">
        <v>574</v>
      </c>
      <c r="B575" s="8" t="s">
        <v>15483</v>
      </c>
      <c r="C575" s="8" t="s">
        <v>15484</v>
      </c>
      <c r="D575" s="8" t="s">
        <v>15485</v>
      </c>
      <c r="E575" s="8" t="s">
        <v>14519</v>
      </c>
      <c r="F575" s="8" t="s">
        <v>15486</v>
      </c>
    </row>
    <row r="576" customHeight="1" spans="1:6">
      <c r="A576" s="6">
        <v>575</v>
      </c>
      <c r="B576" s="8" t="s">
        <v>15483</v>
      </c>
      <c r="C576" s="8" t="s">
        <v>15484</v>
      </c>
      <c r="D576" s="8" t="s">
        <v>15485</v>
      </c>
      <c r="E576" s="8" t="s">
        <v>14519</v>
      </c>
      <c r="F576" s="8" t="s">
        <v>15486</v>
      </c>
    </row>
    <row r="577" customHeight="1" spans="1:6">
      <c r="A577" s="6">
        <v>576</v>
      </c>
      <c r="B577" s="7" t="str">
        <f>"978-7-5706-1324-3"</f>
        <v>978-7-5706-1324-3</v>
      </c>
      <c r="C577" s="7" t="str">
        <f>"脑卒中言语障碍中西医结合康复指导"</f>
        <v>脑卒中言语障碍中西医结合康复指导</v>
      </c>
      <c r="D577" s="7" t="str">
        <f>"主编张阳普， 宋振华"</f>
        <v>主编张阳普， 宋振华</v>
      </c>
      <c r="E577" s="7" t="str">
        <f t="shared" ref="E577:E580" si="85">"湖北科学技术出版社"</f>
        <v>湖北科学技术出版社</v>
      </c>
      <c r="F577" s="7" t="str">
        <f>"R743.309/3"</f>
        <v>R743.309/3</v>
      </c>
    </row>
    <row r="578" customHeight="1" spans="1:6">
      <c r="A578" s="6">
        <v>577</v>
      </c>
      <c r="B578" s="7" t="str">
        <f>"978-7-5706-1324-3"</f>
        <v>978-7-5706-1324-3</v>
      </c>
      <c r="C578" s="7" t="str">
        <f>"脑卒中言语障碍中西医结合康复指导"</f>
        <v>脑卒中言语障碍中西医结合康复指导</v>
      </c>
      <c r="D578" s="7" t="str">
        <f>"主编张阳普， 宋振华"</f>
        <v>主编张阳普， 宋振华</v>
      </c>
      <c r="E578" s="7" t="str">
        <f t="shared" si="85"/>
        <v>湖北科学技术出版社</v>
      </c>
      <c r="F578" s="7" t="str">
        <f>"R743.309/3"</f>
        <v>R743.309/3</v>
      </c>
    </row>
    <row r="579" customHeight="1" spans="1:6">
      <c r="A579" s="6">
        <v>578</v>
      </c>
      <c r="B579" s="7" t="str">
        <f>"978-7-5706-1327-4"</f>
        <v>978-7-5706-1327-4</v>
      </c>
      <c r="C579" s="7" t="str">
        <f>"脑卒中运动障碍中西医结合康复指导"</f>
        <v>脑卒中运动障碍中西医结合康复指导</v>
      </c>
      <c r="D579" s="7" t="str">
        <f>"主编华强， 李哲"</f>
        <v>主编华强， 李哲</v>
      </c>
      <c r="E579" s="7" t="str">
        <f t="shared" si="85"/>
        <v>湖北科学技术出版社</v>
      </c>
      <c r="F579" s="7" t="str">
        <f>"R743.309/4"</f>
        <v>R743.309/4</v>
      </c>
    </row>
    <row r="580" customHeight="1" spans="1:6">
      <c r="A580" s="6">
        <v>579</v>
      </c>
      <c r="B580" s="7" t="str">
        <f>"978-7-5706-1327-4"</f>
        <v>978-7-5706-1327-4</v>
      </c>
      <c r="C580" s="7" t="str">
        <f>"脑卒中运动障碍中西医结合康复指导"</f>
        <v>脑卒中运动障碍中西医结合康复指导</v>
      </c>
      <c r="D580" s="7" t="str">
        <f>"主编华强， 李哲"</f>
        <v>主编华强， 李哲</v>
      </c>
      <c r="E580" s="7" t="str">
        <f t="shared" si="85"/>
        <v>湖北科学技术出版社</v>
      </c>
      <c r="F580" s="7" t="str">
        <f>"R743.309/4"</f>
        <v>R743.309/4</v>
      </c>
    </row>
    <row r="581" customHeight="1" spans="1:6">
      <c r="A581" s="6">
        <v>580</v>
      </c>
      <c r="B581" s="8" t="s">
        <v>15487</v>
      </c>
      <c r="C581" s="8" t="s">
        <v>15488</v>
      </c>
      <c r="D581" s="8" t="s">
        <v>15489</v>
      </c>
      <c r="E581" s="8" t="s">
        <v>3996</v>
      </c>
      <c r="F581" s="8" t="s">
        <v>15490</v>
      </c>
    </row>
    <row r="582" customHeight="1" spans="1:6">
      <c r="A582" s="6">
        <v>581</v>
      </c>
      <c r="B582" s="8" t="s">
        <v>15487</v>
      </c>
      <c r="C582" s="8" t="s">
        <v>15488</v>
      </c>
      <c r="D582" s="8" t="s">
        <v>15489</v>
      </c>
      <c r="E582" s="8" t="s">
        <v>3996</v>
      </c>
      <c r="F582" s="8" t="s">
        <v>15490</v>
      </c>
    </row>
    <row r="583" customHeight="1" spans="1:6">
      <c r="A583" s="6">
        <v>582</v>
      </c>
      <c r="B583" s="8" t="s">
        <v>15487</v>
      </c>
      <c r="C583" s="8" t="s">
        <v>15488</v>
      </c>
      <c r="D583" s="8" t="s">
        <v>15489</v>
      </c>
      <c r="E583" s="8" t="s">
        <v>3996</v>
      </c>
      <c r="F583" s="8" t="s">
        <v>15490</v>
      </c>
    </row>
    <row r="584" customHeight="1" spans="1:6">
      <c r="A584" s="6">
        <v>583</v>
      </c>
      <c r="B584" s="7" t="str">
        <f>"978-7-5706-1325-0"</f>
        <v>978-7-5706-1325-0</v>
      </c>
      <c r="C584" s="7" t="str">
        <f>"脑卒中认知障碍中西医结合康复指导"</f>
        <v>脑卒中认知障碍中西医结合康复指导</v>
      </c>
      <c r="D584" s="7" t="str">
        <f>"主编郑婵娟， 魏全"</f>
        <v>主编郑婵娟， 魏全</v>
      </c>
      <c r="E584" s="7" t="str">
        <f>"湖北科学技术出版社"</f>
        <v>湖北科学技术出版社</v>
      </c>
      <c r="F584" s="7" t="str">
        <f>"R743/29"</f>
        <v>R743/29</v>
      </c>
    </row>
    <row r="585" customHeight="1" spans="1:6">
      <c r="A585" s="6">
        <v>584</v>
      </c>
      <c r="B585" s="7" t="str">
        <f>"978-7-5706-1325-0"</f>
        <v>978-7-5706-1325-0</v>
      </c>
      <c r="C585" s="7" t="str">
        <f>"脑卒中认知障碍中西医结合康复指导"</f>
        <v>脑卒中认知障碍中西医结合康复指导</v>
      </c>
      <c r="D585" s="7" t="str">
        <f>"主编郑婵娟， 魏全"</f>
        <v>主编郑婵娟， 魏全</v>
      </c>
      <c r="E585" s="7" t="str">
        <f>"湖北科学技术出版社"</f>
        <v>湖北科学技术出版社</v>
      </c>
      <c r="F585" s="7" t="str">
        <f>"R743/29"</f>
        <v>R743/29</v>
      </c>
    </row>
    <row r="586" customHeight="1" spans="1:6">
      <c r="A586" s="6">
        <v>585</v>
      </c>
      <c r="B586" s="7" t="str">
        <f>"978-7-5520-3595-7"</f>
        <v>978-7-5520-3595-7</v>
      </c>
      <c r="C586" s="7" t="str">
        <f>"谈话疗法：东西方心理治疗的历史：a history of western and eastern psychotherapies"</f>
        <v>谈话疗法：东西方心理治疗的历史：a history of western and eastern psychotherapies</v>
      </c>
      <c r="D586" s="7" t="str">
        <f>"(美) 彼得·班克特著C. Peter Bankart；李宏昀， 沈梦蝶译"</f>
        <v>(美) 彼得·班克特著C. Peter Bankart；李宏昀， 沈梦蝶译</v>
      </c>
      <c r="E586" s="7" t="str">
        <f>"上海社会科学院出版社"</f>
        <v>上海社会科学院出版社</v>
      </c>
      <c r="F586" s="7" t="str">
        <f>"R749.055/167"</f>
        <v>R749.055/167</v>
      </c>
    </row>
    <row r="587" customHeight="1" spans="1:6">
      <c r="A587" s="6">
        <v>586</v>
      </c>
      <c r="B587" s="7" t="str">
        <f>"978-7-5520-3595-7"</f>
        <v>978-7-5520-3595-7</v>
      </c>
      <c r="C587" s="7" t="str">
        <f>"谈话疗法：东西方心理治疗的历史：a history of western and eastern psychotherapies"</f>
        <v>谈话疗法：东西方心理治疗的历史：a history of western and eastern psychotherapies</v>
      </c>
      <c r="D587" s="7" t="str">
        <f>"(美) 彼得·班克特著C. Peter Bankart；李宏昀， 沈梦蝶译"</f>
        <v>(美) 彼得·班克特著C. Peter Bankart；李宏昀， 沈梦蝶译</v>
      </c>
      <c r="E587" s="7" t="str">
        <f>"上海社会科学院出版社"</f>
        <v>上海社会科学院出版社</v>
      </c>
      <c r="F587" s="7" t="str">
        <f>"R749.055/167"</f>
        <v>R749.055/167</v>
      </c>
    </row>
    <row r="588" customHeight="1" spans="1:6">
      <c r="A588" s="6">
        <v>587</v>
      </c>
      <c r="B588" s="7" t="str">
        <f>"978-7-5680-7156-7"</f>
        <v>978-7-5680-7156-7</v>
      </c>
      <c r="C588" s="7" t="str">
        <f>"阿尔茨海默病"</f>
        <v>阿尔茨海默病</v>
      </c>
      <c r="D588" s="7" t="str">
        <f>"(美) 史蒂文·R. 萨瓦特著；雷红星译"</f>
        <v>(美) 史蒂文·R. 萨瓦特著；雷红星译</v>
      </c>
      <c r="E588" s="7" t="str">
        <f>"华中科技大学出版社"</f>
        <v>华中科技大学出版社</v>
      </c>
      <c r="F588" s="7" t="str">
        <f>"R749.1/29"</f>
        <v>R749.1/29</v>
      </c>
    </row>
    <row r="589" customHeight="1" spans="1:6">
      <c r="A589" s="6">
        <v>588</v>
      </c>
      <c r="B589" s="7" t="str">
        <f>"978-7-5680-7156-7"</f>
        <v>978-7-5680-7156-7</v>
      </c>
      <c r="C589" s="7" t="str">
        <f>"阿尔茨海默病"</f>
        <v>阿尔茨海默病</v>
      </c>
      <c r="D589" s="7" t="str">
        <f>"(美) 史蒂文·R. 萨瓦特著；雷红星译"</f>
        <v>(美) 史蒂文·R. 萨瓦特著；雷红星译</v>
      </c>
      <c r="E589" s="7" t="str">
        <f>"华中科技大学出版社"</f>
        <v>华中科技大学出版社</v>
      </c>
      <c r="F589" s="7" t="str">
        <f>"R749.1/29"</f>
        <v>R749.1/29</v>
      </c>
    </row>
    <row r="590" customHeight="1" spans="1:6">
      <c r="A590" s="6">
        <v>589</v>
      </c>
      <c r="B590" s="8" t="s">
        <v>15491</v>
      </c>
      <c r="C590" s="8" t="s">
        <v>15492</v>
      </c>
      <c r="D590" s="8" t="s">
        <v>15493</v>
      </c>
      <c r="E590" s="8" t="s">
        <v>2566</v>
      </c>
      <c r="F590" s="8" t="s">
        <v>15494</v>
      </c>
    </row>
    <row r="591" customHeight="1" spans="1:6">
      <c r="A591" s="6">
        <v>590</v>
      </c>
      <c r="B591" s="8" t="s">
        <v>15491</v>
      </c>
      <c r="C591" s="8" t="s">
        <v>15492</v>
      </c>
      <c r="D591" s="8" t="s">
        <v>15493</v>
      </c>
      <c r="E591" s="8" t="s">
        <v>2566</v>
      </c>
      <c r="F591" s="8" t="s">
        <v>15494</v>
      </c>
    </row>
    <row r="592" customHeight="1" spans="1:6">
      <c r="A592" s="6">
        <v>591</v>
      </c>
      <c r="B592" s="7" t="str">
        <f>"978-7-5217-2867-5"</f>
        <v>978-7-5217-2867-5</v>
      </c>
      <c r="C592" s="7" t="str">
        <f>"我做错了什么?：一个产后精神疾病康复者的自白"</f>
        <v>我做错了什么?：一个产后精神疾病康复者的自白</v>
      </c>
      <c r="D592" s="7" t="str">
        <f>"(英) 劳拉·多克里尔著；李小霞译"</f>
        <v>(英) 劳拉·多克里尔著；李小霞译</v>
      </c>
      <c r="E592" s="7" t="str">
        <f>"中信出版集团股份有限公司"</f>
        <v>中信出版集团股份有限公司</v>
      </c>
      <c r="F592" s="7" t="str">
        <f>"R749.990/3"</f>
        <v>R749.990/3</v>
      </c>
    </row>
    <row r="593" customHeight="1" spans="1:6">
      <c r="A593" s="6">
        <v>592</v>
      </c>
      <c r="B593" s="7" t="str">
        <f>"978-7-5217-2867-5"</f>
        <v>978-7-5217-2867-5</v>
      </c>
      <c r="C593" s="7" t="str">
        <f>"我做错了什么?：一个产后精神疾病康复者的自白"</f>
        <v>我做错了什么?：一个产后精神疾病康复者的自白</v>
      </c>
      <c r="D593" s="7" t="str">
        <f>"(英) 劳拉·多克里尔著；李小霞译"</f>
        <v>(英) 劳拉·多克里尔著；李小霞译</v>
      </c>
      <c r="E593" s="7" t="str">
        <f>"中信出版集团股份有限公司"</f>
        <v>中信出版集团股份有限公司</v>
      </c>
      <c r="F593" s="7" t="str">
        <f>"R749.990/3"</f>
        <v>R749.990/3</v>
      </c>
    </row>
    <row r="594" customHeight="1" spans="1:6">
      <c r="A594" s="6">
        <v>593</v>
      </c>
      <c r="B594" s="8" t="s">
        <v>15495</v>
      </c>
      <c r="C594" s="8" t="s">
        <v>15496</v>
      </c>
      <c r="D594" s="8" t="s">
        <v>15497</v>
      </c>
      <c r="E594" s="8" t="s">
        <v>2566</v>
      </c>
      <c r="F594" s="8" t="s">
        <v>15498</v>
      </c>
    </row>
    <row r="595" customHeight="1" spans="1:6">
      <c r="A595" s="6">
        <v>594</v>
      </c>
      <c r="B595" s="8" t="s">
        <v>15495</v>
      </c>
      <c r="C595" s="8" t="s">
        <v>15496</v>
      </c>
      <c r="D595" s="8" t="s">
        <v>15497</v>
      </c>
      <c r="E595" s="8" t="s">
        <v>2566</v>
      </c>
      <c r="F595" s="8" t="s">
        <v>15498</v>
      </c>
    </row>
    <row r="596" customHeight="1" spans="1:6">
      <c r="A596" s="6">
        <v>595</v>
      </c>
      <c r="B596" s="8" t="s">
        <v>15499</v>
      </c>
      <c r="C596" s="8" t="s">
        <v>15500</v>
      </c>
      <c r="D596" s="8" t="s">
        <v>15501</v>
      </c>
      <c r="E596" s="8" t="s">
        <v>2566</v>
      </c>
      <c r="F596" s="8" t="s">
        <v>15502</v>
      </c>
    </row>
    <row r="597" customHeight="1" spans="1:6">
      <c r="A597" s="6">
        <v>596</v>
      </c>
      <c r="B597" s="8" t="s">
        <v>15499</v>
      </c>
      <c r="C597" s="8" t="s">
        <v>15500</v>
      </c>
      <c r="D597" s="8" t="s">
        <v>15501</v>
      </c>
      <c r="E597" s="8" t="s">
        <v>2566</v>
      </c>
      <c r="F597" s="8" t="s">
        <v>15502</v>
      </c>
    </row>
    <row r="598" customHeight="1" spans="1:6">
      <c r="A598" s="6">
        <v>597</v>
      </c>
      <c r="B598" s="8" t="s">
        <v>15499</v>
      </c>
      <c r="C598" s="8" t="s">
        <v>15500</v>
      </c>
      <c r="D598" s="8" t="s">
        <v>15501</v>
      </c>
      <c r="E598" s="8" t="s">
        <v>2566</v>
      </c>
      <c r="F598" s="8" t="s">
        <v>15502</v>
      </c>
    </row>
    <row r="599" customHeight="1" spans="1:6">
      <c r="A599" s="6">
        <v>598</v>
      </c>
      <c r="B599" s="8" t="s">
        <v>15503</v>
      </c>
      <c r="C599" s="8" t="s">
        <v>15504</v>
      </c>
      <c r="D599" s="8" t="s">
        <v>15505</v>
      </c>
      <c r="E599" s="8" t="s">
        <v>8153</v>
      </c>
      <c r="F599" s="8" t="s">
        <v>15506</v>
      </c>
    </row>
    <row r="600" customHeight="1" spans="1:6">
      <c r="A600" s="6">
        <v>599</v>
      </c>
      <c r="B600" s="8" t="s">
        <v>15503</v>
      </c>
      <c r="C600" s="8" t="s">
        <v>15504</v>
      </c>
      <c r="D600" s="8" t="s">
        <v>15505</v>
      </c>
      <c r="E600" s="8" t="s">
        <v>8153</v>
      </c>
      <c r="F600" s="8" t="s">
        <v>15506</v>
      </c>
    </row>
    <row r="601" customHeight="1" spans="1:6">
      <c r="A601" s="6">
        <v>600</v>
      </c>
      <c r="B601" s="8" t="s">
        <v>15507</v>
      </c>
      <c r="C601" s="8" t="s">
        <v>15508</v>
      </c>
      <c r="D601" s="8" t="s">
        <v>15509</v>
      </c>
      <c r="E601" s="8" t="s">
        <v>5127</v>
      </c>
      <c r="F601" s="8" t="s">
        <v>15510</v>
      </c>
    </row>
    <row r="602" customHeight="1" spans="1:6">
      <c r="A602" s="6">
        <v>601</v>
      </c>
      <c r="B602" s="8" t="s">
        <v>15511</v>
      </c>
      <c r="C602" s="8" t="s">
        <v>15512</v>
      </c>
      <c r="D602" s="8" t="s">
        <v>15513</v>
      </c>
      <c r="E602" s="8" t="s">
        <v>8153</v>
      </c>
      <c r="F602" s="8" t="s">
        <v>15514</v>
      </c>
    </row>
    <row r="603" customHeight="1" spans="1:6">
      <c r="A603" s="6">
        <v>602</v>
      </c>
      <c r="B603" s="8" t="s">
        <v>15511</v>
      </c>
      <c r="C603" s="8" t="s">
        <v>15512</v>
      </c>
      <c r="D603" s="8" t="s">
        <v>15513</v>
      </c>
      <c r="E603" s="8" t="s">
        <v>8153</v>
      </c>
      <c r="F603" s="8" t="s">
        <v>15514</v>
      </c>
    </row>
    <row r="604" customHeight="1" spans="1:6">
      <c r="A604" s="6">
        <v>603</v>
      </c>
      <c r="B604" s="8" t="s">
        <v>15515</v>
      </c>
      <c r="C604" s="8" t="s">
        <v>15516</v>
      </c>
      <c r="D604" s="8" t="s">
        <v>15517</v>
      </c>
      <c r="E604" s="8" t="s">
        <v>197</v>
      </c>
      <c r="F604" s="8" t="s">
        <v>15518</v>
      </c>
    </row>
    <row r="605" customHeight="1" spans="1:6">
      <c r="A605" s="6">
        <v>604</v>
      </c>
      <c r="B605" s="8" t="s">
        <v>15515</v>
      </c>
      <c r="C605" s="8" t="s">
        <v>15516</v>
      </c>
      <c r="D605" s="8" t="s">
        <v>15517</v>
      </c>
      <c r="E605" s="8" t="s">
        <v>197</v>
      </c>
      <c r="F605" s="8" t="s">
        <v>15518</v>
      </c>
    </row>
    <row r="606" customHeight="1" spans="1:6">
      <c r="A606" s="6">
        <v>605</v>
      </c>
      <c r="B606" s="8" t="s">
        <v>15519</v>
      </c>
      <c r="C606" s="8" t="s">
        <v>15520</v>
      </c>
      <c r="D606" s="8" t="s">
        <v>15521</v>
      </c>
      <c r="E606" s="8" t="s">
        <v>2566</v>
      </c>
      <c r="F606" s="8" t="s">
        <v>15522</v>
      </c>
    </row>
    <row r="607" customHeight="1" spans="1:6">
      <c r="A607" s="6">
        <v>606</v>
      </c>
      <c r="B607" s="8" t="s">
        <v>15519</v>
      </c>
      <c r="C607" s="8" t="s">
        <v>15520</v>
      </c>
      <c r="D607" s="8" t="s">
        <v>15521</v>
      </c>
      <c r="E607" s="8" t="s">
        <v>2566</v>
      </c>
      <c r="F607" s="8" t="s">
        <v>15522</v>
      </c>
    </row>
    <row r="608" customHeight="1" spans="1:6">
      <c r="A608" s="6">
        <v>607</v>
      </c>
      <c r="B608" s="8" t="s">
        <v>15523</v>
      </c>
      <c r="C608" s="8" t="s">
        <v>15524</v>
      </c>
      <c r="D608" s="8" t="s">
        <v>15525</v>
      </c>
      <c r="E608" s="8" t="s">
        <v>2566</v>
      </c>
      <c r="F608" s="8" t="s">
        <v>15526</v>
      </c>
    </row>
    <row r="609" customHeight="1" spans="1:6">
      <c r="A609" s="6">
        <v>608</v>
      </c>
      <c r="B609" s="8" t="s">
        <v>15523</v>
      </c>
      <c r="C609" s="8" t="s">
        <v>15524</v>
      </c>
      <c r="D609" s="8" t="s">
        <v>15525</v>
      </c>
      <c r="E609" s="8" t="s">
        <v>2566</v>
      </c>
      <c r="F609" s="8" t="s">
        <v>15526</v>
      </c>
    </row>
    <row r="610" customHeight="1" spans="1:6">
      <c r="A610" s="6">
        <v>609</v>
      </c>
      <c r="B610" s="7" t="str">
        <f>"978-7-108-07123-1"</f>
        <v>978-7-108-07123-1</v>
      </c>
      <c r="C610" s="7" t="str">
        <f>"阿司匹林传奇"</f>
        <v>阿司匹林传奇</v>
      </c>
      <c r="D610" s="7" t="str">
        <f>"(英) 迪尔米德·杰弗里斯著Diarmuid Jeffreys；暴永宁， 王惠译"</f>
        <v>(英) 迪尔米德·杰弗里斯著Diarmuid Jeffreys；暴永宁， 王惠译</v>
      </c>
      <c r="E610" s="7" t="str">
        <f t="shared" ref="E610:E617" si="86">"三联书店"</f>
        <v>三联书店</v>
      </c>
      <c r="F610" s="7" t="str">
        <f>"R971/2=2D"</f>
        <v>R971/2=2D</v>
      </c>
    </row>
    <row r="611" customHeight="1" spans="1:6">
      <c r="A611" s="6">
        <v>610</v>
      </c>
      <c r="B611" s="7" t="str">
        <f>"978-7-108-07123-1"</f>
        <v>978-7-108-07123-1</v>
      </c>
      <c r="C611" s="7" t="str">
        <f>"阿司匹林传奇"</f>
        <v>阿司匹林传奇</v>
      </c>
      <c r="D611" s="7" t="str">
        <f>"(英) 迪尔米德·杰弗里斯著Diarmuid Jeffreys；暴永宁， 王惠译"</f>
        <v>(英) 迪尔米德·杰弗里斯著Diarmuid Jeffreys；暴永宁， 王惠译</v>
      </c>
      <c r="E611" s="7" t="str">
        <f t="shared" si="86"/>
        <v>三联书店</v>
      </c>
      <c r="F611" s="7" t="str">
        <f>"R971/2=2D"</f>
        <v>R971/2=2D</v>
      </c>
    </row>
    <row r="612" customHeight="1" spans="1:6">
      <c r="A612" s="6">
        <v>611</v>
      </c>
      <c r="B612" s="7" t="str">
        <f t="shared" ref="B612:B614" si="87">"978-7-5447-8174-9"</f>
        <v>978-7-5447-8174-9</v>
      </c>
      <c r="C612" s="7" t="str">
        <f t="shared" ref="C612:C614" si="88">"新药的故事．2"</f>
        <v>新药的故事．2</v>
      </c>
      <c r="D612" s="7" t="str">
        <f t="shared" ref="D612:D614" si="89">"梁贵柏著"</f>
        <v>梁贵柏著</v>
      </c>
      <c r="E612" s="7" t="str">
        <f t="shared" ref="E612:E614" si="90">"译林出版社"</f>
        <v>译林出版社</v>
      </c>
      <c r="F612" s="7" t="str">
        <f t="shared" ref="F612:F614" si="91">"R97-49/1/2"</f>
        <v>R97-49/1/2</v>
      </c>
    </row>
    <row r="613" customHeight="1" spans="1:6">
      <c r="A613" s="6">
        <v>612</v>
      </c>
      <c r="B613" s="7" t="str">
        <f t="shared" si="87"/>
        <v>978-7-5447-8174-9</v>
      </c>
      <c r="C613" s="7" t="str">
        <f t="shared" si="88"/>
        <v>新药的故事．2</v>
      </c>
      <c r="D613" s="7" t="str">
        <f t="shared" si="89"/>
        <v>梁贵柏著</v>
      </c>
      <c r="E613" s="7" t="str">
        <f t="shared" si="90"/>
        <v>译林出版社</v>
      </c>
      <c r="F613" s="7" t="str">
        <f t="shared" si="91"/>
        <v>R97-49/1/2</v>
      </c>
    </row>
    <row r="614" customHeight="1" spans="1:6">
      <c r="A614" s="6">
        <v>613</v>
      </c>
      <c r="B614" s="7" t="str">
        <f t="shared" si="87"/>
        <v>978-7-5447-8174-9</v>
      </c>
      <c r="C614" s="7" t="str">
        <f t="shared" si="88"/>
        <v>新药的故事．2</v>
      </c>
      <c r="D614" s="7" t="str">
        <f t="shared" si="89"/>
        <v>梁贵柏著</v>
      </c>
      <c r="E614" s="7" t="str">
        <f t="shared" si="90"/>
        <v>译林出版社</v>
      </c>
      <c r="F614" s="7" t="str">
        <f t="shared" si="91"/>
        <v>R97-49/1/2</v>
      </c>
    </row>
    <row r="615" customHeight="1" spans="1:6">
      <c r="A615" s="6">
        <v>614</v>
      </c>
      <c r="B615" s="7" t="str">
        <f t="shared" ref="B615:B617" si="92">"978-7-108-07178-1"</f>
        <v>978-7-108-07178-1</v>
      </c>
      <c r="C615" s="7" t="str">
        <f t="shared" ref="C615:C617" si="93">"疫苗：医学史上最伟大的救星及其争议"</f>
        <v>疫苗：医学史上最伟大的救星及其争议</v>
      </c>
      <c r="D615" s="7" t="str">
        <f t="shared" ref="D615:D617" si="94">"(美) 阿瑟·艾伦著；徐霄寒， 邹梦廉译"</f>
        <v>(美) 阿瑟·艾伦著；徐霄寒， 邹梦廉译</v>
      </c>
      <c r="E615" s="7" t="str">
        <f t="shared" si="86"/>
        <v>三联书店</v>
      </c>
      <c r="F615" s="7" t="str">
        <f t="shared" ref="F615:F617" si="95">"R979.9/5"</f>
        <v>R979.9/5</v>
      </c>
    </row>
    <row r="616" customHeight="1" spans="1:6">
      <c r="A616" s="6">
        <v>615</v>
      </c>
      <c r="B616" s="7" t="str">
        <f t="shared" si="92"/>
        <v>978-7-108-07178-1</v>
      </c>
      <c r="C616" s="7" t="str">
        <f t="shared" si="93"/>
        <v>疫苗：医学史上最伟大的救星及其争议</v>
      </c>
      <c r="D616" s="7" t="str">
        <f t="shared" si="94"/>
        <v>(美) 阿瑟·艾伦著；徐霄寒， 邹梦廉译</v>
      </c>
      <c r="E616" s="7" t="str">
        <f t="shared" si="86"/>
        <v>三联书店</v>
      </c>
      <c r="F616" s="7" t="str">
        <f t="shared" si="95"/>
        <v>R979.9/5</v>
      </c>
    </row>
    <row r="617" customHeight="1" spans="1:6">
      <c r="A617" s="6">
        <v>616</v>
      </c>
      <c r="B617" s="7" t="str">
        <f t="shared" si="92"/>
        <v>978-7-108-07178-1</v>
      </c>
      <c r="C617" s="7" t="str">
        <f t="shared" si="93"/>
        <v>疫苗：医学史上最伟大的救星及其争议</v>
      </c>
      <c r="D617" s="7" t="str">
        <f t="shared" si="94"/>
        <v>(美) 阿瑟·艾伦著；徐霄寒， 邹梦廉译</v>
      </c>
      <c r="E617" s="7" t="str">
        <f t="shared" si="86"/>
        <v>三联书店</v>
      </c>
      <c r="F617" s="7" t="str">
        <f t="shared" si="95"/>
        <v>R979.9/5</v>
      </c>
    </row>
    <row r="618" customHeight="1" spans="1:6">
      <c r="A618" s="6">
        <v>617</v>
      </c>
      <c r="B618" s="7" t="str">
        <f>"978-7-5680-7154-3"</f>
        <v>978-7-5680-7154-3</v>
      </c>
      <c r="C618" s="7" t="str">
        <f>"疫苗"</f>
        <v>疫苗</v>
      </c>
      <c r="D618" s="7" t="str">
        <f>"(美) 克里斯滕·A. 菲姆斯特著；张波， 叶寒青译"</f>
        <v>(美) 克里斯滕·A. 菲姆斯特著；张波， 叶寒青译</v>
      </c>
      <c r="E618" s="7" t="str">
        <f>"华中科技大学出版社"</f>
        <v>华中科技大学出版社</v>
      </c>
      <c r="F618" s="7" t="str">
        <f>"R979.9/6"</f>
        <v>R979.9/6</v>
      </c>
    </row>
    <row r="619" customHeight="1" spans="1:6">
      <c r="A619" s="6">
        <v>618</v>
      </c>
      <c r="B619" s="7" t="str">
        <f>"978-7-5680-7154-3"</f>
        <v>978-7-5680-7154-3</v>
      </c>
      <c r="C619" s="7" t="str">
        <f>"疫苗"</f>
        <v>疫苗</v>
      </c>
      <c r="D619" s="7" t="str">
        <f>"(美) 克里斯滕·A. 菲姆斯特著；张波， 叶寒青译"</f>
        <v>(美) 克里斯滕·A. 菲姆斯特著；张波， 叶寒青译</v>
      </c>
      <c r="E619" s="7" t="str">
        <f>"华中科技大学出版社"</f>
        <v>华中科技大学出版社</v>
      </c>
      <c r="F619" s="7" t="str">
        <f>"R979.9/6"</f>
        <v>R979.9/6</v>
      </c>
    </row>
  </sheetData>
  <pageMargins left="0.75" right="0.75" top="1" bottom="1" header="0.5" footer="0.5"/>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sheetPr>
  <dimension ref="A1:F211"/>
  <sheetViews>
    <sheetView workbookViewId="0">
      <selection activeCell="A1" sqref="$A1:$XFD1"/>
    </sheetView>
  </sheetViews>
  <sheetFormatPr defaultColWidth="9" defaultRowHeight="20.1" customHeight="1" outlineLevelCol="5"/>
  <cols>
    <col min="1" max="1" width="5.375" style="3" customWidth="1"/>
    <col min="2" max="2" width="19.375" style="4" customWidth="1"/>
    <col min="3" max="3" width="45.625" style="4" customWidth="1"/>
    <col min="4" max="4" width="35.625" style="4" customWidth="1"/>
    <col min="5" max="5" width="33.75" style="4" customWidth="1"/>
    <col min="6" max="6" width="16" style="4" customWidth="1"/>
    <col min="7" max="16384" width="9" style="4"/>
  </cols>
  <sheetData>
    <row r="1" s="1" customFormat="1" customHeight="1" spans="1:6">
      <c r="A1" s="5" t="s">
        <v>8186</v>
      </c>
      <c r="B1" s="5" t="s">
        <v>8187</v>
      </c>
      <c r="C1" s="5" t="s">
        <v>8188</v>
      </c>
      <c r="D1" s="5" t="s">
        <v>8189</v>
      </c>
      <c r="E1" s="5" t="s">
        <v>8190</v>
      </c>
      <c r="F1" s="5" t="s">
        <v>8191</v>
      </c>
    </row>
    <row r="2" s="2" customFormat="1" ht="18" customHeight="1" spans="1:6">
      <c r="A2" s="6">
        <v>1</v>
      </c>
      <c r="B2" s="7" t="str">
        <f>"978-7-111-68872-3"</f>
        <v>978-7-111-68872-3</v>
      </c>
      <c r="C2" s="7" t="str">
        <f>"世界经典轻武器大揭秘"</f>
        <v>世界经典轻武器大揭秘</v>
      </c>
      <c r="D2" s="7" t="str">
        <f>"(英) 克里斯·麦克纳布编著；田洪刚 ... [等] 译"</f>
        <v>(英) 克里斯·麦克纳布编著；田洪刚 ... [等] 译</v>
      </c>
      <c r="E2" s="7" t="str">
        <f>"机械工业出版社"</f>
        <v>机械工业出版社</v>
      </c>
      <c r="F2" s="7" t="str">
        <f>"E922/19"</f>
        <v>E922/19</v>
      </c>
    </row>
    <row r="3" s="2" customFormat="1" ht="18" customHeight="1" spans="1:6">
      <c r="A3" s="6">
        <v>2</v>
      </c>
      <c r="B3" s="7" t="str">
        <f>"978-7-111-68872-3"</f>
        <v>978-7-111-68872-3</v>
      </c>
      <c r="C3" s="7" t="str">
        <f>"世界经典轻武器大揭秘"</f>
        <v>世界经典轻武器大揭秘</v>
      </c>
      <c r="D3" s="7" t="str">
        <f>"(英) 克里斯·麦克纳布编著；田洪刚 ... [等] 译"</f>
        <v>(英) 克里斯·麦克纳布编著；田洪刚 ... [等] 译</v>
      </c>
      <c r="E3" s="7" t="str">
        <f>"机械工业出版社"</f>
        <v>机械工业出版社</v>
      </c>
      <c r="F3" s="7" t="str">
        <f>"E922/19"</f>
        <v>E922/19</v>
      </c>
    </row>
    <row r="4" s="2" customFormat="1" ht="18" customHeight="1" spans="1:6">
      <c r="A4" s="6">
        <v>3</v>
      </c>
      <c r="B4" s="7" t="str">
        <f>"978-7-119-12120-8"</f>
        <v>978-7-119-12120-8</v>
      </c>
      <c r="C4" s="7" t="str">
        <f>"冰上丝绸之路：最后的“地中海”"</f>
        <v>冰上丝绸之路：最后的“地中海”</v>
      </c>
      <c r="D4" s="7" t="str">
        <f>"冯并著"</f>
        <v>冯并著</v>
      </c>
      <c r="E4" s="7" t="str">
        <f>"外文出版社"</f>
        <v>外文出版社</v>
      </c>
      <c r="F4" s="7" t="str">
        <f>"E815/22"</f>
        <v>E815/22</v>
      </c>
    </row>
    <row r="5" s="2" customFormat="1" ht="18" customHeight="1" spans="1:6">
      <c r="A5" s="6">
        <v>4</v>
      </c>
      <c r="B5" s="7" t="str">
        <f>"978-7-119-12120-8"</f>
        <v>978-7-119-12120-8</v>
      </c>
      <c r="C5" s="7" t="str">
        <f>"冰上丝绸之路：最后的“地中海”"</f>
        <v>冰上丝绸之路：最后的“地中海”</v>
      </c>
      <c r="D5" s="7" t="str">
        <f>"冯并著"</f>
        <v>冯并著</v>
      </c>
      <c r="E5" s="7" t="str">
        <f>"外文出版社"</f>
        <v>外文出版社</v>
      </c>
      <c r="F5" s="7" t="str">
        <f>"E815/22"</f>
        <v>E815/22</v>
      </c>
    </row>
    <row r="6" s="2" customFormat="1" ht="18" customHeight="1" spans="1:6">
      <c r="A6" s="6">
        <v>5</v>
      </c>
      <c r="B6" s="7" t="str">
        <f>"978-7-5139-2927-1"</f>
        <v>978-7-5139-2927-1</v>
      </c>
      <c r="C6" s="7" t="str">
        <f>"战争游戏：电子游戏与武装冲突的未来：video games and the future of armed conflict"</f>
        <v>战争游戏：电子游戏与武装冲突的未来：video games and the future of armed conflict</v>
      </c>
      <c r="D6" s="7" t="str">
        <f>"(美) 科里·米德著Corey Mead；刘四龙译"</f>
        <v>(美) 科里·米德著Corey Mead；刘四龙译</v>
      </c>
      <c r="E6" s="7" t="str">
        <f>"民主与建设出版社"</f>
        <v>民主与建设出版社</v>
      </c>
      <c r="F6" s="7" t="str">
        <f>"E712.3/16"</f>
        <v>E712.3/16</v>
      </c>
    </row>
    <row r="7" s="2" customFormat="1" ht="18" customHeight="1" spans="1:6">
      <c r="A7" s="6">
        <v>6</v>
      </c>
      <c r="B7" s="7" t="str">
        <f>"978-7-5139-2927-1"</f>
        <v>978-7-5139-2927-1</v>
      </c>
      <c r="C7" s="7" t="str">
        <f>"战争游戏：电子游戏与武装冲突的未来：video games and the future of armed conflict"</f>
        <v>战争游戏：电子游戏与武装冲突的未来：video games and the future of armed conflict</v>
      </c>
      <c r="D7" s="7" t="str">
        <f>"(美) 科里·米德著Corey Mead；刘四龙译"</f>
        <v>(美) 科里·米德著Corey Mead；刘四龙译</v>
      </c>
      <c r="E7" s="7" t="str">
        <f>"民主与建设出版社"</f>
        <v>民主与建设出版社</v>
      </c>
      <c r="F7" s="7" t="str">
        <f>"E712.3/16"</f>
        <v>E712.3/16</v>
      </c>
    </row>
    <row r="8" s="2" customFormat="1" ht="18" customHeight="1" spans="1:6">
      <c r="A8" s="6">
        <v>7</v>
      </c>
      <c r="B8" s="8" t="s">
        <v>15527</v>
      </c>
      <c r="C8" s="8" t="s">
        <v>15528</v>
      </c>
      <c r="D8" s="8" t="s">
        <v>15529</v>
      </c>
      <c r="E8" s="8" t="s">
        <v>881</v>
      </c>
      <c r="F8" s="8" t="s">
        <v>15530</v>
      </c>
    </row>
    <row r="9" s="2" customFormat="1" ht="18" customHeight="1" spans="1:6">
      <c r="A9" s="6">
        <v>8</v>
      </c>
      <c r="B9" s="8" t="s">
        <v>15527</v>
      </c>
      <c r="C9" s="8" t="s">
        <v>15528</v>
      </c>
      <c r="D9" s="8" t="s">
        <v>15529</v>
      </c>
      <c r="E9" s="8" t="s">
        <v>881</v>
      </c>
      <c r="F9" s="8" t="s">
        <v>15530</v>
      </c>
    </row>
    <row r="10" s="2" customFormat="1" ht="18" customHeight="1" spans="1:6">
      <c r="A10" s="6">
        <v>9</v>
      </c>
      <c r="B10" s="7" t="str">
        <f>"978-7-5217-3078-4"</f>
        <v>978-7-5217-3078-4</v>
      </c>
      <c r="C10" s="7" t="str">
        <f>"存在与科学：一位科学家对存在大问题的探索：a scientist's exploration of the great questions of existence"</f>
        <v>存在与科学：一位科学家对存在大问题的探索：a scientist's exploration of the great questions of existence</v>
      </c>
      <c r="D10" s="7" t="str">
        <f>"(英) 彼得·阿特金斯著Peter Atkins；张鑫译"</f>
        <v>(英) 彼得·阿特金斯著Peter Atkins；张鑫译</v>
      </c>
      <c r="E10" s="7" t="str">
        <f>"中信出版集团股份有限公司"</f>
        <v>中信出版集团股份有限公司</v>
      </c>
      <c r="F10" s="7" t="str">
        <f>"N49/366"</f>
        <v>N49/366</v>
      </c>
    </row>
    <row r="11" s="2" customFormat="1" ht="18" customHeight="1" spans="1:6">
      <c r="A11" s="6">
        <v>10</v>
      </c>
      <c r="B11" s="7" t="str">
        <f>"978-7-5217-3078-4"</f>
        <v>978-7-5217-3078-4</v>
      </c>
      <c r="C11" s="7" t="str">
        <f>"存在与科学：一位科学家对存在大问题的探索：a scientist's exploration of the great questions of existence"</f>
        <v>存在与科学：一位科学家对存在大问题的探索：a scientist's exploration of the great questions of existence</v>
      </c>
      <c r="D11" s="7" t="str">
        <f>"(英) 彼得·阿特金斯著Peter Atkins；张鑫译"</f>
        <v>(英) 彼得·阿特金斯著Peter Atkins；张鑫译</v>
      </c>
      <c r="E11" s="7" t="str">
        <f>"中信出版集团股份有限公司"</f>
        <v>中信出版集团股份有限公司</v>
      </c>
      <c r="F11" s="7" t="str">
        <f>"N49/366"</f>
        <v>N49/366</v>
      </c>
    </row>
    <row r="12" s="2" customFormat="1" ht="18" customHeight="1" spans="1:6">
      <c r="A12" s="6">
        <v>11</v>
      </c>
      <c r="B12" s="7" t="str">
        <f t="shared" ref="B12:B14" si="0">"978-7-108-03227-0"</f>
        <v>978-7-108-03227-0</v>
      </c>
      <c r="C12" s="7" t="str">
        <f t="shared" ref="C12:C14" si="1">"疯狂实验史"</f>
        <v>疯狂实验史</v>
      </c>
      <c r="D12" s="7" t="str">
        <f t="shared" ref="D12:D14" si="2">"(瑞士) 雷托·U·施奈德著；许阳译"</f>
        <v>(瑞士) 雷托·U·施奈德著；许阳译</v>
      </c>
      <c r="E12" s="7" t="str">
        <f t="shared" ref="E12:E14" si="3">"三联书店"</f>
        <v>三联书店</v>
      </c>
      <c r="F12" s="7" t="str">
        <f t="shared" ref="F12:F14" si="4">"N33-091/1.2"</f>
        <v>N33-091/1.2</v>
      </c>
    </row>
    <row r="13" s="2" customFormat="1" ht="18" customHeight="1" spans="1:6">
      <c r="A13" s="6">
        <v>12</v>
      </c>
      <c r="B13" s="7" t="str">
        <f t="shared" si="0"/>
        <v>978-7-108-03227-0</v>
      </c>
      <c r="C13" s="7" t="str">
        <f t="shared" si="1"/>
        <v>疯狂实验史</v>
      </c>
      <c r="D13" s="7" t="str">
        <f t="shared" si="2"/>
        <v>(瑞士) 雷托·U·施奈德著；许阳译</v>
      </c>
      <c r="E13" s="7" t="str">
        <f t="shared" si="3"/>
        <v>三联书店</v>
      </c>
      <c r="F13" s="7" t="str">
        <f t="shared" si="4"/>
        <v>N33-091/1.2</v>
      </c>
    </row>
    <row r="14" s="2" customFormat="1" ht="18" customHeight="1" spans="1:6">
      <c r="A14" s="6">
        <v>13</v>
      </c>
      <c r="B14" s="7" t="str">
        <f t="shared" si="0"/>
        <v>978-7-108-03227-0</v>
      </c>
      <c r="C14" s="7" t="str">
        <f t="shared" si="1"/>
        <v>疯狂实验史</v>
      </c>
      <c r="D14" s="7" t="str">
        <f t="shared" si="2"/>
        <v>(瑞士) 雷托·U·施奈德著；许阳译</v>
      </c>
      <c r="E14" s="7" t="str">
        <f t="shared" si="3"/>
        <v>三联书店</v>
      </c>
      <c r="F14" s="7" t="str">
        <f t="shared" si="4"/>
        <v>N33-091/1.2</v>
      </c>
    </row>
    <row r="15" s="2" customFormat="1" ht="18" customHeight="1" spans="1:6">
      <c r="A15" s="6">
        <v>14</v>
      </c>
      <c r="B15" s="7" t="str">
        <f>"978-7-5428-7515-0"</f>
        <v>978-7-5428-7515-0</v>
      </c>
      <c r="C15" s="7" t="str">
        <f>"典籍里的中国工匠"</f>
        <v>典籍里的中国工匠</v>
      </c>
      <c r="D15" s="7" t="str">
        <f>"詹船海著"</f>
        <v>詹船海著</v>
      </c>
      <c r="E15" s="7" t="str">
        <f>"上海科技教育出版社"</f>
        <v>上海科技教育出版社</v>
      </c>
      <c r="F15" s="7" t="str">
        <f>"N092/92"</f>
        <v>N092/92</v>
      </c>
    </row>
    <row r="16" s="2" customFormat="1" ht="18" customHeight="1" spans="1:6">
      <c r="A16" s="6">
        <v>15</v>
      </c>
      <c r="B16" s="7" t="str">
        <f>"978-7-5428-7515-0"</f>
        <v>978-7-5428-7515-0</v>
      </c>
      <c r="C16" s="7" t="str">
        <f>"典籍里的中国工匠"</f>
        <v>典籍里的中国工匠</v>
      </c>
      <c r="D16" s="7" t="str">
        <f>"詹船海著"</f>
        <v>詹船海著</v>
      </c>
      <c r="E16" s="7" t="str">
        <f>"上海科技教育出版社"</f>
        <v>上海科技教育出版社</v>
      </c>
      <c r="F16" s="7" t="str">
        <f>"N092/92"</f>
        <v>N092/92</v>
      </c>
    </row>
    <row r="17" s="2" customFormat="1" ht="18" customHeight="1" spans="1:6">
      <c r="A17" s="6">
        <v>16</v>
      </c>
      <c r="B17" s="7" t="str">
        <f t="shared" ref="B17:B19" si="5">"978-7-214-16600-5"</f>
        <v>978-7-214-16600-5</v>
      </c>
      <c r="C17" s="7" t="str">
        <f t="shared" ref="C17:C19" si="6">"工开万物：17世纪中国的知识与技术：knowledge and technology in seventeenth-century China"</f>
        <v>工开万物：17世纪中国的知识与技术：knowledge and technology in seventeenth-century China</v>
      </c>
      <c r="D17" s="7" t="str">
        <f t="shared" ref="D17:D19" si="7">"(德) 薛凤著；吴秀杰， 白岚玲译"</f>
        <v>(德) 薛凤著；吴秀杰， 白岚玲译</v>
      </c>
      <c r="E17" s="7" t="str">
        <f t="shared" ref="E17:E19" si="8">"江苏人民出版社"</f>
        <v>江苏人民出版社</v>
      </c>
      <c r="F17" s="7" t="str">
        <f t="shared" ref="F17:F19" si="9">"N092/93"</f>
        <v>N092/93</v>
      </c>
    </row>
    <row r="18" s="2" customFormat="1" ht="18" customHeight="1" spans="1:6">
      <c r="A18" s="6">
        <v>17</v>
      </c>
      <c r="B18" s="7" t="str">
        <f t="shared" si="5"/>
        <v>978-7-214-16600-5</v>
      </c>
      <c r="C18" s="7" t="str">
        <f t="shared" si="6"/>
        <v>工开万物：17世纪中国的知识与技术：knowledge and technology in seventeenth-century China</v>
      </c>
      <c r="D18" s="7" t="str">
        <f t="shared" si="7"/>
        <v>(德) 薛凤著；吴秀杰， 白岚玲译</v>
      </c>
      <c r="E18" s="7" t="str">
        <f t="shared" si="8"/>
        <v>江苏人民出版社</v>
      </c>
      <c r="F18" s="7" t="str">
        <f t="shared" si="9"/>
        <v>N092/93</v>
      </c>
    </row>
    <row r="19" s="2" customFormat="1" ht="18" customHeight="1" spans="1:6">
      <c r="A19" s="6">
        <v>18</v>
      </c>
      <c r="B19" s="7" t="str">
        <f t="shared" si="5"/>
        <v>978-7-214-16600-5</v>
      </c>
      <c r="C19" s="7" t="str">
        <f t="shared" si="6"/>
        <v>工开万物：17世纪中国的知识与技术：knowledge and technology in seventeenth-century China</v>
      </c>
      <c r="D19" s="7" t="str">
        <f t="shared" si="7"/>
        <v>(德) 薛凤著；吴秀杰， 白岚玲译</v>
      </c>
      <c r="E19" s="7" t="str">
        <f t="shared" si="8"/>
        <v>江苏人民出版社</v>
      </c>
      <c r="F19" s="7" t="str">
        <f t="shared" si="9"/>
        <v>N092/93</v>
      </c>
    </row>
    <row r="20" s="2" customFormat="1" ht="18" customHeight="1" spans="1:6">
      <c r="A20" s="6">
        <v>19</v>
      </c>
      <c r="B20" s="7" t="str">
        <f>"978-7-5710-0519-1"</f>
        <v>978-7-5710-0519-1</v>
      </c>
      <c r="C20" s="7" t="str">
        <f>"天文观象·日月星辰"</f>
        <v>天文观象·日月星辰</v>
      </c>
      <c r="D20" s="7" t="str">
        <f>"李亮著"</f>
        <v>李亮著</v>
      </c>
      <c r="E20" s="7" t="str">
        <f t="shared" ref="E20:E39" si="10">"湖南科学技术出版社"</f>
        <v>湖南科学技术出版社</v>
      </c>
      <c r="F20" s="7" t="str">
        <f>"N092/94"</f>
        <v>N092/94</v>
      </c>
    </row>
    <row r="21" s="2" customFormat="1" ht="18" customHeight="1" spans="1:6">
      <c r="A21" s="6">
        <v>20</v>
      </c>
      <c r="B21" s="7" t="str">
        <f>"978-7-5710-0519-1"</f>
        <v>978-7-5710-0519-1</v>
      </c>
      <c r="C21" s="7" t="str">
        <f>"天文观象·日月星辰"</f>
        <v>天文观象·日月星辰</v>
      </c>
      <c r="D21" s="7" t="str">
        <f>"李亮著"</f>
        <v>李亮著</v>
      </c>
      <c r="E21" s="7" t="str">
        <f t="shared" si="10"/>
        <v>湖南科学技术出版社</v>
      </c>
      <c r="F21" s="7" t="str">
        <f>"N092/94"</f>
        <v>N092/94</v>
      </c>
    </row>
    <row r="22" s="2" customFormat="1" ht="18" customHeight="1" spans="1:6">
      <c r="A22" s="6">
        <v>21</v>
      </c>
      <c r="B22" s="7" t="str">
        <f>"978-7-5710-0518-4"</f>
        <v>978-7-5710-0518-4</v>
      </c>
      <c r="C22" s="7" t="str">
        <f>"活字印刷术"</f>
        <v>活字印刷术</v>
      </c>
      <c r="D22" s="7" t="str">
        <f>"高峰著"</f>
        <v>高峰著</v>
      </c>
      <c r="E22" s="7" t="str">
        <f t="shared" si="10"/>
        <v>湖南科学技术出版社</v>
      </c>
      <c r="F22" s="7" t="str">
        <f>"N092/95"</f>
        <v>N092/95</v>
      </c>
    </row>
    <row r="23" s="2" customFormat="1" ht="18" customHeight="1" spans="1:6">
      <c r="A23" s="6">
        <v>22</v>
      </c>
      <c r="B23" s="7" t="str">
        <f>"978-7-5710-0518-4"</f>
        <v>978-7-5710-0518-4</v>
      </c>
      <c r="C23" s="7" t="str">
        <f>"活字印刷术"</f>
        <v>活字印刷术</v>
      </c>
      <c r="D23" s="7" t="str">
        <f>"高峰著"</f>
        <v>高峰著</v>
      </c>
      <c r="E23" s="7" t="str">
        <f t="shared" si="10"/>
        <v>湖南科学技术出版社</v>
      </c>
      <c r="F23" s="7" t="str">
        <f>"N092/95"</f>
        <v>N092/95</v>
      </c>
    </row>
    <row r="24" s="2" customFormat="1" ht="18" customHeight="1" spans="1:6">
      <c r="A24" s="6">
        <v>23</v>
      </c>
      <c r="B24" s="7" t="str">
        <f>"978-7-5710-0530-6"</f>
        <v>978-7-5710-0530-6</v>
      </c>
      <c r="C24" s="7" t="str">
        <f>"农事三车"</f>
        <v>农事三车</v>
      </c>
      <c r="D24" s="7" t="str">
        <f>"史晓雷著"</f>
        <v>史晓雷著</v>
      </c>
      <c r="E24" s="7" t="str">
        <f t="shared" si="10"/>
        <v>湖南科学技术出版社</v>
      </c>
      <c r="F24" s="7" t="str">
        <f>"N092/96"</f>
        <v>N092/96</v>
      </c>
    </row>
    <row r="25" s="2" customFormat="1" ht="18" customHeight="1" spans="1:6">
      <c r="A25" s="6">
        <v>24</v>
      </c>
      <c r="B25" s="7" t="str">
        <f>"978-7-5710-0530-6"</f>
        <v>978-7-5710-0530-6</v>
      </c>
      <c r="C25" s="7" t="str">
        <f>"农事三车"</f>
        <v>农事三车</v>
      </c>
      <c r="D25" s="7" t="str">
        <f>"史晓雷著"</f>
        <v>史晓雷著</v>
      </c>
      <c r="E25" s="7" t="str">
        <f t="shared" si="10"/>
        <v>湖南科学技术出版社</v>
      </c>
      <c r="F25" s="7" t="str">
        <f>"N092/96"</f>
        <v>N092/96</v>
      </c>
    </row>
    <row r="26" s="2" customFormat="1" ht="18" customHeight="1" spans="1:6">
      <c r="A26" s="6">
        <v>25</v>
      </c>
      <c r="B26" s="7" t="str">
        <f>"978-7-5710-0525-2"</f>
        <v>978-7-5710-0525-2</v>
      </c>
      <c r="C26" s="7" t="str">
        <f>"火药与火器"</f>
        <v>火药与火器</v>
      </c>
      <c r="D26" s="7" t="str">
        <f>"郑诚著"</f>
        <v>郑诚著</v>
      </c>
      <c r="E26" s="7" t="str">
        <f t="shared" si="10"/>
        <v>湖南科学技术出版社</v>
      </c>
      <c r="F26" s="7" t="str">
        <f>"N092/97"</f>
        <v>N092/97</v>
      </c>
    </row>
    <row r="27" s="2" customFormat="1" ht="18" customHeight="1" spans="1:6">
      <c r="A27" s="6">
        <v>26</v>
      </c>
      <c r="B27" s="7" t="str">
        <f>"978-7-5710-0525-2"</f>
        <v>978-7-5710-0525-2</v>
      </c>
      <c r="C27" s="7" t="str">
        <f>"火药与火器"</f>
        <v>火药与火器</v>
      </c>
      <c r="D27" s="7" t="str">
        <f>"郑诚著"</f>
        <v>郑诚著</v>
      </c>
      <c r="E27" s="7" t="str">
        <f t="shared" si="10"/>
        <v>湖南科学技术出版社</v>
      </c>
      <c r="F27" s="7" t="str">
        <f>"N092/97"</f>
        <v>N092/97</v>
      </c>
    </row>
    <row r="28" s="2" customFormat="1" ht="18" customHeight="1" spans="1:6">
      <c r="A28" s="6">
        <v>27</v>
      </c>
      <c r="B28" s="7" t="str">
        <f>"978-7-5710-0529-0"</f>
        <v>978-7-5710-0529-0</v>
      </c>
      <c r="C28" s="7" t="str">
        <f>"指南针史"</f>
        <v>指南针史</v>
      </c>
      <c r="D28" s="7" t="str">
        <f>"黄兴著"</f>
        <v>黄兴著</v>
      </c>
      <c r="E28" s="7" t="str">
        <f t="shared" si="10"/>
        <v>湖南科学技术出版社</v>
      </c>
      <c r="F28" s="7" t="str">
        <f>"N092/98"</f>
        <v>N092/98</v>
      </c>
    </row>
    <row r="29" s="2" customFormat="1" ht="18" customHeight="1" spans="1:6">
      <c r="A29" s="6">
        <v>28</v>
      </c>
      <c r="B29" s="7" t="str">
        <f>"978-7-5710-0529-0"</f>
        <v>978-7-5710-0529-0</v>
      </c>
      <c r="C29" s="7" t="str">
        <f>"指南针史"</f>
        <v>指南针史</v>
      </c>
      <c r="D29" s="7" t="str">
        <f>"黄兴著"</f>
        <v>黄兴著</v>
      </c>
      <c r="E29" s="7" t="str">
        <f t="shared" si="10"/>
        <v>湖南科学技术出版社</v>
      </c>
      <c r="F29" s="7" t="str">
        <f>"N092/98"</f>
        <v>N092/98</v>
      </c>
    </row>
    <row r="30" s="2" customFormat="1" ht="18" customHeight="1" spans="1:6">
      <c r="A30" s="6">
        <v>29</v>
      </c>
      <c r="B30" s="7" t="str">
        <f>"978-7-5710-0528-3"</f>
        <v>978-7-5710-0528-3</v>
      </c>
      <c r="C30" s="7" t="str">
        <f>"制盐术"</f>
        <v>制盐术</v>
      </c>
      <c r="D30" s="7" t="str">
        <f t="shared" ref="D30:D33" si="11">"朱珠， 施威著"</f>
        <v>朱珠， 施威著</v>
      </c>
      <c r="E30" s="7" t="str">
        <f t="shared" si="10"/>
        <v>湖南科学技术出版社</v>
      </c>
      <c r="F30" s="7" t="str">
        <f>"N092/99"</f>
        <v>N092/99</v>
      </c>
    </row>
    <row r="31" s="2" customFormat="1" ht="18" customHeight="1" spans="1:6">
      <c r="A31" s="6">
        <v>30</v>
      </c>
      <c r="B31" s="7" t="str">
        <f>"978-7-5710-0528-3"</f>
        <v>978-7-5710-0528-3</v>
      </c>
      <c r="C31" s="7" t="str">
        <f>"制盐术"</f>
        <v>制盐术</v>
      </c>
      <c r="D31" s="7" t="str">
        <f t="shared" si="11"/>
        <v>朱珠， 施威著</v>
      </c>
      <c r="E31" s="7" t="str">
        <f t="shared" si="10"/>
        <v>湖南科学技术出版社</v>
      </c>
      <c r="F31" s="7" t="str">
        <f>"N092/99"</f>
        <v>N092/99</v>
      </c>
    </row>
    <row r="32" s="2" customFormat="1" ht="18" customHeight="1" spans="1:6">
      <c r="A32" s="6">
        <v>31</v>
      </c>
      <c r="B32" s="7" t="str">
        <f>"978-7-5710-0527-6"</f>
        <v>978-7-5710-0527-6</v>
      </c>
      <c r="C32" s="7" t="str">
        <f>"酿造术"</f>
        <v>酿造术</v>
      </c>
      <c r="D32" s="7" t="str">
        <f t="shared" si="11"/>
        <v>朱珠， 施威著</v>
      </c>
      <c r="E32" s="7" t="str">
        <f t="shared" si="10"/>
        <v>湖南科学技术出版社</v>
      </c>
      <c r="F32" s="7" t="str">
        <f>"N092/100"</f>
        <v>N092/100</v>
      </c>
    </row>
    <row r="33" s="2" customFormat="1" ht="18" customHeight="1" spans="1:6">
      <c r="A33" s="6">
        <v>32</v>
      </c>
      <c r="B33" s="7" t="str">
        <f>"978-7-5710-0527-6"</f>
        <v>978-7-5710-0527-6</v>
      </c>
      <c r="C33" s="7" t="str">
        <f>"酿造术"</f>
        <v>酿造术</v>
      </c>
      <c r="D33" s="7" t="str">
        <f t="shared" si="11"/>
        <v>朱珠， 施威著</v>
      </c>
      <c r="E33" s="7" t="str">
        <f t="shared" si="10"/>
        <v>湖南科学技术出版社</v>
      </c>
      <c r="F33" s="7" t="str">
        <f>"N092/100"</f>
        <v>N092/100</v>
      </c>
    </row>
    <row r="34" s="2" customFormat="1" ht="18" customHeight="1" spans="1:6">
      <c r="A34" s="6">
        <v>33</v>
      </c>
      <c r="B34" s="7" t="str">
        <f>"978-7-5710-0526-9"</f>
        <v>978-7-5710-0526-9</v>
      </c>
      <c r="C34" s="7" t="str">
        <f>"玉石之道"</f>
        <v>玉石之道</v>
      </c>
      <c r="D34" s="7" t="str">
        <f>"王君秀著"</f>
        <v>王君秀著</v>
      </c>
      <c r="E34" s="7" t="str">
        <f t="shared" si="10"/>
        <v>湖南科学技术出版社</v>
      </c>
      <c r="F34" s="7" t="str">
        <f>"N092/101"</f>
        <v>N092/101</v>
      </c>
    </row>
    <row r="35" s="2" customFormat="1" ht="18" customHeight="1" spans="1:6">
      <c r="A35" s="6">
        <v>34</v>
      </c>
      <c r="B35" s="7" t="str">
        <f>"978-7-5710-0526-9"</f>
        <v>978-7-5710-0526-9</v>
      </c>
      <c r="C35" s="7" t="str">
        <f>"玉石之道"</f>
        <v>玉石之道</v>
      </c>
      <c r="D35" s="7" t="str">
        <f>"王君秀著"</f>
        <v>王君秀著</v>
      </c>
      <c r="E35" s="7" t="str">
        <f t="shared" si="10"/>
        <v>湖南科学技术出版社</v>
      </c>
      <c r="F35" s="7" t="str">
        <f>"N092/101"</f>
        <v>N092/101</v>
      </c>
    </row>
    <row r="36" s="2" customFormat="1" ht="18" customHeight="1" spans="1:6">
      <c r="A36" s="6">
        <v>35</v>
      </c>
      <c r="B36" s="7" t="str">
        <f>"978-7-5710-0774-4"</f>
        <v>978-7-5710-0774-4</v>
      </c>
      <c r="C36" s="7" t="str">
        <f>"茶科技：唐煮宋点"</f>
        <v>茶科技：唐煮宋点</v>
      </c>
      <c r="D36" s="7" t="str">
        <f>"冷帅著"</f>
        <v>冷帅著</v>
      </c>
      <c r="E36" s="7" t="str">
        <f t="shared" si="10"/>
        <v>湖南科学技术出版社</v>
      </c>
      <c r="F36" s="7" t="str">
        <f>"N092/102"</f>
        <v>N092/102</v>
      </c>
    </row>
    <row r="37" s="2" customFormat="1" ht="18" customHeight="1" spans="1:6">
      <c r="A37" s="6">
        <v>36</v>
      </c>
      <c r="B37" s="7" t="str">
        <f>"978-7-5710-0774-4"</f>
        <v>978-7-5710-0774-4</v>
      </c>
      <c r="C37" s="7" t="str">
        <f>"茶科技：唐煮宋点"</f>
        <v>茶科技：唐煮宋点</v>
      </c>
      <c r="D37" s="7" t="str">
        <f>"冷帅著"</f>
        <v>冷帅著</v>
      </c>
      <c r="E37" s="7" t="str">
        <f t="shared" si="10"/>
        <v>湖南科学技术出版社</v>
      </c>
      <c r="F37" s="7" t="str">
        <f>"N092/102"</f>
        <v>N092/102</v>
      </c>
    </row>
    <row r="38" s="2" customFormat="1" ht="18" customHeight="1" spans="1:6">
      <c r="A38" s="6">
        <v>37</v>
      </c>
      <c r="B38" s="7" t="str">
        <f>"978-7-5710-0775-1"</f>
        <v>978-7-5710-0775-1</v>
      </c>
      <c r="C38" s="7" t="str">
        <f>"钢铁冶炼术"</f>
        <v>钢铁冶炼术</v>
      </c>
      <c r="D38" s="7" t="str">
        <f>"黄兴著"</f>
        <v>黄兴著</v>
      </c>
      <c r="E38" s="7" t="str">
        <f t="shared" si="10"/>
        <v>湖南科学技术出版社</v>
      </c>
      <c r="F38" s="7" t="str">
        <f>"N092/103"</f>
        <v>N092/103</v>
      </c>
    </row>
    <row r="39" s="2" customFormat="1" ht="18" customHeight="1" spans="1:6">
      <c r="A39" s="6">
        <v>38</v>
      </c>
      <c r="B39" s="7" t="str">
        <f>"978-7-5710-0775-1"</f>
        <v>978-7-5710-0775-1</v>
      </c>
      <c r="C39" s="7" t="str">
        <f>"钢铁冶炼术"</f>
        <v>钢铁冶炼术</v>
      </c>
      <c r="D39" s="7" t="str">
        <f>"黄兴著"</f>
        <v>黄兴著</v>
      </c>
      <c r="E39" s="7" t="str">
        <f t="shared" si="10"/>
        <v>湖南科学技术出版社</v>
      </c>
      <c r="F39" s="7" t="str">
        <f>"N092/103"</f>
        <v>N092/103</v>
      </c>
    </row>
    <row r="40" s="2" customFormat="1" ht="18" customHeight="1" spans="1:6">
      <c r="A40" s="6">
        <v>39</v>
      </c>
      <c r="B40" s="7" t="str">
        <f>"978-7-5133-1927-0"</f>
        <v>978-7-5133-1927-0</v>
      </c>
      <c r="C40" s="7" t="str">
        <f>"101件事儿我怎么没想到"</f>
        <v>101件事儿我怎么没想到</v>
      </c>
      <c r="D40" s="7" t="str">
        <f>"(英) 理查德·霍恩， 特雷西·特纳著；光阴工作室译"</f>
        <v>(英) 理查德·霍恩， 特雷西·特纳著；光阴工作室译</v>
      </c>
      <c r="E40" s="7" t="str">
        <f>"新星出版社"</f>
        <v>新星出版社</v>
      </c>
      <c r="F40" s="7" t="str">
        <f>"N19/81"</f>
        <v>N19/81</v>
      </c>
    </row>
    <row r="41" s="2" customFormat="1" ht="18" customHeight="1" spans="1:6">
      <c r="A41" s="6">
        <v>40</v>
      </c>
      <c r="B41" s="7" t="str">
        <f>"978-7-5133-1927-0"</f>
        <v>978-7-5133-1927-0</v>
      </c>
      <c r="C41" s="7" t="str">
        <f>"101件事儿我怎么没想到"</f>
        <v>101件事儿我怎么没想到</v>
      </c>
      <c r="D41" s="7" t="str">
        <f>"(英) 理查德·霍恩， 特雷西·特纳著；光阴工作室译"</f>
        <v>(英) 理查德·霍恩， 特雷西·特纳著；光阴工作室译</v>
      </c>
      <c r="E41" s="7" t="str">
        <f>"新星出版社"</f>
        <v>新星出版社</v>
      </c>
      <c r="F41" s="7" t="str">
        <f>"N19/81"</f>
        <v>N19/81</v>
      </c>
    </row>
    <row r="42" s="2" customFormat="1" ht="18" customHeight="1" spans="1:6">
      <c r="A42" s="6">
        <v>41</v>
      </c>
      <c r="B42" s="9" t="str">
        <f>"978-7-5217-2588-9"</f>
        <v>978-7-5217-2588-9</v>
      </c>
      <c r="C42" s="9" t="str">
        <f>"故宫里的博物学．清宫兽谱"</f>
        <v>故宫里的博物学．清宫兽谱</v>
      </c>
      <c r="D42" s="9" t="str">
        <f>"小海著；(清) 余省， (清) 张为邦绘"</f>
        <v>小海著；(清) 余省， (清) 张为邦绘</v>
      </c>
      <c r="E42" s="9" t="str">
        <f>"中信出版集团股份有限公司"</f>
        <v>中信出版集团股份有限公司</v>
      </c>
      <c r="F42" s="9" t="str">
        <f>"N912-49/4"</f>
        <v>N912-49/4</v>
      </c>
    </row>
    <row r="43" s="2" customFormat="1" ht="18" customHeight="1" spans="1:6">
      <c r="A43" s="6">
        <v>42</v>
      </c>
      <c r="B43" s="8" t="s">
        <v>15531</v>
      </c>
      <c r="C43" s="8" t="s">
        <v>15532</v>
      </c>
      <c r="D43" s="8" t="s">
        <v>15533</v>
      </c>
      <c r="E43" s="8" t="s">
        <v>12313</v>
      </c>
      <c r="F43" s="8" t="s">
        <v>15534</v>
      </c>
    </row>
    <row r="44" s="2" customFormat="1" ht="18" customHeight="1" spans="1:6">
      <c r="A44" s="6">
        <v>43</v>
      </c>
      <c r="B44" s="8" t="s">
        <v>15531</v>
      </c>
      <c r="C44" s="8" t="s">
        <v>15532</v>
      </c>
      <c r="D44" s="8" t="s">
        <v>15533</v>
      </c>
      <c r="E44" s="8" t="s">
        <v>12313</v>
      </c>
      <c r="F44" s="8" t="s">
        <v>15534</v>
      </c>
    </row>
    <row r="45" s="2" customFormat="1" ht="18" customHeight="1" spans="1:6">
      <c r="A45" s="6">
        <v>44</v>
      </c>
      <c r="B45" s="8" t="s">
        <v>15535</v>
      </c>
      <c r="C45" s="8" t="s">
        <v>15536</v>
      </c>
      <c r="D45" s="8" t="s">
        <v>15537</v>
      </c>
      <c r="E45" s="8" t="s">
        <v>197</v>
      </c>
      <c r="F45" s="8" t="s">
        <v>15538</v>
      </c>
    </row>
    <row r="46" s="2" customFormat="1" ht="18" customHeight="1" spans="1:6">
      <c r="A46" s="6">
        <v>45</v>
      </c>
      <c r="B46" s="8" t="s">
        <v>15535</v>
      </c>
      <c r="C46" s="8" t="s">
        <v>15536</v>
      </c>
      <c r="D46" s="8" t="s">
        <v>15537</v>
      </c>
      <c r="E46" s="8" t="s">
        <v>197</v>
      </c>
      <c r="F46" s="8" t="s">
        <v>15538</v>
      </c>
    </row>
    <row r="47" s="2" customFormat="1" ht="18" customHeight="1" spans="1:6">
      <c r="A47" s="6">
        <v>46</v>
      </c>
      <c r="B47" s="7" t="str">
        <f>"978-7-312-05183-8"</f>
        <v>978-7-312-05183-8</v>
      </c>
      <c r="C47" s="7" t="str">
        <f>"量子力学讲义"</f>
        <v>量子力学讲义</v>
      </c>
      <c r="D47" s="7" t="str">
        <f>"(美) 斯蒂芬·温伯格著；张礼， 张璟译"</f>
        <v>(美) 斯蒂芬·温伯格著；张礼， 张璟译</v>
      </c>
      <c r="E47" s="7" t="str">
        <f>"中国科学技术大学出版社"</f>
        <v>中国科学技术大学出版社</v>
      </c>
      <c r="F47" s="7" t="str">
        <f>"O413.1/56"</f>
        <v>O413.1/56</v>
      </c>
    </row>
    <row r="48" s="2" customFormat="1" ht="18" customHeight="1" spans="1:6">
      <c r="A48" s="6">
        <v>47</v>
      </c>
      <c r="B48" s="7" t="str">
        <f>"978-7-312-05183-8"</f>
        <v>978-7-312-05183-8</v>
      </c>
      <c r="C48" s="7" t="str">
        <f>"量子力学讲义"</f>
        <v>量子力学讲义</v>
      </c>
      <c r="D48" s="7" t="str">
        <f>"(美) 斯蒂芬·温伯格著；张礼， 张璟译"</f>
        <v>(美) 斯蒂芬·温伯格著；张礼， 张璟译</v>
      </c>
      <c r="E48" s="7" t="str">
        <f>"中国科学技术大学出版社"</f>
        <v>中国科学技术大学出版社</v>
      </c>
      <c r="F48" s="7" t="str">
        <f>"O413.1/56"</f>
        <v>O413.1/56</v>
      </c>
    </row>
    <row r="49" s="2" customFormat="1" ht="18" customHeight="1" spans="1:6">
      <c r="A49" s="6">
        <v>48</v>
      </c>
      <c r="B49" s="7" t="str">
        <f>"978-7-111-69044-3"</f>
        <v>978-7-111-69044-3</v>
      </c>
      <c r="C49" s="7" t="str">
        <f>"应用数据分析：原理与应用：principles and applications"</f>
        <v>应用数据分析：原理与应用：principles and applications</v>
      </c>
      <c r="D49" s="7" t="str">
        <f>"(澳) 约翰逊·I. 阿比尼亚著Johnson I.Agbinya；聂长海译"</f>
        <v>(澳) 约翰逊·I. 阿比尼亚著Johnson I.Agbinya；聂长海译</v>
      </c>
      <c r="E49" s="7" t="str">
        <f>"机械工业出版社"</f>
        <v>机械工业出版社</v>
      </c>
      <c r="F49" s="7" t="str">
        <f>"O212.1/59"</f>
        <v>O212.1/59</v>
      </c>
    </row>
    <row r="50" s="2" customFormat="1" ht="18" customHeight="1" spans="1:6">
      <c r="A50" s="6">
        <v>49</v>
      </c>
      <c r="B50" s="7" t="str">
        <f>"978-7-111-69044-3"</f>
        <v>978-7-111-69044-3</v>
      </c>
      <c r="C50" s="7" t="str">
        <f>"应用数据分析：原理与应用：principles and applications"</f>
        <v>应用数据分析：原理与应用：principles and applications</v>
      </c>
      <c r="D50" s="7" t="str">
        <f>"(澳) 约翰逊·I. 阿比尼亚著Johnson I.Agbinya；聂长海译"</f>
        <v>(澳) 约翰逊·I. 阿比尼亚著Johnson I.Agbinya；聂长海译</v>
      </c>
      <c r="E50" s="7" t="str">
        <f>"机械工业出版社"</f>
        <v>机械工业出版社</v>
      </c>
      <c r="F50" s="7" t="str">
        <f>"O212.1/59"</f>
        <v>O212.1/59</v>
      </c>
    </row>
    <row r="51" s="2" customFormat="1" ht="18" customHeight="1" spans="1:6">
      <c r="A51" s="6">
        <v>50</v>
      </c>
      <c r="B51" s="7" t="str">
        <f>"978-7-115-57174-8"</f>
        <v>978-7-115-57174-8</v>
      </c>
      <c r="C51" s="7" t="str">
        <f>"考研数学高等数学辅导讲义"</f>
        <v>考研数学高等数学辅导讲义</v>
      </c>
      <c r="D51" s="7" t="str">
        <f>"汤家凤编著"</f>
        <v>汤家凤编著</v>
      </c>
      <c r="E51" s="7" t="str">
        <f>"人民邮电出版社"</f>
        <v>人民邮电出版社</v>
      </c>
      <c r="F51" s="7" t="str">
        <f>"O13/570"</f>
        <v>O13/570</v>
      </c>
    </row>
    <row r="52" s="2" customFormat="1" ht="18" customHeight="1" spans="1:6">
      <c r="A52" s="6">
        <v>51</v>
      </c>
      <c r="B52" s="7" t="str">
        <f>"978-7-115-57174-8"</f>
        <v>978-7-115-57174-8</v>
      </c>
      <c r="C52" s="7" t="str">
        <f>"考研数学高等数学辅导讲义"</f>
        <v>考研数学高等数学辅导讲义</v>
      </c>
      <c r="D52" s="7" t="str">
        <f>"汤家凤编著"</f>
        <v>汤家凤编著</v>
      </c>
      <c r="E52" s="7" t="str">
        <f>"人民邮电出版社"</f>
        <v>人民邮电出版社</v>
      </c>
      <c r="F52" s="7" t="str">
        <f>"O13/570"</f>
        <v>O13/570</v>
      </c>
    </row>
    <row r="53" s="2" customFormat="1" ht="18" customHeight="1" spans="1:6">
      <c r="A53" s="6">
        <v>52</v>
      </c>
      <c r="B53" s="7" t="str">
        <f>"978-7-302-48125-6"</f>
        <v>978-7-302-48125-6</v>
      </c>
      <c r="C53" s="7" t="str">
        <f>"运筹学教程"</f>
        <v>运筹学教程</v>
      </c>
      <c r="D53" s="7" t="str">
        <f>"胡运权主编"</f>
        <v>胡运权主编</v>
      </c>
      <c r="E53" s="7" t="str">
        <f>"清华大学出版社"</f>
        <v>清华大学出版社</v>
      </c>
      <c r="F53" s="7" t="str">
        <f>"O22/2=5D"</f>
        <v>O22/2=5D</v>
      </c>
    </row>
    <row r="54" s="2" customFormat="1" ht="18" customHeight="1" spans="1:6">
      <c r="A54" s="6">
        <v>53</v>
      </c>
      <c r="B54" s="7" t="str">
        <f>"978-7-302-48125-6"</f>
        <v>978-7-302-48125-6</v>
      </c>
      <c r="C54" s="7" t="str">
        <f>"运筹学教程"</f>
        <v>运筹学教程</v>
      </c>
      <c r="D54" s="7" t="str">
        <f>"胡运权主编"</f>
        <v>胡运权主编</v>
      </c>
      <c r="E54" s="7" t="str">
        <f>"清华大学出版社"</f>
        <v>清华大学出版社</v>
      </c>
      <c r="F54" s="7" t="str">
        <f>"O22/2=5D"</f>
        <v>O22/2=5D</v>
      </c>
    </row>
    <row r="55" s="2" customFormat="1" ht="18" customHeight="1" spans="1:6">
      <c r="A55" s="6">
        <v>54</v>
      </c>
      <c r="B55" s="7" t="str">
        <f>"978-7-03-066661-1"</f>
        <v>978-7-03-066661-1</v>
      </c>
      <c r="C55" s="7" t="str">
        <f>"基于排序集抽样方法的可靠性估计"</f>
        <v>基于排序集抽样方法的可靠性估计</v>
      </c>
      <c r="D55" s="7" t="str">
        <f>"董晓芳， 张良勇著"</f>
        <v>董晓芳， 张良勇著</v>
      </c>
      <c r="E55" s="7" t="str">
        <f>"科学出版社"</f>
        <v>科学出版社</v>
      </c>
      <c r="F55" s="7" t="str">
        <f>"O212.2/2"</f>
        <v>O212.2/2</v>
      </c>
    </row>
    <row r="56" s="2" customFormat="1" ht="18" customHeight="1" spans="1:6">
      <c r="A56" s="6">
        <v>55</v>
      </c>
      <c r="B56" s="7" t="str">
        <f>"978-7-03-066661-1"</f>
        <v>978-7-03-066661-1</v>
      </c>
      <c r="C56" s="7" t="str">
        <f>"基于排序集抽样方法的可靠性估计"</f>
        <v>基于排序集抽样方法的可靠性估计</v>
      </c>
      <c r="D56" s="7" t="str">
        <f>"董晓芳， 张良勇著"</f>
        <v>董晓芳， 张良勇著</v>
      </c>
      <c r="E56" s="7" t="str">
        <f>"科学出版社"</f>
        <v>科学出版社</v>
      </c>
      <c r="F56" s="7" t="str">
        <f>"O212.2/2"</f>
        <v>O212.2/2</v>
      </c>
    </row>
    <row r="57" s="2" customFormat="1" ht="18" customHeight="1" spans="1:6">
      <c r="A57" s="6">
        <v>56</v>
      </c>
      <c r="B57" s="7" t="str">
        <f>"978-7-5669-1943-4"</f>
        <v>978-7-5669-1943-4</v>
      </c>
      <c r="C57" s="7" t="str">
        <f>"与改革开放同行：中国数学史事业40年"</f>
        <v>与改革开放同行：中国数学史事业40年</v>
      </c>
      <c r="D57" s="7" t="str">
        <f>"徐泽林主编"</f>
        <v>徐泽林主编</v>
      </c>
      <c r="E57" s="7" t="str">
        <f>"东华大学出版社"</f>
        <v>东华大学出版社</v>
      </c>
      <c r="F57" s="7" t="str">
        <f>"O112/38"</f>
        <v>O112/38</v>
      </c>
    </row>
    <row r="58" s="2" customFormat="1" ht="18" customHeight="1" spans="1:6">
      <c r="A58" s="6">
        <v>57</v>
      </c>
      <c r="B58" s="7" t="str">
        <f>"978-7-5669-1943-4"</f>
        <v>978-7-5669-1943-4</v>
      </c>
      <c r="C58" s="7" t="str">
        <f>"与改革开放同行：中国数学史事业40年"</f>
        <v>与改革开放同行：中国数学史事业40年</v>
      </c>
      <c r="D58" s="7" t="str">
        <f>"徐泽林主编"</f>
        <v>徐泽林主编</v>
      </c>
      <c r="E58" s="7" t="str">
        <f>"东华大学出版社"</f>
        <v>东华大学出版社</v>
      </c>
      <c r="F58" s="7" t="str">
        <f>"O112/38"</f>
        <v>O112/38</v>
      </c>
    </row>
    <row r="59" s="2" customFormat="1" ht="18" customHeight="1" spans="1:6">
      <c r="A59" s="6">
        <v>58</v>
      </c>
      <c r="B59" s="7" t="str">
        <f>"978-7-229-15869-9"</f>
        <v>978-7-229-15869-9</v>
      </c>
      <c r="C59" s="7" t="str">
        <f>"宇宙相对论：参照系理解宇宙与生命"</f>
        <v>宇宙相对论：参照系理解宇宙与生命</v>
      </c>
      <c r="D59" s="7" t="str">
        <f>"(英) 布莱恩·克莱格著Brian Clegg；杨桓， 唐禾译"</f>
        <v>(英) 布莱恩·克莱格著Brian Clegg；杨桓， 唐禾译</v>
      </c>
      <c r="E59" s="7" t="str">
        <f>"重庆出版社"</f>
        <v>重庆出版社</v>
      </c>
      <c r="F59" s="7" t="str">
        <f>"O412.1/58"</f>
        <v>O412.1/58</v>
      </c>
    </row>
    <row r="60" s="2" customFormat="1" ht="18" customHeight="1" spans="1:6">
      <c r="A60" s="6">
        <v>59</v>
      </c>
      <c r="B60" s="7" t="str">
        <f>"978-7-229-15869-9"</f>
        <v>978-7-229-15869-9</v>
      </c>
      <c r="C60" s="7" t="str">
        <f>"宇宙相对论：参照系理解宇宙与生命"</f>
        <v>宇宙相对论：参照系理解宇宙与生命</v>
      </c>
      <c r="D60" s="7" t="str">
        <f>"(英) 布莱恩·克莱格著Brian Clegg；杨桓， 唐禾译"</f>
        <v>(英) 布莱恩·克莱格著Brian Clegg；杨桓， 唐禾译</v>
      </c>
      <c r="E60" s="7" t="str">
        <f>"重庆出版社"</f>
        <v>重庆出版社</v>
      </c>
      <c r="F60" s="7" t="str">
        <f>"O412.1/58"</f>
        <v>O412.1/58</v>
      </c>
    </row>
    <row r="61" s="2" customFormat="1" ht="18" customHeight="1" spans="1:6">
      <c r="A61" s="6">
        <v>60</v>
      </c>
      <c r="B61" s="7" t="str">
        <f>"978-7-5428-7155-8"</f>
        <v>978-7-5428-7155-8</v>
      </c>
      <c r="C61" s="7" t="str">
        <f>"100个艺术中的数学问题"</f>
        <v>100个艺术中的数学问题</v>
      </c>
      <c r="D61" s="7" t="str">
        <f t="shared" ref="D61:D64" si="12">"(英) 约翰·D·巴罗著John D. Barrow；周启琼， 靖润洁译"</f>
        <v>(英) 约翰·D·巴罗著John D. Barrow；周启琼， 靖润洁译</v>
      </c>
      <c r="E61" s="7" t="str">
        <f t="shared" ref="E61:E64" si="13">"上海科技教育出版社"</f>
        <v>上海科技教育出版社</v>
      </c>
      <c r="F61" s="7" t="str">
        <f>"O1-49/199"</f>
        <v>O1-49/199</v>
      </c>
    </row>
    <row r="62" s="2" customFormat="1" ht="18" customHeight="1" spans="1:6">
      <c r="A62" s="6">
        <v>61</v>
      </c>
      <c r="B62" s="7" t="str">
        <f>"978-7-5428-7155-8"</f>
        <v>978-7-5428-7155-8</v>
      </c>
      <c r="C62" s="7" t="str">
        <f>"100个艺术中的数学问题"</f>
        <v>100个艺术中的数学问题</v>
      </c>
      <c r="D62" s="7" t="str">
        <f t="shared" si="12"/>
        <v>(英) 约翰·D·巴罗著John D. Barrow；周启琼， 靖润洁译</v>
      </c>
      <c r="E62" s="7" t="str">
        <f t="shared" si="13"/>
        <v>上海科技教育出版社</v>
      </c>
      <c r="F62" s="7" t="str">
        <f>"O1-49/199"</f>
        <v>O1-49/199</v>
      </c>
    </row>
    <row r="63" s="2" customFormat="1" ht="18" customHeight="1" spans="1:6">
      <c r="A63" s="6">
        <v>62</v>
      </c>
      <c r="B63" s="7" t="str">
        <f>"978-7-5428-7498-6"</f>
        <v>978-7-5428-7498-6</v>
      </c>
      <c r="C63" s="7" t="str">
        <f>"100个体育中的数学问题"</f>
        <v>100个体育中的数学问题</v>
      </c>
      <c r="D63" s="7" t="str">
        <f t="shared" si="12"/>
        <v>(英) 约翰·D·巴罗著John D. Barrow；周启琼， 靖润洁译</v>
      </c>
      <c r="E63" s="7" t="str">
        <f t="shared" si="13"/>
        <v>上海科技教育出版社</v>
      </c>
      <c r="F63" s="7" t="str">
        <f>"O1-49/200"</f>
        <v>O1-49/200</v>
      </c>
    </row>
    <row r="64" s="2" customFormat="1" ht="18" customHeight="1" spans="1:6">
      <c r="A64" s="6">
        <v>63</v>
      </c>
      <c r="B64" s="7" t="str">
        <f>"978-7-5428-7498-6"</f>
        <v>978-7-5428-7498-6</v>
      </c>
      <c r="C64" s="7" t="str">
        <f>"100个体育中的数学问题"</f>
        <v>100个体育中的数学问题</v>
      </c>
      <c r="D64" s="7" t="str">
        <f t="shared" si="12"/>
        <v>(英) 约翰·D·巴罗著John D. Barrow；周启琼， 靖润洁译</v>
      </c>
      <c r="E64" s="7" t="str">
        <f t="shared" si="13"/>
        <v>上海科技教育出版社</v>
      </c>
      <c r="F64" s="7" t="str">
        <f>"O1-49/200"</f>
        <v>O1-49/200</v>
      </c>
    </row>
    <row r="65" s="2" customFormat="1" ht="18" customHeight="1" spans="1:6">
      <c r="A65" s="6">
        <v>64</v>
      </c>
      <c r="B65" s="7" t="str">
        <f t="shared" ref="B65:B67" si="14">"978-7-5364-9801-3"</f>
        <v>978-7-5364-9801-3</v>
      </c>
      <c r="C65" s="7" t="str">
        <f t="shared" ref="C65:C67" si="15">"万物由什么组成：化学元素的奇妙世界"</f>
        <v>万物由什么组成：化学元素的奇妙世界</v>
      </c>
      <c r="D65" s="7" t="str">
        <f t="shared" ref="D65:D67" si="16">"(英) 詹姆斯·罗素著；江晶译"</f>
        <v>(英) 詹姆斯·罗素著；江晶译</v>
      </c>
      <c r="E65" s="7" t="str">
        <f t="shared" ref="E65:E67" si="17">"四川科学技术出版社"</f>
        <v>四川科学技术出版社</v>
      </c>
      <c r="F65" s="7" t="str">
        <f t="shared" ref="F65:F67" si="18">"O611-49/9"</f>
        <v>O611-49/9</v>
      </c>
    </row>
    <row r="66" s="2" customFormat="1" ht="18" customHeight="1" spans="1:6">
      <c r="A66" s="6">
        <v>65</v>
      </c>
      <c r="B66" s="7" t="str">
        <f t="shared" si="14"/>
        <v>978-7-5364-9801-3</v>
      </c>
      <c r="C66" s="7" t="str">
        <f t="shared" si="15"/>
        <v>万物由什么组成：化学元素的奇妙世界</v>
      </c>
      <c r="D66" s="7" t="str">
        <f t="shared" si="16"/>
        <v>(英) 詹姆斯·罗素著；江晶译</v>
      </c>
      <c r="E66" s="7" t="str">
        <f t="shared" si="17"/>
        <v>四川科学技术出版社</v>
      </c>
      <c r="F66" s="7" t="str">
        <f t="shared" si="18"/>
        <v>O611-49/9</v>
      </c>
    </row>
    <row r="67" s="2" customFormat="1" ht="18" customHeight="1" spans="1:6">
      <c r="A67" s="6">
        <v>66</v>
      </c>
      <c r="B67" s="7" t="str">
        <f t="shared" si="14"/>
        <v>978-7-5364-9801-3</v>
      </c>
      <c r="C67" s="7" t="str">
        <f t="shared" si="15"/>
        <v>万物由什么组成：化学元素的奇妙世界</v>
      </c>
      <c r="D67" s="7" t="str">
        <f t="shared" si="16"/>
        <v>(英) 詹姆斯·罗素著；江晶译</v>
      </c>
      <c r="E67" s="7" t="str">
        <f t="shared" si="17"/>
        <v>四川科学技术出版社</v>
      </c>
      <c r="F67" s="7" t="str">
        <f t="shared" si="18"/>
        <v>O611-49/9</v>
      </c>
    </row>
    <row r="68" s="2" customFormat="1" ht="18" customHeight="1" spans="1:6">
      <c r="A68" s="6">
        <v>67</v>
      </c>
      <c r="B68" s="7" t="str">
        <f>"978-7-5428-7497-9"</f>
        <v>978-7-5428-7497-9</v>
      </c>
      <c r="C68" s="7" t="str">
        <f>"100个生活中的数学问题"</f>
        <v>100个生活中的数学问题</v>
      </c>
      <c r="D68" s="7" t="str">
        <f>"(英) 约翰·D·巴罗著John D. Barrow；申晓羽译"</f>
        <v>(英) 约翰·D·巴罗著John D. Barrow；申晓羽译</v>
      </c>
      <c r="E68" s="7" t="str">
        <f>"上海科技教育出版社"</f>
        <v>上海科技教育出版社</v>
      </c>
      <c r="F68" s="7" t="str">
        <f>"O1-49/201"</f>
        <v>O1-49/201</v>
      </c>
    </row>
    <row r="69" s="2" customFormat="1" ht="18" customHeight="1" spans="1:6">
      <c r="A69" s="6">
        <v>68</v>
      </c>
      <c r="B69" s="7" t="str">
        <f>"978-7-5428-7497-9"</f>
        <v>978-7-5428-7497-9</v>
      </c>
      <c r="C69" s="7" t="str">
        <f>"100个生活中的数学问题"</f>
        <v>100个生活中的数学问题</v>
      </c>
      <c r="D69" s="7" t="str">
        <f>"(英) 约翰·D·巴罗著John D. Barrow；申晓羽译"</f>
        <v>(英) 约翰·D·巴罗著John D. Barrow；申晓羽译</v>
      </c>
      <c r="E69" s="7" t="str">
        <f>"上海科技教育出版社"</f>
        <v>上海科技教育出版社</v>
      </c>
      <c r="F69" s="7" t="str">
        <f>"O1-49/201"</f>
        <v>O1-49/201</v>
      </c>
    </row>
    <row r="70" s="2" customFormat="1" ht="18" customHeight="1" spans="1:6">
      <c r="A70" s="6">
        <v>69</v>
      </c>
      <c r="B70" s="7" t="str">
        <f t="shared" ref="B70:B72" si="19">"978-7-5576-9024-3"</f>
        <v>978-7-5576-9024-3</v>
      </c>
      <c r="C70" s="7" t="str">
        <f t="shared" ref="C70:C72" si="20">"欢乐数学：一本充满“烂插画”的快乐数学启蒙书：math with bad drawings"</f>
        <v>欢乐数学：一本充满“烂插画”的快乐数学启蒙书：math with bad drawings</v>
      </c>
      <c r="D70" s="7" t="str">
        <f t="shared" ref="D70:D72" si="21">"(美) 本·奥尔林著Ben Orlin；唐燕池译"</f>
        <v>(美) 本·奥尔林著Ben Orlin；唐燕池译</v>
      </c>
      <c r="E70" s="7" t="str">
        <f t="shared" ref="E70:E72" si="22">"天津科学技术出版社"</f>
        <v>天津科学技术出版社</v>
      </c>
      <c r="F70" s="7" t="str">
        <f t="shared" ref="F70:F72" si="23">"O1-49/202"</f>
        <v>O1-49/202</v>
      </c>
    </row>
    <row r="71" s="2" customFormat="1" ht="18" customHeight="1" spans="1:6">
      <c r="A71" s="6">
        <v>70</v>
      </c>
      <c r="B71" s="7" t="str">
        <f t="shared" si="19"/>
        <v>978-7-5576-9024-3</v>
      </c>
      <c r="C71" s="7" t="str">
        <f t="shared" si="20"/>
        <v>欢乐数学：一本充满“烂插画”的快乐数学启蒙书：math with bad drawings</v>
      </c>
      <c r="D71" s="7" t="str">
        <f t="shared" si="21"/>
        <v>(美) 本·奥尔林著Ben Orlin；唐燕池译</v>
      </c>
      <c r="E71" s="7" t="str">
        <f t="shared" si="22"/>
        <v>天津科学技术出版社</v>
      </c>
      <c r="F71" s="7" t="str">
        <f t="shared" si="23"/>
        <v>O1-49/202</v>
      </c>
    </row>
    <row r="72" s="2" customFormat="1" ht="18" customHeight="1" spans="1:6">
      <c r="A72" s="6">
        <v>71</v>
      </c>
      <c r="B72" s="7" t="str">
        <f t="shared" si="19"/>
        <v>978-7-5576-9024-3</v>
      </c>
      <c r="C72" s="7" t="str">
        <f t="shared" si="20"/>
        <v>欢乐数学：一本充满“烂插画”的快乐数学启蒙书：math with bad drawings</v>
      </c>
      <c r="D72" s="7" t="str">
        <f t="shared" si="21"/>
        <v>(美) 本·奥尔林著Ben Orlin；唐燕池译</v>
      </c>
      <c r="E72" s="7" t="str">
        <f t="shared" si="22"/>
        <v>天津科学技术出版社</v>
      </c>
      <c r="F72" s="7" t="str">
        <f t="shared" si="23"/>
        <v>O1-49/202</v>
      </c>
    </row>
    <row r="73" s="2" customFormat="1" ht="18" customHeight="1" spans="1:6">
      <c r="A73" s="6">
        <v>72</v>
      </c>
      <c r="B73" s="7" t="str">
        <f>"978-7-5115-6627-0"</f>
        <v>978-7-5115-6627-0</v>
      </c>
      <c r="C73" s="7" t="str">
        <f>"量子科技：领导干部公开课"</f>
        <v>量子科技：领导干部公开课</v>
      </c>
      <c r="D73" s="7" t="str">
        <f>"《量子科技: 领导干部公开课》编写组"</f>
        <v>《量子科技: 领导干部公开课》编写组</v>
      </c>
      <c r="E73" s="7" t="str">
        <f>"人民日报出版社"</f>
        <v>人民日报出版社</v>
      </c>
      <c r="F73" s="7" t="str">
        <f>"O413/18"</f>
        <v>O413/18</v>
      </c>
    </row>
    <row r="74" s="2" customFormat="1" ht="18" customHeight="1" spans="1:6">
      <c r="A74" s="6">
        <v>73</v>
      </c>
      <c r="B74" s="7" t="str">
        <f>"978-7-5115-6627-0"</f>
        <v>978-7-5115-6627-0</v>
      </c>
      <c r="C74" s="7" t="str">
        <f>"量子科技：领导干部公开课"</f>
        <v>量子科技：领导干部公开课</v>
      </c>
      <c r="D74" s="7" t="str">
        <f>"《量子科技: 领导干部公开课》编写组"</f>
        <v>《量子科技: 领导干部公开课》编写组</v>
      </c>
      <c r="E74" s="7" t="str">
        <f>"人民日报出版社"</f>
        <v>人民日报出版社</v>
      </c>
      <c r="F74" s="7" t="str">
        <f>"O413/18"</f>
        <v>O413/18</v>
      </c>
    </row>
    <row r="75" s="2" customFormat="1" ht="18" customHeight="1" spans="1:6">
      <c r="A75" s="6">
        <v>74</v>
      </c>
      <c r="B75" s="8" t="s">
        <v>15539</v>
      </c>
      <c r="C75" s="8" t="s">
        <v>15540</v>
      </c>
      <c r="D75" s="8" t="s">
        <v>15541</v>
      </c>
      <c r="E75" s="8" t="s">
        <v>5127</v>
      </c>
      <c r="F75" s="8" t="s">
        <v>15542</v>
      </c>
    </row>
    <row r="76" s="2" customFormat="1" ht="18" customHeight="1" spans="1:6">
      <c r="A76" s="6">
        <v>75</v>
      </c>
      <c r="B76" s="8" t="s">
        <v>15539</v>
      </c>
      <c r="C76" s="8" t="s">
        <v>15540</v>
      </c>
      <c r="D76" s="8" t="s">
        <v>15541</v>
      </c>
      <c r="E76" s="8" t="s">
        <v>5127</v>
      </c>
      <c r="F76" s="8" t="s">
        <v>15542</v>
      </c>
    </row>
    <row r="77" s="2" customFormat="1" ht="18" customHeight="1" spans="1:6">
      <c r="A77" s="6">
        <v>76</v>
      </c>
      <c r="B77" s="8" t="s">
        <v>15543</v>
      </c>
      <c r="C77" s="8" t="s">
        <v>15544</v>
      </c>
      <c r="D77" s="8" t="s">
        <v>15545</v>
      </c>
      <c r="E77" s="8" t="s">
        <v>261</v>
      </c>
      <c r="F77" s="8" t="s">
        <v>15546</v>
      </c>
    </row>
    <row r="78" s="2" customFormat="1" ht="18" customHeight="1" spans="1:6">
      <c r="A78" s="6">
        <v>77</v>
      </c>
      <c r="B78" s="8" t="s">
        <v>15543</v>
      </c>
      <c r="C78" s="8" t="s">
        <v>15544</v>
      </c>
      <c r="D78" s="8" t="s">
        <v>15545</v>
      </c>
      <c r="E78" s="8" t="s">
        <v>261</v>
      </c>
      <c r="F78" s="8" t="s">
        <v>15546</v>
      </c>
    </row>
    <row r="79" s="2" customFormat="1" ht="18" customHeight="1" spans="1:6">
      <c r="A79" s="6">
        <v>78</v>
      </c>
      <c r="B79" s="8" t="s">
        <v>15543</v>
      </c>
      <c r="C79" s="8" t="s">
        <v>15544</v>
      </c>
      <c r="D79" s="8" t="s">
        <v>15545</v>
      </c>
      <c r="E79" s="8" t="s">
        <v>261</v>
      </c>
      <c r="F79" s="8" t="s">
        <v>15546</v>
      </c>
    </row>
    <row r="80" s="2" customFormat="1" ht="18" customHeight="1" spans="1:6">
      <c r="A80" s="6">
        <v>79</v>
      </c>
      <c r="B80" s="7" t="str">
        <f t="shared" ref="B80:B82" si="24">"978-7-5439-8361-8"</f>
        <v>978-7-5439-8361-8</v>
      </c>
      <c r="C80" s="7" t="str">
        <f t="shared" ref="C80:C82" si="25">"量子宇宙：只要可能都会发生"</f>
        <v>量子宇宙：只要可能都会发生</v>
      </c>
      <c r="D80" s="7" t="str">
        <f t="shared" ref="D80:D82" si="26">"(英) 布莱恩·考克斯， 杰夫·福修著Brain Cox， Jeff Forshaw；王一帆译"</f>
        <v>(英) 布莱恩·考克斯， 杰夫·福修著Brain Cox， Jeff Forshaw；王一帆译</v>
      </c>
      <c r="E80" s="7" t="str">
        <f t="shared" ref="E80:E82" si="27">"上海科学技术文献出版社"</f>
        <v>上海科学技术文献出版社</v>
      </c>
      <c r="F80" s="7" t="str">
        <f t="shared" ref="F80:F82" si="28">"P159/49.2"</f>
        <v>P159/49.2</v>
      </c>
    </row>
    <row r="81" s="2" customFormat="1" ht="18" customHeight="1" spans="1:6">
      <c r="A81" s="6">
        <v>80</v>
      </c>
      <c r="B81" s="7" t="str">
        <f t="shared" si="24"/>
        <v>978-7-5439-8361-8</v>
      </c>
      <c r="C81" s="7" t="str">
        <f t="shared" si="25"/>
        <v>量子宇宙：只要可能都会发生</v>
      </c>
      <c r="D81" s="7" t="str">
        <f t="shared" si="26"/>
        <v>(英) 布莱恩·考克斯， 杰夫·福修著Brain Cox， Jeff Forshaw；王一帆译</v>
      </c>
      <c r="E81" s="7" t="str">
        <f t="shared" si="27"/>
        <v>上海科学技术文献出版社</v>
      </c>
      <c r="F81" s="7" t="str">
        <f t="shared" si="28"/>
        <v>P159/49.2</v>
      </c>
    </row>
    <row r="82" s="2" customFormat="1" ht="18" customHeight="1" spans="1:6">
      <c r="A82" s="6">
        <v>81</v>
      </c>
      <c r="B82" s="7" t="str">
        <f t="shared" si="24"/>
        <v>978-7-5439-8361-8</v>
      </c>
      <c r="C82" s="7" t="str">
        <f t="shared" si="25"/>
        <v>量子宇宙：只要可能都会发生</v>
      </c>
      <c r="D82" s="7" t="str">
        <f t="shared" si="26"/>
        <v>(英) 布莱恩·考克斯， 杰夫·福修著Brain Cox， Jeff Forshaw；王一帆译</v>
      </c>
      <c r="E82" s="7" t="str">
        <f t="shared" si="27"/>
        <v>上海科学技术文献出版社</v>
      </c>
      <c r="F82" s="7" t="str">
        <f t="shared" si="28"/>
        <v>P159/49.2</v>
      </c>
    </row>
    <row r="83" s="2" customFormat="1" ht="18" customHeight="1" spans="1:6">
      <c r="A83" s="6">
        <v>82</v>
      </c>
      <c r="B83" s="7" t="str">
        <f>"978-7-5349-9974-1"</f>
        <v>978-7-5349-9974-1</v>
      </c>
      <c r="C83" s="7" t="str">
        <f>"宇宙的结构"</f>
        <v>宇宙的结构</v>
      </c>
      <c r="D83" s="7" t="str">
        <f>"(特立尼达和多巴哥共和国) 斯蒂芬·亚历山大著；符玥译"</f>
        <v>(特立尼达和多巴哥共和国) 斯蒂芬·亚历山大著；符玥译</v>
      </c>
      <c r="E83" s="7" t="str">
        <f>"河南科学技术出版社"</f>
        <v>河南科学技术出版社</v>
      </c>
      <c r="F83" s="7" t="str">
        <f>"P159-49/78"</f>
        <v>P159-49/78</v>
      </c>
    </row>
    <row r="84" s="2" customFormat="1" ht="18" customHeight="1" spans="1:6">
      <c r="A84" s="6">
        <v>83</v>
      </c>
      <c r="B84" s="7" t="str">
        <f>"978-7-5349-9974-1"</f>
        <v>978-7-5349-9974-1</v>
      </c>
      <c r="C84" s="7" t="str">
        <f>"宇宙的结构"</f>
        <v>宇宙的结构</v>
      </c>
      <c r="D84" s="7" t="str">
        <f>"(特立尼达和多巴哥共和国) 斯蒂芬·亚历山大著；符玥译"</f>
        <v>(特立尼达和多巴哥共和国) 斯蒂芬·亚历山大著；符玥译</v>
      </c>
      <c r="E84" s="7" t="str">
        <f>"河南科学技术出版社"</f>
        <v>河南科学技术出版社</v>
      </c>
      <c r="F84" s="7" t="str">
        <f>"P159-49/78"</f>
        <v>P159-49/78</v>
      </c>
    </row>
    <row r="85" s="2" customFormat="1" ht="18" customHeight="1" spans="1:6">
      <c r="A85" s="6">
        <v>84</v>
      </c>
      <c r="B85" s="7" t="str">
        <f>"978-7-5217-2040-2"</f>
        <v>978-7-5217-2040-2</v>
      </c>
      <c r="C85" s="7" t="str">
        <f>"地图3000年：从神秘符号到谷歌地图"</f>
        <v>地图3000年：从神秘符号到谷歌地图</v>
      </c>
      <c r="D85" s="7" t="str">
        <f>"(挪) 托马斯·伯格著；张佳静译"</f>
        <v>(挪) 托马斯·伯格著；张佳静译</v>
      </c>
      <c r="E85" s="7" t="str">
        <f>"中信出版集团股份有限公司"</f>
        <v>中信出版集团股份有限公司</v>
      </c>
      <c r="F85" s="7" t="str">
        <f>"P28-091/3"</f>
        <v>P28-091/3</v>
      </c>
    </row>
    <row r="86" s="2" customFormat="1" ht="18" customHeight="1" spans="1:6">
      <c r="A86" s="6">
        <v>85</v>
      </c>
      <c r="B86" s="7" t="str">
        <f>"978-7-5217-2040-2"</f>
        <v>978-7-5217-2040-2</v>
      </c>
      <c r="C86" s="7" t="str">
        <f>"地图3000年：从神秘符号到谷歌地图"</f>
        <v>地图3000年：从神秘符号到谷歌地图</v>
      </c>
      <c r="D86" s="7" t="str">
        <f>"(挪) 托马斯·伯格著；张佳静译"</f>
        <v>(挪) 托马斯·伯格著；张佳静译</v>
      </c>
      <c r="E86" s="7" t="str">
        <f>"中信出版集团股份有限公司"</f>
        <v>中信出版集团股份有限公司</v>
      </c>
      <c r="F86" s="7" t="str">
        <f>"P28-091/3"</f>
        <v>P28-091/3</v>
      </c>
    </row>
    <row r="87" s="2" customFormat="1" ht="18" customHeight="1" spans="1:6">
      <c r="A87" s="6">
        <v>86</v>
      </c>
      <c r="B87" s="7" t="str">
        <f>"978-7-121-41085-7"</f>
        <v>978-7-121-41085-7</v>
      </c>
      <c r="C87" s="7" t="str">
        <f>"天文学百科"</f>
        <v>天文学百科</v>
      </c>
      <c r="D87" s="7" t="str">
        <f>"英国DK出版社著；李海宁译"</f>
        <v>英国DK出版社著；李海宁译</v>
      </c>
      <c r="E87" s="7" t="str">
        <f>"电子工业出版社"</f>
        <v>电子工业出版社</v>
      </c>
      <c r="F87" s="7" t="str">
        <f>"P1-49/40"</f>
        <v>P1-49/40</v>
      </c>
    </row>
    <row r="88" s="2" customFormat="1" ht="18" customHeight="1" spans="1:6">
      <c r="A88" s="6">
        <v>87</v>
      </c>
      <c r="B88" s="7" t="str">
        <f>"978-7-5057-5123-1"</f>
        <v>978-7-5057-5123-1</v>
      </c>
      <c r="C88" s="7" t="str">
        <f>"月亮：艺术， 科学与文化：art， science， culture"</f>
        <v>月亮：艺术， 科学与文化：art， science， culture</v>
      </c>
      <c r="D88" s="7" t="str">
        <f>"(英) 罗伯特·梅西， 亚历山德拉·洛斯克著；吴冬月译"</f>
        <v>(英) 罗伯特·梅西， 亚历山德拉·洛斯克著；吴冬月译</v>
      </c>
      <c r="E88" s="7" t="str">
        <f>"中国友谊出版公司"</f>
        <v>中国友谊出版公司</v>
      </c>
      <c r="F88" s="7" t="str">
        <f>"P184-49/6"</f>
        <v>P184-49/6</v>
      </c>
    </row>
    <row r="89" s="2" customFormat="1" ht="18" customHeight="1" spans="1:6">
      <c r="A89" s="6">
        <v>88</v>
      </c>
      <c r="B89" s="7" t="str">
        <f>"978-7-5057-5123-1"</f>
        <v>978-7-5057-5123-1</v>
      </c>
      <c r="C89" s="7" t="str">
        <f>"月亮：艺术， 科学与文化：art， science， culture"</f>
        <v>月亮：艺术， 科学与文化：art， science， culture</v>
      </c>
      <c r="D89" s="7" t="str">
        <f>"(英) 罗伯特·梅西， 亚历山德拉·洛斯克著；吴冬月译"</f>
        <v>(英) 罗伯特·梅西， 亚历山德拉·洛斯克著；吴冬月译</v>
      </c>
      <c r="E89" s="7" t="str">
        <f>"中国友谊出版公司"</f>
        <v>中国友谊出版公司</v>
      </c>
      <c r="F89" s="7" t="str">
        <f>"P184-49/6"</f>
        <v>P184-49/6</v>
      </c>
    </row>
    <row r="90" s="2" customFormat="1" ht="18" customHeight="1" spans="1:6">
      <c r="A90" s="6">
        <v>89</v>
      </c>
      <c r="B90" s="7" t="str">
        <f>"978-7-5596-4599-9"</f>
        <v>978-7-5596-4599-9</v>
      </c>
      <c r="C90" s="7" t="str">
        <f>"宇宙大历史"</f>
        <v>宇宙大历史</v>
      </c>
      <c r="D90" s="7" t="str">
        <f>"(德) 哈拉尔德·莱施， 约瑟夫·M. 加斯纳著Harald Lesch， Josef M. Gabner；郭瀚译"</f>
        <v>(德) 哈拉尔德·莱施， 约瑟夫·M. 加斯纳著Harald Lesch， Josef M. Gabner；郭瀚译</v>
      </c>
      <c r="E90" s="7" t="str">
        <f>"北京联合出版公司"</f>
        <v>北京联合出版公司</v>
      </c>
      <c r="F90" s="7" t="str">
        <f>"P159-49/79"</f>
        <v>P159-49/79</v>
      </c>
    </row>
    <row r="91" s="2" customFormat="1" ht="18" customHeight="1" spans="1:6">
      <c r="A91" s="6">
        <v>90</v>
      </c>
      <c r="B91" s="7" t="str">
        <f>"978-7-5596-4599-9"</f>
        <v>978-7-5596-4599-9</v>
      </c>
      <c r="C91" s="7" t="str">
        <f>"宇宙大历史"</f>
        <v>宇宙大历史</v>
      </c>
      <c r="D91" s="7" t="str">
        <f>"(德) 哈拉尔德·莱施， 约瑟夫·M. 加斯纳著Harald Lesch， Josef M. Gabner；郭瀚译"</f>
        <v>(德) 哈拉尔德·莱施， 约瑟夫·M. 加斯纳著Harald Lesch， Josef M. Gabner；郭瀚译</v>
      </c>
      <c r="E91" s="7" t="str">
        <f>"北京联合出版公司"</f>
        <v>北京联合出版公司</v>
      </c>
      <c r="F91" s="7" t="str">
        <f>"P159-49/79"</f>
        <v>P159-49/79</v>
      </c>
    </row>
    <row r="92" s="2" customFormat="1" ht="18" customHeight="1" spans="1:6">
      <c r="A92" s="6">
        <v>91</v>
      </c>
      <c r="B92" s="7" t="str">
        <f>"978-7-313-24949-4"</f>
        <v>978-7-313-24949-4</v>
      </c>
      <c r="C92" s="7" t="str">
        <f>"雪龙探极：新中国极地事业发展史"</f>
        <v>雪龙探极：新中国极地事业发展史</v>
      </c>
      <c r="D92" s="7" t="str">
        <f>"黄庆桥编著"</f>
        <v>黄庆桥编著</v>
      </c>
      <c r="E92" s="7" t="str">
        <f>"上海交通大学出版社"</f>
        <v>上海交通大学出版社</v>
      </c>
      <c r="F92" s="7" t="str">
        <f>"P941.6/4"</f>
        <v>P941.6/4</v>
      </c>
    </row>
    <row r="93" s="2" customFormat="1" ht="18" customHeight="1" spans="1:6">
      <c r="A93" s="6">
        <v>92</v>
      </c>
      <c r="B93" s="7" t="str">
        <f>"978-7-313-24949-4"</f>
        <v>978-7-313-24949-4</v>
      </c>
      <c r="C93" s="7" t="str">
        <f>"雪龙探极：新中国极地事业发展史"</f>
        <v>雪龙探极：新中国极地事业发展史</v>
      </c>
      <c r="D93" s="7" t="str">
        <f>"黄庆桥编著"</f>
        <v>黄庆桥编著</v>
      </c>
      <c r="E93" s="7" t="str">
        <f>"上海交通大学出版社"</f>
        <v>上海交通大学出版社</v>
      </c>
      <c r="F93" s="7" t="str">
        <f>"P941.6/4"</f>
        <v>P941.6/4</v>
      </c>
    </row>
    <row r="94" s="2" customFormat="1" ht="18" customHeight="1" spans="1:6">
      <c r="A94" s="6">
        <v>93</v>
      </c>
      <c r="B94" s="7" t="str">
        <f>"978-7-115-56563-1"</f>
        <v>978-7-115-56563-1</v>
      </c>
      <c r="C94" s="7" t="str">
        <f>"星空帝国：中国古代星宿揭秘"</f>
        <v>星空帝国：中国古代星宿揭秘</v>
      </c>
      <c r="D94" s="7" t="str">
        <f>"徐刚， 王燕平著"</f>
        <v>徐刚， 王燕平著</v>
      </c>
      <c r="E94" s="7" t="str">
        <f>"人民邮电出版社"</f>
        <v>人民邮电出版社</v>
      </c>
      <c r="F94" s="7" t="str">
        <f>"P151/1=2D"</f>
        <v>P151/1=2D</v>
      </c>
    </row>
    <row r="95" s="2" customFormat="1" ht="18" customHeight="1" spans="1:6">
      <c r="A95" s="6">
        <v>94</v>
      </c>
      <c r="B95" s="7" t="str">
        <f>"978-7-115-56563-1"</f>
        <v>978-7-115-56563-1</v>
      </c>
      <c r="C95" s="7" t="str">
        <f>"星空帝国：中国古代星宿揭秘"</f>
        <v>星空帝国：中国古代星宿揭秘</v>
      </c>
      <c r="D95" s="7" t="str">
        <f>"徐刚， 王燕平著"</f>
        <v>徐刚， 王燕平著</v>
      </c>
      <c r="E95" s="7" t="str">
        <f>"人民邮电出版社"</f>
        <v>人民邮电出版社</v>
      </c>
      <c r="F95" s="7" t="str">
        <f>"P151/1=2D"</f>
        <v>P151/1=2D</v>
      </c>
    </row>
    <row r="96" s="2" customFormat="1" ht="18" customHeight="1" spans="1:6">
      <c r="A96" s="6">
        <v>95</v>
      </c>
      <c r="B96" s="7" t="str">
        <f>"978-7-5325-9136-7"</f>
        <v>978-7-5325-9136-7</v>
      </c>
      <c r="C96" s="7" t="str">
        <f>"中国古代纪时考"</f>
        <v>中国古代纪时考</v>
      </c>
      <c r="D96" s="7" t="str">
        <f>"张衍田著"</f>
        <v>张衍田著</v>
      </c>
      <c r="E96" s="7" t="str">
        <f>"上海古籍出版社"</f>
        <v>上海古籍出版社</v>
      </c>
      <c r="F96" s="7" t="str">
        <f>"P194.3/7"</f>
        <v>P194.3/7</v>
      </c>
    </row>
    <row r="97" s="2" customFormat="1" ht="18" customHeight="1" spans="1:6">
      <c r="A97" s="6">
        <v>96</v>
      </c>
      <c r="B97" s="7" t="str">
        <f>"978-7-5325-9136-7"</f>
        <v>978-7-5325-9136-7</v>
      </c>
      <c r="C97" s="7" t="str">
        <f>"中国古代纪时考"</f>
        <v>中国古代纪时考</v>
      </c>
      <c r="D97" s="7" t="str">
        <f>"张衍田著"</f>
        <v>张衍田著</v>
      </c>
      <c r="E97" s="7" t="str">
        <f>"上海古籍出版社"</f>
        <v>上海古籍出版社</v>
      </c>
      <c r="F97" s="7" t="str">
        <f>"P194.3/7"</f>
        <v>P194.3/7</v>
      </c>
    </row>
    <row r="98" s="2" customFormat="1" ht="18" customHeight="1" spans="1:6">
      <c r="A98" s="6">
        <v>97</v>
      </c>
      <c r="B98" s="8" t="s">
        <v>15547</v>
      </c>
      <c r="C98" s="8" t="s">
        <v>15548</v>
      </c>
      <c r="D98" s="8" t="s">
        <v>15549</v>
      </c>
      <c r="E98" s="8" t="s">
        <v>298</v>
      </c>
      <c r="F98" s="8" t="s">
        <v>15550</v>
      </c>
    </row>
    <row r="99" s="2" customFormat="1" ht="18" customHeight="1" spans="1:6">
      <c r="A99" s="6">
        <v>98</v>
      </c>
      <c r="B99" s="8" t="s">
        <v>15547</v>
      </c>
      <c r="C99" s="8" t="s">
        <v>15548</v>
      </c>
      <c r="D99" s="8" t="s">
        <v>15549</v>
      </c>
      <c r="E99" s="8" t="s">
        <v>298</v>
      </c>
      <c r="F99" s="8" t="s">
        <v>15550</v>
      </c>
    </row>
    <row r="100" s="2" customFormat="1" ht="18" customHeight="1" spans="1:6">
      <c r="A100" s="6">
        <v>99</v>
      </c>
      <c r="B100" s="8" t="s">
        <v>15551</v>
      </c>
      <c r="C100" s="8" t="s">
        <v>15552</v>
      </c>
      <c r="D100" s="8" t="s">
        <v>15553</v>
      </c>
      <c r="E100" s="8" t="s">
        <v>15554</v>
      </c>
      <c r="F100" s="8" t="s">
        <v>15555</v>
      </c>
    </row>
    <row r="101" s="2" customFormat="1" ht="18" customHeight="1" spans="1:6">
      <c r="A101" s="6">
        <v>100</v>
      </c>
      <c r="B101" s="8" t="s">
        <v>15551</v>
      </c>
      <c r="C101" s="8" t="s">
        <v>15552</v>
      </c>
      <c r="D101" s="8" t="s">
        <v>15553</v>
      </c>
      <c r="E101" s="8" t="s">
        <v>15554</v>
      </c>
      <c r="F101" s="8" t="s">
        <v>15555</v>
      </c>
    </row>
    <row r="102" s="2" customFormat="1" ht="18" customHeight="1" spans="1:6">
      <c r="A102" s="6">
        <v>101</v>
      </c>
      <c r="B102" s="8" t="s">
        <v>15556</v>
      </c>
      <c r="C102" s="8" t="s">
        <v>15557</v>
      </c>
      <c r="D102" s="8" t="s">
        <v>15558</v>
      </c>
      <c r="E102" s="8" t="s">
        <v>298</v>
      </c>
      <c r="F102" s="8" t="s">
        <v>15559</v>
      </c>
    </row>
    <row r="103" s="2" customFormat="1" ht="18" customHeight="1" spans="1:6">
      <c r="A103" s="6">
        <v>102</v>
      </c>
      <c r="B103" s="8" t="s">
        <v>15556</v>
      </c>
      <c r="C103" s="8" t="s">
        <v>15557</v>
      </c>
      <c r="D103" s="8" t="s">
        <v>15558</v>
      </c>
      <c r="E103" s="8" t="s">
        <v>298</v>
      </c>
      <c r="F103" s="8" t="s">
        <v>15559</v>
      </c>
    </row>
    <row r="104" s="2" customFormat="1" ht="18" customHeight="1" spans="1:6">
      <c r="A104" s="6">
        <v>103</v>
      </c>
      <c r="B104" s="8" t="s">
        <v>15560</v>
      </c>
      <c r="C104" s="8" t="s">
        <v>15561</v>
      </c>
      <c r="D104" s="8" t="s">
        <v>15562</v>
      </c>
      <c r="E104" s="8" t="s">
        <v>298</v>
      </c>
      <c r="F104" s="8" t="s">
        <v>15563</v>
      </c>
    </row>
    <row r="105" s="2" customFormat="1" ht="18" customHeight="1" spans="1:6">
      <c r="A105" s="6">
        <v>104</v>
      </c>
      <c r="B105" s="8" t="s">
        <v>15560</v>
      </c>
      <c r="C105" s="8" t="s">
        <v>15561</v>
      </c>
      <c r="D105" s="8" t="s">
        <v>15562</v>
      </c>
      <c r="E105" s="8" t="s">
        <v>298</v>
      </c>
      <c r="F105" s="8" t="s">
        <v>15563</v>
      </c>
    </row>
    <row r="106" s="2" customFormat="1" ht="18" customHeight="1" spans="1:6">
      <c r="A106" s="6">
        <v>105</v>
      </c>
      <c r="B106" s="7" t="str">
        <f>"978-7-5691-0346-5"</f>
        <v>978-7-5691-0346-5</v>
      </c>
      <c r="C106" s="7" t="str">
        <f>"复杂生命的起源"</f>
        <v>复杂生命的起源</v>
      </c>
      <c r="D106" s="7" t="str">
        <f>"(英) 尼克·莱恩著Nick Lane；严曦译"</f>
        <v>(英) 尼克·莱恩著Nick Lane；严曦译</v>
      </c>
      <c r="E106" s="7" t="str">
        <f>"贵州大学出版社"</f>
        <v>贵州大学出版社</v>
      </c>
      <c r="F106" s="7" t="str">
        <f>"Q10/7"</f>
        <v>Q10/7</v>
      </c>
    </row>
    <row r="107" s="2" customFormat="1" ht="18" customHeight="1" spans="1:6">
      <c r="A107" s="6">
        <v>106</v>
      </c>
      <c r="B107" s="7" t="str">
        <f>"978-7-5691-0346-5"</f>
        <v>978-7-5691-0346-5</v>
      </c>
      <c r="C107" s="7" t="str">
        <f>"复杂生命的起源"</f>
        <v>复杂生命的起源</v>
      </c>
      <c r="D107" s="7" t="str">
        <f>"(英) 尼克·莱恩著Nick Lane；严曦译"</f>
        <v>(英) 尼克·莱恩著Nick Lane；严曦译</v>
      </c>
      <c r="E107" s="7" t="str">
        <f>"贵州大学出版社"</f>
        <v>贵州大学出版社</v>
      </c>
      <c r="F107" s="7" t="str">
        <f>"Q10/7"</f>
        <v>Q10/7</v>
      </c>
    </row>
    <row r="108" s="2" customFormat="1" ht="18" customHeight="1" spans="1:6">
      <c r="A108" s="6">
        <v>107</v>
      </c>
      <c r="B108" s="7" t="str">
        <f>"978-7-111-49369-3"</f>
        <v>978-7-111-49369-3</v>
      </c>
      <c r="C108" s="7" t="str">
        <f>"基因革命：跑步、牛奶、童年经历如何改变我们的基因：how our genes change our lives， and our lives change our genes"</f>
        <v>基因革命：跑步、牛奶、童年经历如何改变我们的基因：how our genes change our lives， and our lives change our genes</v>
      </c>
      <c r="D108" s="7" t="str">
        <f>"沙伦·莫勒姆等著Sharon Moalem；杨涛， 吴荆卉译"</f>
        <v>沙伦·莫勒姆等著Sharon Moalem；杨涛， 吴荆卉译</v>
      </c>
      <c r="E108" s="7" t="str">
        <f>"机械工业出版社"</f>
        <v>机械工业出版社</v>
      </c>
      <c r="F108" s="7" t="str">
        <f>"Q343.1/26"</f>
        <v>Q343.1/26</v>
      </c>
    </row>
    <row r="109" s="2" customFormat="1" ht="18" customHeight="1" spans="1:6">
      <c r="A109" s="6">
        <v>108</v>
      </c>
      <c r="B109" s="7" t="str">
        <f>"978-7-111-49369-3"</f>
        <v>978-7-111-49369-3</v>
      </c>
      <c r="C109" s="7" t="str">
        <f>"基因革命：跑步、牛奶、童年经历如何改变我们的基因：how our genes change our lives， and our lives change our genes"</f>
        <v>基因革命：跑步、牛奶、童年经历如何改变我们的基因：how our genes change our lives， and our lives change our genes</v>
      </c>
      <c r="D109" s="7" t="str">
        <f>"沙伦·莫勒姆等著Sharon Moalem；杨涛， 吴荆卉译"</f>
        <v>沙伦·莫勒姆等著Sharon Moalem；杨涛， 吴荆卉译</v>
      </c>
      <c r="E109" s="7" t="str">
        <f>"机械工业出版社"</f>
        <v>机械工业出版社</v>
      </c>
      <c r="F109" s="7" t="str">
        <f>"Q343.1/26"</f>
        <v>Q343.1/26</v>
      </c>
    </row>
    <row r="110" s="2" customFormat="1" ht="18" customHeight="1" spans="1:6">
      <c r="A110" s="6">
        <v>109</v>
      </c>
      <c r="B110" s="7" t="str">
        <f t="shared" ref="B110:B112" si="29">"978-7-229-07621-4"</f>
        <v>978-7-229-07621-4</v>
      </c>
      <c r="C110" s="7" t="str">
        <f t="shared" ref="C110:C112" si="30">"物种起源"</f>
        <v>物种起源</v>
      </c>
      <c r="D110" s="7" t="str">
        <f t="shared" ref="D110:D112" si="31">"(英) 查理·达尔文著；何滟编译"</f>
        <v>(英) 查理·达尔文著；何滟编译</v>
      </c>
      <c r="E110" s="7" t="str">
        <f t="shared" ref="E110:E112" si="32">"重庆出版社"</f>
        <v>重庆出版社</v>
      </c>
      <c r="F110" s="7" t="str">
        <f t="shared" ref="F110:F112" si="33">"Q111.2/34.2=3D"</f>
        <v>Q111.2/34.2=3D</v>
      </c>
    </row>
    <row r="111" s="2" customFormat="1" ht="18" customHeight="1" spans="1:6">
      <c r="A111" s="6">
        <v>110</v>
      </c>
      <c r="B111" s="7" t="str">
        <f t="shared" si="29"/>
        <v>978-7-229-07621-4</v>
      </c>
      <c r="C111" s="7" t="str">
        <f t="shared" si="30"/>
        <v>物种起源</v>
      </c>
      <c r="D111" s="7" t="str">
        <f t="shared" si="31"/>
        <v>(英) 查理·达尔文著；何滟编译</v>
      </c>
      <c r="E111" s="7" t="str">
        <f t="shared" si="32"/>
        <v>重庆出版社</v>
      </c>
      <c r="F111" s="7" t="str">
        <f t="shared" si="33"/>
        <v>Q111.2/34.2=3D</v>
      </c>
    </row>
    <row r="112" s="2" customFormat="1" ht="18" customHeight="1" spans="1:6">
      <c r="A112" s="6">
        <v>111</v>
      </c>
      <c r="B112" s="7" t="str">
        <f t="shared" si="29"/>
        <v>978-7-229-07621-4</v>
      </c>
      <c r="C112" s="7" t="str">
        <f t="shared" si="30"/>
        <v>物种起源</v>
      </c>
      <c r="D112" s="7" t="str">
        <f t="shared" si="31"/>
        <v>(英) 查理·达尔文著；何滟编译</v>
      </c>
      <c r="E112" s="7" t="str">
        <f t="shared" si="32"/>
        <v>重庆出版社</v>
      </c>
      <c r="F112" s="7" t="str">
        <f t="shared" si="33"/>
        <v>Q111.2/34.2=3D</v>
      </c>
    </row>
    <row r="113" s="2" customFormat="1" ht="18" customHeight="1" spans="1:6">
      <c r="A113" s="6">
        <v>112</v>
      </c>
      <c r="B113" s="7" t="str">
        <f>"978-7-5329-6337-9"</f>
        <v>978-7-5329-6337-9</v>
      </c>
      <c r="C113" s="7" t="str">
        <f>"西方生态美学史"</f>
        <v>西方生态美学史</v>
      </c>
      <c r="D113" s="7" t="str">
        <f>"程相占等著"</f>
        <v>程相占等著</v>
      </c>
      <c r="E113" s="7" t="str">
        <f>"山东文艺出版社"</f>
        <v>山东文艺出版社</v>
      </c>
      <c r="F113" s="7" t="str">
        <f>"Q14-05/2"</f>
        <v>Q14-05/2</v>
      </c>
    </row>
    <row r="114" s="2" customFormat="1" ht="18" customHeight="1" spans="1:6">
      <c r="A114" s="6">
        <v>113</v>
      </c>
      <c r="B114" s="10" t="str">
        <f>"978-7-5329-6337-9"</f>
        <v>978-7-5329-6337-9</v>
      </c>
      <c r="C114" s="10" t="str">
        <f>"西方生态美学史"</f>
        <v>西方生态美学史</v>
      </c>
      <c r="D114" s="10" t="str">
        <f>"程相占等著"</f>
        <v>程相占等著</v>
      </c>
      <c r="E114" s="10" t="str">
        <f>"山东文艺出版社"</f>
        <v>山东文艺出版社</v>
      </c>
      <c r="F114" s="10" t="str">
        <f>"Q14-05/2"</f>
        <v>Q14-05/2</v>
      </c>
    </row>
    <row r="115" s="2" customFormat="1" ht="18" customHeight="1" spans="1:6">
      <c r="A115" s="6">
        <v>114</v>
      </c>
      <c r="B115" s="10" t="str">
        <f>"978-7-5727-0161-0"</f>
        <v>978-7-5727-0161-0</v>
      </c>
      <c r="C115" s="10" t="str">
        <f>"哪些神经科学新发现即将改变世界"</f>
        <v>哪些神经科学新发现即将改变世界</v>
      </c>
      <c r="D115" s="10" t="str">
        <f>"(美) 盖瑞·马库斯， 杰里米·弗里曼编著Gary Marcus， Jeremy Freeman；黄珏苹译"</f>
        <v>(美) 盖瑞·马库斯， 杰里米·弗里曼编著Gary Marcus， Jeremy Freeman；黄珏苹译</v>
      </c>
      <c r="E115" s="10" t="str">
        <f>"四川科学技术出版社"</f>
        <v>四川科学技术出版社</v>
      </c>
      <c r="F115" s="10" t="str">
        <f>"Q189/6"</f>
        <v>Q189/6</v>
      </c>
    </row>
    <row r="116" s="2" customFormat="1" ht="18" customHeight="1" spans="1:6">
      <c r="A116" s="6">
        <v>115</v>
      </c>
      <c r="B116" s="10" t="str">
        <f>"978-7-5727-0161-0"</f>
        <v>978-7-5727-0161-0</v>
      </c>
      <c r="C116" s="10" t="str">
        <f>"哪些神经科学新发现即将改变世界"</f>
        <v>哪些神经科学新发现即将改变世界</v>
      </c>
      <c r="D116" s="10" t="str">
        <f>"(美) 盖瑞·马库斯， 杰里米·弗里曼编著Gary Marcus， Jeremy Freeman；黄珏苹译"</f>
        <v>(美) 盖瑞·马库斯， 杰里米·弗里曼编著Gary Marcus， Jeremy Freeman；黄珏苹译</v>
      </c>
      <c r="E116" s="10" t="str">
        <f>"四川科学技术出版社"</f>
        <v>四川科学技术出版社</v>
      </c>
      <c r="F116" s="10" t="str">
        <f>"Q189/6"</f>
        <v>Q189/6</v>
      </c>
    </row>
    <row r="117" s="2" customFormat="1" ht="18" customHeight="1" spans="1:6">
      <c r="A117" s="6">
        <v>116</v>
      </c>
      <c r="B117" s="10" t="str">
        <f t="shared" ref="B117:B119" si="34">"978-7-108-05158-5"</f>
        <v>978-7-108-05158-5</v>
      </c>
      <c r="C117" s="10" t="str">
        <f t="shared" ref="C117:C119" si="35">"猿形毕露：从猩猩看人类的权力、暴力、爱与性"</f>
        <v>猿形毕露：从猩猩看人类的权力、暴力、爱与性</v>
      </c>
      <c r="D117" s="10" t="str">
        <f t="shared" ref="D117:D119" si="36">"(美) 弗朗斯·德瓦尔著；陈信宏译"</f>
        <v>(美) 弗朗斯·德瓦尔著；陈信宏译</v>
      </c>
      <c r="E117" s="10" t="str">
        <f t="shared" ref="E117:E119" si="37">"三联书店"</f>
        <v>三联书店</v>
      </c>
      <c r="F117" s="10" t="str">
        <f t="shared" ref="F117:F119" si="38">"Q98/67"</f>
        <v>Q98/67</v>
      </c>
    </row>
    <row r="118" s="2" customFormat="1" ht="18" customHeight="1" spans="1:6">
      <c r="A118" s="6">
        <v>117</v>
      </c>
      <c r="B118" s="10" t="str">
        <f t="shared" si="34"/>
        <v>978-7-108-05158-5</v>
      </c>
      <c r="C118" s="10" t="str">
        <f t="shared" si="35"/>
        <v>猿形毕露：从猩猩看人类的权力、暴力、爱与性</v>
      </c>
      <c r="D118" s="10" t="str">
        <f t="shared" si="36"/>
        <v>(美) 弗朗斯·德瓦尔著；陈信宏译</v>
      </c>
      <c r="E118" s="10" t="str">
        <f t="shared" si="37"/>
        <v>三联书店</v>
      </c>
      <c r="F118" s="10" t="str">
        <f t="shared" si="38"/>
        <v>Q98/67</v>
      </c>
    </row>
    <row r="119" s="2" customFormat="1" ht="18" customHeight="1" spans="1:6">
      <c r="A119" s="6">
        <v>118</v>
      </c>
      <c r="B119" s="10" t="str">
        <f t="shared" si="34"/>
        <v>978-7-108-05158-5</v>
      </c>
      <c r="C119" s="10" t="str">
        <f t="shared" si="35"/>
        <v>猿形毕露：从猩猩看人类的权力、暴力、爱与性</v>
      </c>
      <c r="D119" s="10" t="str">
        <f t="shared" si="36"/>
        <v>(美) 弗朗斯·德瓦尔著；陈信宏译</v>
      </c>
      <c r="E119" s="10" t="str">
        <f t="shared" si="37"/>
        <v>三联书店</v>
      </c>
      <c r="F119" s="10" t="str">
        <f t="shared" si="38"/>
        <v>Q98/67</v>
      </c>
    </row>
    <row r="120" s="2" customFormat="1" ht="18" customHeight="1" spans="1:6">
      <c r="A120" s="6">
        <v>119</v>
      </c>
      <c r="B120" s="10" t="str">
        <f t="shared" ref="B120:B122" si="39">"978-7-108-06161-4"</f>
        <v>978-7-108-06161-4</v>
      </c>
      <c r="C120" s="10" t="str">
        <f t="shared" ref="C120:C122" si="40">"绿色宝藏：英国皇家植物园史话"</f>
        <v>绿色宝藏：英国皇家植物园史话</v>
      </c>
      <c r="D120" s="10" t="str">
        <f t="shared" ref="D120:D122" si="41">"(英) 凯茜·威利斯， 卡罗琳·弗里著；珍栎译"</f>
        <v>(英) 凯茜·威利斯， 卡罗琳·弗里著；珍栎译</v>
      </c>
      <c r="E120" s="10" t="str">
        <f t="shared" ref="E120:E122" si="42">"生活·读书·新知三联书店"</f>
        <v>生活·读书·新知三联书店</v>
      </c>
      <c r="F120" s="10" t="str">
        <f t="shared" ref="F120:F122" si="43">"Q94/75"</f>
        <v>Q94/75</v>
      </c>
    </row>
    <row r="121" s="2" customFormat="1" ht="18" customHeight="1" spans="1:6">
      <c r="A121" s="6">
        <v>120</v>
      </c>
      <c r="B121" s="10" t="str">
        <f t="shared" si="39"/>
        <v>978-7-108-06161-4</v>
      </c>
      <c r="C121" s="10" t="str">
        <f t="shared" si="40"/>
        <v>绿色宝藏：英国皇家植物园史话</v>
      </c>
      <c r="D121" s="10" t="str">
        <f t="shared" si="41"/>
        <v>(英) 凯茜·威利斯， 卡罗琳·弗里著；珍栎译</v>
      </c>
      <c r="E121" s="10" t="str">
        <f t="shared" si="42"/>
        <v>生活·读书·新知三联书店</v>
      </c>
      <c r="F121" s="10" t="str">
        <f t="shared" si="43"/>
        <v>Q94/75</v>
      </c>
    </row>
    <row r="122" s="2" customFormat="1" ht="18" customHeight="1" spans="1:6">
      <c r="A122" s="6">
        <v>121</v>
      </c>
      <c r="B122" s="10" t="str">
        <f t="shared" si="39"/>
        <v>978-7-108-06161-4</v>
      </c>
      <c r="C122" s="10" t="str">
        <f t="shared" si="40"/>
        <v>绿色宝藏：英国皇家植物园史话</v>
      </c>
      <c r="D122" s="10" t="str">
        <f t="shared" si="41"/>
        <v>(英) 凯茜·威利斯， 卡罗琳·弗里著；珍栎译</v>
      </c>
      <c r="E122" s="10" t="str">
        <f t="shared" si="42"/>
        <v>生活·读书·新知三联书店</v>
      </c>
      <c r="F122" s="10" t="str">
        <f t="shared" si="43"/>
        <v>Q94/75</v>
      </c>
    </row>
    <row r="123" s="2" customFormat="1" ht="18" customHeight="1" spans="1:6">
      <c r="A123" s="6">
        <v>122</v>
      </c>
      <c r="B123" s="10" t="str">
        <f t="shared" ref="B123:B125" si="44">"978-7-108-07124-8"</f>
        <v>978-7-108-07124-8</v>
      </c>
      <c r="C123" s="10" t="str">
        <f t="shared" ref="C123:C125" si="45">"病毒：是敌人， 更是朋友"</f>
        <v>病毒：是敌人， 更是朋友</v>
      </c>
      <c r="D123" s="10" t="str">
        <f t="shared" ref="D123:D125" si="46">"(德) 卡琳·莫林著；孙薇娜， 孙娜薇， 游辛田译"</f>
        <v>(德) 卡琳·莫林著；孙薇娜， 孙娜薇， 游辛田译</v>
      </c>
      <c r="E123" s="10" t="str">
        <f t="shared" ref="E123:E125" si="47">"三联书店"</f>
        <v>三联书店</v>
      </c>
      <c r="F123" s="10" t="str">
        <f t="shared" ref="F123:F125" si="48">"Q939.4/10"</f>
        <v>Q939.4/10</v>
      </c>
    </row>
    <row r="124" s="2" customFormat="1" ht="18" customHeight="1" spans="1:6">
      <c r="A124" s="6">
        <v>123</v>
      </c>
      <c r="B124" s="10" t="str">
        <f t="shared" si="44"/>
        <v>978-7-108-07124-8</v>
      </c>
      <c r="C124" s="10" t="str">
        <f t="shared" si="45"/>
        <v>病毒：是敌人， 更是朋友</v>
      </c>
      <c r="D124" s="10" t="str">
        <f t="shared" si="46"/>
        <v>(德) 卡琳·莫林著；孙薇娜， 孙娜薇， 游辛田译</v>
      </c>
      <c r="E124" s="10" t="str">
        <f t="shared" si="47"/>
        <v>三联书店</v>
      </c>
      <c r="F124" s="10" t="str">
        <f t="shared" si="48"/>
        <v>Q939.4/10</v>
      </c>
    </row>
    <row r="125" s="2" customFormat="1" ht="18" customHeight="1" spans="1:6">
      <c r="A125" s="6">
        <v>124</v>
      </c>
      <c r="B125" s="10" t="str">
        <f t="shared" si="44"/>
        <v>978-7-108-07124-8</v>
      </c>
      <c r="C125" s="10" t="str">
        <f t="shared" si="45"/>
        <v>病毒：是敌人， 更是朋友</v>
      </c>
      <c r="D125" s="10" t="str">
        <f t="shared" si="46"/>
        <v>(德) 卡琳·莫林著；孙薇娜， 孙娜薇， 游辛田译</v>
      </c>
      <c r="E125" s="10" t="str">
        <f t="shared" si="47"/>
        <v>三联书店</v>
      </c>
      <c r="F125" s="10" t="str">
        <f t="shared" si="48"/>
        <v>Q939.4/10</v>
      </c>
    </row>
    <row r="126" s="2" customFormat="1" ht="18" customHeight="1" spans="1:6">
      <c r="A126" s="6">
        <v>125</v>
      </c>
      <c r="B126" s="10" t="str">
        <f>"978-7-5538-1515-2"</f>
        <v>978-7-5538-1515-2</v>
      </c>
      <c r="C126" s="10" t="str">
        <f>"动物生活史"</f>
        <v>动物生活史</v>
      </c>
      <c r="D126" s="10" t="str">
        <f>"(英) 约翰·亚瑟·汤姆森著John Arthur Thomson；胡学亮译"</f>
        <v>(英) 约翰·亚瑟·汤姆森著John Arthur Thomson；胡学亮译</v>
      </c>
      <c r="E126" s="10" t="str">
        <f>"岳麓书社"</f>
        <v>岳麓书社</v>
      </c>
      <c r="F126" s="10" t="str">
        <f>"Q95-49/120"</f>
        <v>Q95-49/120</v>
      </c>
    </row>
    <row r="127" s="2" customFormat="1" ht="18" customHeight="1" spans="1:6">
      <c r="A127" s="6">
        <v>126</v>
      </c>
      <c r="B127" s="10" t="str">
        <f>"978-7-5538-1515-2"</f>
        <v>978-7-5538-1515-2</v>
      </c>
      <c r="C127" s="10" t="str">
        <f>"动物生活史"</f>
        <v>动物生活史</v>
      </c>
      <c r="D127" s="10" t="str">
        <f>"(英) 约翰·亚瑟·汤姆森著John Arthur Thomson；胡学亮译"</f>
        <v>(英) 约翰·亚瑟·汤姆森著John Arthur Thomson；胡学亮译</v>
      </c>
      <c r="E127" s="10" t="str">
        <f>"岳麓书社"</f>
        <v>岳麓书社</v>
      </c>
      <c r="F127" s="10" t="str">
        <f>"Q95-49/120"</f>
        <v>Q95-49/120</v>
      </c>
    </row>
    <row r="128" s="2" customFormat="1" ht="18" customHeight="1" spans="1:6">
      <c r="A128" s="6">
        <v>127</v>
      </c>
      <c r="B128" s="10" t="str">
        <f>"978-7-5217-3016-6"</f>
        <v>978-7-5217-3016-6</v>
      </c>
      <c r="C128" s="10" t="str">
        <f>"耐药菌小史：the epic battle between people and pathogens"</f>
        <v>耐药菌小史：the epic battle between people and pathogens</v>
      </c>
      <c r="D128" s="10" t="str">
        <f>"(巴基) 穆罕默德·H. 扎曼著；金烨译"</f>
        <v>(巴基) 穆罕默德·H. 扎曼著；金烨译</v>
      </c>
      <c r="E128" s="10" t="str">
        <f>"中信出版集团股份有限公司"</f>
        <v>中信出版集团股份有限公司</v>
      </c>
      <c r="F128" s="10" t="str">
        <f>"Q939.1/8"</f>
        <v>Q939.1/8</v>
      </c>
    </row>
    <row r="129" s="2" customFormat="1" ht="18" customHeight="1" spans="1:6">
      <c r="A129" s="6">
        <v>128</v>
      </c>
      <c r="B129" s="10" t="str">
        <f>"978-7-5217-3016-6"</f>
        <v>978-7-5217-3016-6</v>
      </c>
      <c r="C129" s="10" t="str">
        <f>"耐药菌小史：the epic battle between people and pathogens"</f>
        <v>耐药菌小史：the epic battle between people and pathogens</v>
      </c>
      <c r="D129" s="10" t="str">
        <f>"(巴基) 穆罕默德·H. 扎曼著；金烨译"</f>
        <v>(巴基) 穆罕默德·H. 扎曼著；金烨译</v>
      </c>
      <c r="E129" s="10" t="str">
        <f>"中信出版集团股份有限公司"</f>
        <v>中信出版集团股份有限公司</v>
      </c>
      <c r="F129" s="10" t="str">
        <f>"Q939.1/8"</f>
        <v>Q939.1/8</v>
      </c>
    </row>
    <row r="130" s="2" customFormat="1" ht="18" customHeight="1" spans="1:6">
      <c r="A130" s="6">
        <v>129</v>
      </c>
      <c r="B130" s="10" t="str">
        <f t="shared" ref="B130:B132" si="49">"978-7-5217-1457-9"</f>
        <v>978-7-5217-1457-9</v>
      </c>
      <c r="C130" s="10" t="str">
        <f t="shared" ref="C130:C132" si="50">"法医报告：死亡教会我们什么：a life in death"</f>
        <v>法医报告：死亡教会我们什么：a life in death</v>
      </c>
      <c r="D130" s="10" t="str">
        <f t="shared" ref="D130:D132" si="51">"(英) 苏·布莱克著Sue Black；温雅， 徐诗凌译"</f>
        <v>(英) 苏·布莱克著Sue Black；温雅， 徐诗凌译</v>
      </c>
      <c r="E130" s="10" t="str">
        <f t="shared" ref="E130:E132" si="52">"中信出版集团"</f>
        <v>中信出版集团</v>
      </c>
      <c r="F130" s="10" t="str">
        <f t="shared" ref="F130:F132" si="53">"Q419/3"</f>
        <v>Q419/3</v>
      </c>
    </row>
    <row r="131" s="2" customFormat="1" ht="18" customHeight="1" spans="1:6">
      <c r="A131" s="6">
        <v>130</v>
      </c>
      <c r="B131" s="10" t="str">
        <f t="shared" si="49"/>
        <v>978-7-5217-1457-9</v>
      </c>
      <c r="C131" s="10" t="str">
        <f t="shared" si="50"/>
        <v>法医报告：死亡教会我们什么：a life in death</v>
      </c>
      <c r="D131" s="10" t="str">
        <f t="shared" si="51"/>
        <v>(英) 苏·布莱克著Sue Black；温雅， 徐诗凌译</v>
      </c>
      <c r="E131" s="10" t="str">
        <f t="shared" si="52"/>
        <v>中信出版集团</v>
      </c>
      <c r="F131" s="10" t="str">
        <f t="shared" si="53"/>
        <v>Q419/3</v>
      </c>
    </row>
    <row r="132" s="2" customFormat="1" ht="18" customHeight="1" spans="1:6">
      <c r="A132" s="6">
        <v>131</v>
      </c>
      <c r="B132" s="10" t="str">
        <f t="shared" si="49"/>
        <v>978-7-5217-1457-9</v>
      </c>
      <c r="C132" s="10" t="str">
        <f t="shared" si="50"/>
        <v>法医报告：死亡教会我们什么：a life in death</v>
      </c>
      <c r="D132" s="10" t="str">
        <f t="shared" si="51"/>
        <v>(英) 苏·布莱克著Sue Black；温雅， 徐诗凌译</v>
      </c>
      <c r="E132" s="10" t="str">
        <f t="shared" si="52"/>
        <v>中信出版集团</v>
      </c>
      <c r="F132" s="10" t="str">
        <f t="shared" si="53"/>
        <v>Q419/3</v>
      </c>
    </row>
    <row r="133" s="2" customFormat="1" ht="18" customHeight="1" spans="1:6">
      <c r="A133" s="6">
        <v>132</v>
      </c>
      <c r="B133" s="10" t="str">
        <f>"978-7-5192-7673-7"</f>
        <v>978-7-5192-7673-7</v>
      </c>
      <c r="C133" s="10" t="str">
        <f>"其实你不懂进化论"</f>
        <v>其实你不懂进化论</v>
      </c>
      <c r="D133" s="10" t="str">
        <f>"史钧著"</f>
        <v>史钧著</v>
      </c>
      <c r="E133" s="10" t="str">
        <f>"世界图书出版有限公司北京分公司"</f>
        <v>世界图书出版有限公司北京分公司</v>
      </c>
      <c r="F133" s="10" t="str">
        <f>"Q111-49/4"</f>
        <v>Q111-49/4</v>
      </c>
    </row>
    <row r="134" s="2" customFormat="1" ht="18" customHeight="1" spans="1:6">
      <c r="A134" s="6">
        <v>133</v>
      </c>
      <c r="B134" s="10" t="str">
        <f>"978-7-5192-7673-7"</f>
        <v>978-7-5192-7673-7</v>
      </c>
      <c r="C134" s="10" t="str">
        <f>"其实你不懂进化论"</f>
        <v>其实你不懂进化论</v>
      </c>
      <c r="D134" s="10" t="str">
        <f>"史钧著"</f>
        <v>史钧著</v>
      </c>
      <c r="E134" s="10" t="str">
        <f>"世界图书出版有限公司北京分公司"</f>
        <v>世界图书出版有限公司北京分公司</v>
      </c>
      <c r="F134" s="10" t="str">
        <f>"Q111-49/4"</f>
        <v>Q111-49/4</v>
      </c>
    </row>
    <row r="135" s="2" customFormat="1" ht="18" customHeight="1" spans="1:6">
      <c r="A135" s="6">
        <v>134</v>
      </c>
      <c r="B135" s="10" t="str">
        <f>"978-7-5139-3221-9"</f>
        <v>978-7-5139-3221-9</v>
      </c>
      <c r="C135" s="10" t="str">
        <f>"未来人类"</f>
        <v>未来人类</v>
      </c>
      <c r="D135" s="10" t="str">
        <f>"(美) 斯考特·所罗门著Scott Solomon；郭怿暄译"</f>
        <v>(美) 斯考特·所罗门著Scott Solomon；郭怿暄译</v>
      </c>
      <c r="E135" s="10" t="str">
        <f>"民主与建设出版社有限责任公司"</f>
        <v>民主与建设出版社有限责任公司</v>
      </c>
      <c r="F135" s="10" t="str">
        <f>"Q981.1/33"</f>
        <v>Q981.1/33</v>
      </c>
    </row>
    <row r="136" s="2" customFormat="1" ht="18" customHeight="1" spans="1:6">
      <c r="A136" s="6">
        <v>135</v>
      </c>
      <c r="B136" s="10" t="str">
        <f>"978-7-5139-3221-9"</f>
        <v>978-7-5139-3221-9</v>
      </c>
      <c r="C136" s="10" t="str">
        <f>"未来人类"</f>
        <v>未来人类</v>
      </c>
      <c r="D136" s="10" t="str">
        <f>"(美) 斯考特·所罗门著Scott Solomon；郭怿暄译"</f>
        <v>(美) 斯考特·所罗门著Scott Solomon；郭怿暄译</v>
      </c>
      <c r="E136" s="10" t="str">
        <f>"民主与建设出版社有限责任公司"</f>
        <v>民主与建设出版社有限责任公司</v>
      </c>
      <c r="F136" s="10" t="str">
        <f>"Q981.1/33"</f>
        <v>Q981.1/33</v>
      </c>
    </row>
    <row r="137" s="2" customFormat="1" ht="18" customHeight="1" spans="1:6">
      <c r="A137" s="6">
        <v>136</v>
      </c>
      <c r="B137" s="10" t="str">
        <f t="shared" ref="B137:B139" si="54">"978-7-5710-0984-7"</f>
        <v>978-7-5710-0984-7</v>
      </c>
      <c r="C137" s="10" t="str">
        <f t="shared" ref="C137:C139" si="55">"五堂极简生物课"</f>
        <v>五堂极简生物课</v>
      </c>
      <c r="D137" s="10" t="str">
        <f t="shared" ref="D137:D139" si="56">"(英) 保罗·纳斯著；于是译"</f>
        <v>(英) 保罗·纳斯著；于是译</v>
      </c>
      <c r="E137" s="10" t="str">
        <f t="shared" ref="E137:E139" si="57">"湖南科学技术出版社"</f>
        <v>湖南科学技术出版社</v>
      </c>
      <c r="F137" s="10" t="str">
        <f t="shared" ref="F137:F139" si="58">"Q-49/53"</f>
        <v>Q-49/53</v>
      </c>
    </row>
    <row r="138" s="2" customFormat="1" ht="18" customHeight="1" spans="1:6">
      <c r="A138" s="6">
        <v>137</v>
      </c>
      <c r="B138" s="10" t="str">
        <f t="shared" si="54"/>
        <v>978-7-5710-0984-7</v>
      </c>
      <c r="C138" s="10" t="str">
        <f t="shared" si="55"/>
        <v>五堂极简生物课</v>
      </c>
      <c r="D138" s="10" t="str">
        <f t="shared" si="56"/>
        <v>(英) 保罗·纳斯著；于是译</v>
      </c>
      <c r="E138" s="10" t="str">
        <f t="shared" si="57"/>
        <v>湖南科学技术出版社</v>
      </c>
      <c r="F138" s="10" t="str">
        <f t="shared" si="58"/>
        <v>Q-49/53</v>
      </c>
    </row>
    <row r="139" s="2" customFormat="1" ht="18" customHeight="1" spans="1:6">
      <c r="A139" s="6">
        <v>138</v>
      </c>
      <c r="B139" s="10" t="str">
        <f t="shared" si="54"/>
        <v>978-7-5710-0984-7</v>
      </c>
      <c r="C139" s="10" t="str">
        <f t="shared" si="55"/>
        <v>五堂极简生物课</v>
      </c>
      <c r="D139" s="10" t="str">
        <f t="shared" si="56"/>
        <v>(英) 保罗·纳斯著；于是译</v>
      </c>
      <c r="E139" s="10" t="str">
        <f t="shared" si="57"/>
        <v>湖南科学技术出版社</v>
      </c>
      <c r="F139" s="10" t="str">
        <f t="shared" si="58"/>
        <v>Q-49/53</v>
      </c>
    </row>
    <row r="140" s="2" customFormat="1" ht="18" customHeight="1" spans="1:6">
      <c r="A140" s="6">
        <v>139</v>
      </c>
      <c r="B140" s="10" t="str">
        <f t="shared" ref="B140:B142" si="59">"978-7-5217-1897-3"</f>
        <v>978-7-5217-1897-3</v>
      </c>
      <c r="C140" s="10" t="str">
        <f t="shared" ref="C140:C142" si="60">"细胞生命的礼赞：一个生物学观察者的手记：notes of a biology watcher"</f>
        <v>细胞生命的礼赞：一个生物学观察者的手记：notes of a biology watcher</v>
      </c>
      <c r="D140" s="10" t="str">
        <f t="shared" ref="D140:D142" si="61">"(美) 刘易斯·托马斯著Lewis Thomas；苏静静译"</f>
        <v>(美) 刘易斯·托马斯著Lewis Thomas；苏静静译</v>
      </c>
      <c r="E140" s="10" t="str">
        <f t="shared" ref="E140:E142" si="62">"中信出版集团股份有限公司"</f>
        <v>中信出版集团股份有限公司</v>
      </c>
      <c r="F140" s="10" t="str">
        <f t="shared" ref="F140:F142" si="63">"Q1-0/27.2"</f>
        <v>Q1-0/27.2</v>
      </c>
    </row>
    <row r="141" s="2" customFormat="1" ht="18" customHeight="1" spans="1:6">
      <c r="A141" s="6">
        <v>140</v>
      </c>
      <c r="B141" s="10" t="str">
        <f t="shared" si="59"/>
        <v>978-7-5217-1897-3</v>
      </c>
      <c r="C141" s="10" t="str">
        <f t="shared" si="60"/>
        <v>细胞生命的礼赞：一个生物学观察者的手记：notes of a biology watcher</v>
      </c>
      <c r="D141" s="10" t="str">
        <f t="shared" si="61"/>
        <v>(美) 刘易斯·托马斯著Lewis Thomas；苏静静译</v>
      </c>
      <c r="E141" s="10" t="str">
        <f t="shared" si="62"/>
        <v>中信出版集团股份有限公司</v>
      </c>
      <c r="F141" s="10" t="str">
        <f t="shared" si="63"/>
        <v>Q1-0/27.2</v>
      </c>
    </row>
    <row r="142" s="2" customFormat="1" ht="18" customHeight="1" spans="1:6">
      <c r="A142" s="6">
        <v>141</v>
      </c>
      <c r="B142" s="10" t="str">
        <f t="shared" si="59"/>
        <v>978-7-5217-1897-3</v>
      </c>
      <c r="C142" s="10" t="str">
        <f t="shared" si="60"/>
        <v>细胞生命的礼赞：一个生物学观察者的手记：notes of a biology watcher</v>
      </c>
      <c r="D142" s="10" t="str">
        <f t="shared" si="61"/>
        <v>(美) 刘易斯·托马斯著Lewis Thomas；苏静静译</v>
      </c>
      <c r="E142" s="10" t="str">
        <f t="shared" si="62"/>
        <v>中信出版集团股份有限公司</v>
      </c>
      <c r="F142" s="10" t="str">
        <f t="shared" si="63"/>
        <v>Q1-0/27.2</v>
      </c>
    </row>
    <row r="143" s="2" customFormat="1" ht="18" customHeight="1" spans="1:6">
      <c r="A143" s="6">
        <v>142</v>
      </c>
      <c r="B143" s="11" t="s">
        <v>15564</v>
      </c>
      <c r="C143" s="11" t="s">
        <v>15565</v>
      </c>
      <c r="D143" s="11" t="s">
        <v>15566</v>
      </c>
      <c r="E143" s="11" t="s">
        <v>298</v>
      </c>
      <c r="F143" s="11" t="s">
        <v>15567</v>
      </c>
    </row>
    <row r="144" s="2" customFormat="1" ht="18" customHeight="1" spans="1:6">
      <c r="A144" s="6">
        <v>143</v>
      </c>
      <c r="B144" s="11" t="s">
        <v>15564</v>
      </c>
      <c r="C144" s="11" t="s">
        <v>15565</v>
      </c>
      <c r="D144" s="11" t="s">
        <v>15566</v>
      </c>
      <c r="E144" s="11" t="s">
        <v>298</v>
      </c>
      <c r="F144" s="11" t="s">
        <v>15567</v>
      </c>
    </row>
    <row r="145" s="2" customFormat="1" ht="18" customHeight="1" spans="1:6">
      <c r="A145" s="6">
        <v>144</v>
      </c>
      <c r="B145" s="10" t="str">
        <f>"978-7-03-068132-4"</f>
        <v>978-7-03-068132-4</v>
      </c>
      <c r="C145" s="10" t="str">
        <f>"倾听大自然：植物世界的智慧与幽默：wisdom and human in the flat world"</f>
        <v>倾听大自然：植物世界的智慧与幽默：wisdom and human in the flat world</v>
      </c>
      <c r="D145" s="10" t="str">
        <f>"刘勇著"</f>
        <v>刘勇著</v>
      </c>
      <c r="E145" s="10" t="str">
        <f>"科学出版社"</f>
        <v>科学出版社</v>
      </c>
      <c r="F145" s="10" t="str">
        <f>"S718.4/6"</f>
        <v>S718.4/6</v>
      </c>
    </row>
    <row r="146" s="2" customFormat="1" ht="18" customHeight="1" spans="1:6">
      <c r="A146" s="6">
        <v>145</v>
      </c>
      <c r="B146" s="10" t="str">
        <f>"978-7-03-068132-4"</f>
        <v>978-7-03-068132-4</v>
      </c>
      <c r="C146" s="10" t="str">
        <f>"倾听大自然：植物世界的智慧与幽默：wisdom and human in the flat world"</f>
        <v>倾听大自然：植物世界的智慧与幽默：wisdom and human in the flat world</v>
      </c>
      <c r="D146" s="10" t="str">
        <f>"刘勇著"</f>
        <v>刘勇著</v>
      </c>
      <c r="E146" s="10" t="str">
        <f>"科学出版社"</f>
        <v>科学出版社</v>
      </c>
      <c r="F146" s="10" t="str">
        <f>"S718.4/6"</f>
        <v>S718.4/6</v>
      </c>
    </row>
    <row r="147" s="2" customFormat="1" ht="18" customHeight="1" spans="1:6">
      <c r="A147" s="6">
        <v>146</v>
      </c>
      <c r="B147" s="10" t="str">
        <f t="shared" ref="B147:B149" si="64">"978-7-108-06116-4"</f>
        <v>978-7-108-06116-4</v>
      </c>
      <c r="C147" s="10" t="str">
        <f t="shared" ref="C147:C149" si="65">"狗智慧：它们在想什么?：what the world looks like to them and why they act the way they do"</f>
        <v>狗智慧：它们在想什么?：what the world looks like to them and why they act the way they do</v>
      </c>
      <c r="D147" s="10" t="str">
        <f t="shared" ref="D147:D149" si="66">"(加) 斯坦利·科伦著；汪天帆， 马云霏译"</f>
        <v>(加) 斯坦利·科伦著；汪天帆， 马云霏译</v>
      </c>
      <c r="E147" s="10" t="str">
        <f t="shared" ref="E147:E152" si="67">"三联书店"</f>
        <v>三联书店</v>
      </c>
      <c r="F147" s="10" t="str">
        <f t="shared" ref="F147:F149" si="68">"S829.2/83"</f>
        <v>S829.2/83</v>
      </c>
    </row>
    <row r="148" s="2" customFormat="1" ht="18" customHeight="1" spans="1:6">
      <c r="A148" s="6">
        <v>147</v>
      </c>
      <c r="B148" s="10" t="str">
        <f t="shared" si="64"/>
        <v>978-7-108-06116-4</v>
      </c>
      <c r="C148" s="10" t="str">
        <f t="shared" si="65"/>
        <v>狗智慧：它们在想什么?：what the world looks like to them and why they act the way they do</v>
      </c>
      <c r="D148" s="10" t="str">
        <f t="shared" si="66"/>
        <v>(加) 斯坦利·科伦著；汪天帆， 马云霏译</v>
      </c>
      <c r="E148" s="10" t="str">
        <f t="shared" si="67"/>
        <v>三联书店</v>
      </c>
      <c r="F148" s="10" t="str">
        <f t="shared" si="68"/>
        <v>S829.2/83</v>
      </c>
    </row>
    <row r="149" s="2" customFormat="1" ht="18" customHeight="1" spans="1:6">
      <c r="A149" s="6">
        <v>148</v>
      </c>
      <c r="B149" s="10" t="str">
        <f t="shared" si="64"/>
        <v>978-7-108-06116-4</v>
      </c>
      <c r="C149" s="10" t="str">
        <f t="shared" si="65"/>
        <v>狗智慧：它们在想什么?：what the world looks like to them and why they act the way they do</v>
      </c>
      <c r="D149" s="10" t="str">
        <f t="shared" si="66"/>
        <v>(加) 斯坦利·科伦著；汪天帆， 马云霏译</v>
      </c>
      <c r="E149" s="10" t="str">
        <f t="shared" si="67"/>
        <v>三联书店</v>
      </c>
      <c r="F149" s="10" t="str">
        <f t="shared" si="68"/>
        <v>S829.2/83</v>
      </c>
    </row>
    <row r="150" s="2" customFormat="1" ht="18" customHeight="1" spans="1:6">
      <c r="A150" s="6">
        <v>149</v>
      </c>
      <c r="B150" s="10" t="str">
        <f t="shared" ref="B150:B152" si="69">"978-7-108-05796-9"</f>
        <v>978-7-108-05796-9</v>
      </c>
      <c r="C150" s="10" t="str">
        <f t="shared" ref="C150:C152" si="70">"狗故事：留在人类历史上的爪印"</f>
        <v>狗故事：留在人类历史上的爪印</v>
      </c>
      <c r="D150" s="10" t="str">
        <f t="shared" ref="D150:D152" si="71">"(加) 斯坦利·科伦著；江天帆译"</f>
        <v>(加) 斯坦利·科伦著；江天帆译</v>
      </c>
      <c r="E150" s="10" t="str">
        <f t="shared" si="67"/>
        <v>三联书店</v>
      </c>
      <c r="F150" s="10" t="str">
        <f t="shared" ref="F150:F152" si="72">"S829.2/84=2D"</f>
        <v>S829.2/84=2D</v>
      </c>
    </row>
    <row r="151" s="2" customFormat="1" ht="18" customHeight="1" spans="1:6">
      <c r="A151" s="6">
        <v>150</v>
      </c>
      <c r="B151" s="10" t="str">
        <f t="shared" si="69"/>
        <v>978-7-108-05796-9</v>
      </c>
      <c r="C151" s="10" t="str">
        <f t="shared" si="70"/>
        <v>狗故事：留在人类历史上的爪印</v>
      </c>
      <c r="D151" s="10" t="str">
        <f t="shared" si="71"/>
        <v>(加) 斯坦利·科伦著；江天帆译</v>
      </c>
      <c r="E151" s="10" t="str">
        <f t="shared" si="67"/>
        <v>三联书店</v>
      </c>
      <c r="F151" s="10" t="str">
        <f t="shared" si="72"/>
        <v>S829.2/84=2D</v>
      </c>
    </row>
    <row r="152" s="2" customFormat="1" ht="18" customHeight="1" spans="1:6">
      <c r="A152" s="6">
        <v>151</v>
      </c>
      <c r="B152" s="10" t="str">
        <f t="shared" si="69"/>
        <v>978-7-108-05796-9</v>
      </c>
      <c r="C152" s="10" t="str">
        <f t="shared" si="70"/>
        <v>狗故事：留在人类历史上的爪印</v>
      </c>
      <c r="D152" s="10" t="str">
        <f t="shared" si="71"/>
        <v>(加) 斯坦利·科伦著；江天帆译</v>
      </c>
      <c r="E152" s="10" t="str">
        <f t="shared" si="67"/>
        <v>三联书店</v>
      </c>
      <c r="F152" s="10" t="str">
        <f t="shared" si="72"/>
        <v>S829.2/84=2D</v>
      </c>
    </row>
    <row r="153" s="2" customFormat="1" ht="18" customHeight="1" spans="1:6">
      <c r="A153" s="6">
        <v>152</v>
      </c>
      <c r="B153" s="11" t="s">
        <v>15568</v>
      </c>
      <c r="C153" s="11" t="s">
        <v>15569</v>
      </c>
      <c r="D153" s="11" t="s">
        <v>15570</v>
      </c>
      <c r="E153" s="11" t="s">
        <v>256</v>
      </c>
      <c r="F153" s="11" t="s">
        <v>15571</v>
      </c>
    </row>
    <row r="154" s="2" customFormat="1" ht="18" customHeight="1" spans="1:6">
      <c r="A154" s="6">
        <v>153</v>
      </c>
      <c r="B154" s="11" t="s">
        <v>15568</v>
      </c>
      <c r="C154" s="11" t="s">
        <v>15569</v>
      </c>
      <c r="D154" s="11" t="s">
        <v>15570</v>
      </c>
      <c r="E154" s="11" t="s">
        <v>256</v>
      </c>
      <c r="F154" s="11" t="s">
        <v>15571</v>
      </c>
    </row>
    <row r="155" s="2" customFormat="1" ht="18" customHeight="1" spans="1:6">
      <c r="A155" s="6">
        <v>154</v>
      </c>
      <c r="B155" s="11" t="s">
        <v>15572</v>
      </c>
      <c r="C155" s="11" t="s">
        <v>15573</v>
      </c>
      <c r="D155" s="11" t="s">
        <v>15574</v>
      </c>
      <c r="E155" s="11" t="s">
        <v>239</v>
      </c>
      <c r="F155" s="11" t="s">
        <v>15575</v>
      </c>
    </row>
    <row r="156" s="2" customFormat="1" ht="18" customHeight="1" spans="1:6">
      <c r="A156" s="6">
        <v>155</v>
      </c>
      <c r="B156" s="11" t="s">
        <v>15572</v>
      </c>
      <c r="C156" s="11" t="s">
        <v>15573</v>
      </c>
      <c r="D156" s="11" t="s">
        <v>15574</v>
      </c>
      <c r="E156" s="11" t="s">
        <v>239</v>
      </c>
      <c r="F156" s="11" t="s">
        <v>15575</v>
      </c>
    </row>
    <row r="157" s="2" customFormat="1" ht="18" customHeight="1" spans="1:6">
      <c r="A157" s="6">
        <v>156</v>
      </c>
      <c r="B157" s="11" t="s">
        <v>15576</v>
      </c>
      <c r="C157" s="11" t="s">
        <v>15577</v>
      </c>
      <c r="D157" s="11" t="s">
        <v>15578</v>
      </c>
      <c r="E157" s="11" t="s">
        <v>239</v>
      </c>
      <c r="F157" s="11" t="s">
        <v>15579</v>
      </c>
    </row>
    <row r="158" s="2" customFormat="1" ht="18" customHeight="1" spans="1:6">
      <c r="A158" s="6">
        <v>157</v>
      </c>
      <c r="B158" s="11" t="s">
        <v>15576</v>
      </c>
      <c r="C158" s="11" t="s">
        <v>15577</v>
      </c>
      <c r="D158" s="11" t="s">
        <v>15578</v>
      </c>
      <c r="E158" s="11" t="s">
        <v>239</v>
      </c>
      <c r="F158" s="11" t="s">
        <v>15579</v>
      </c>
    </row>
    <row r="159" s="2" customFormat="1" ht="18" customHeight="1" spans="1:6">
      <c r="A159" s="6">
        <v>158</v>
      </c>
      <c r="B159" s="11" t="s">
        <v>15580</v>
      </c>
      <c r="C159" s="11" t="s">
        <v>15581</v>
      </c>
      <c r="D159" s="11" t="s">
        <v>15582</v>
      </c>
      <c r="E159" s="11" t="s">
        <v>261</v>
      </c>
      <c r="F159" s="11" t="s">
        <v>15583</v>
      </c>
    </row>
    <row r="160" s="2" customFormat="1" ht="18" customHeight="1" spans="1:6">
      <c r="A160" s="6">
        <v>159</v>
      </c>
      <c r="B160" s="11" t="s">
        <v>15580</v>
      </c>
      <c r="C160" s="11" t="s">
        <v>15581</v>
      </c>
      <c r="D160" s="11" t="s">
        <v>15582</v>
      </c>
      <c r="E160" s="11" t="s">
        <v>261</v>
      </c>
      <c r="F160" s="11" t="s">
        <v>15583</v>
      </c>
    </row>
    <row r="161" s="2" customFormat="1" ht="18" customHeight="1" spans="1:6">
      <c r="A161" s="6">
        <v>160</v>
      </c>
      <c r="B161" s="11" t="s">
        <v>15580</v>
      </c>
      <c r="C161" s="11" t="s">
        <v>15581</v>
      </c>
      <c r="D161" s="11" t="s">
        <v>15582</v>
      </c>
      <c r="E161" s="11" t="s">
        <v>261</v>
      </c>
      <c r="F161" s="11" t="s">
        <v>15583</v>
      </c>
    </row>
    <row r="162" s="2" customFormat="1" ht="18" customHeight="1" spans="1:6">
      <c r="A162" s="6">
        <v>161</v>
      </c>
      <c r="B162" s="10" t="str">
        <f>"978-7-111-67525-9"</f>
        <v>978-7-111-67525-9</v>
      </c>
      <c r="C162" s="10" t="str">
        <f>"面向汽车的新一代信息技术"</f>
        <v>面向汽车的新一代信息技术</v>
      </c>
      <c r="D162" s="10" t="str">
        <f>"崔胜民编"</f>
        <v>崔胜民编</v>
      </c>
      <c r="E162" s="10" t="str">
        <f t="shared" ref="E162:E165" si="73">"机械工业出版社"</f>
        <v>机械工业出版社</v>
      </c>
      <c r="F162" s="10" t="str">
        <f>"U46/31"</f>
        <v>U46/31</v>
      </c>
    </row>
    <row r="163" s="2" customFormat="1" ht="18" customHeight="1" spans="1:6">
      <c r="A163" s="6">
        <v>162</v>
      </c>
      <c r="B163" s="10" t="str">
        <f>"978-7-111-67525-9"</f>
        <v>978-7-111-67525-9</v>
      </c>
      <c r="C163" s="10" t="str">
        <f>"面向汽车的新一代信息技术"</f>
        <v>面向汽车的新一代信息技术</v>
      </c>
      <c r="D163" s="10" t="str">
        <f>"崔胜民编"</f>
        <v>崔胜民编</v>
      </c>
      <c r="E163" s="10" t="str">
        <f t="shared" si="73"/>
        <v>机械工业出版社</v>
      </c>
      <c r="F163" s="10" t="str">
        <f>"U46/31"</f>
        <v>U46/31</v>
      </c>
    </row>
    <row r="164" s="2" customFormat="1" ht="18" customHeight="1" spans="1:6">
      <c r="A164" s="6">
        <v>163</v>
      </c>
      <c r="B164" s="10" t="str">
        <f>"978-7-111-67381-1"</f>
        <v>978-7-111-67381-1</v>
      </c>
      <c r="C164" s="10" t="str">
        <f>"无人驾驶：重新思考未来交通"</f>
        <v>无人驾驶：重新思考未来交通</v>
      </c>
      <c r="D164" s="10" t="str">
        <f>"(美) 塞缪尔·I. 施瓦茨， 凯伦·凯利著；李建华， 杨志华译"</f>
        <v>(美) 塞缪尔·I. 施瓦茨， 凯伦·凯利著；李建华， 杨志华译</v>
      </c>
      <c r="E164" s="10" t="str">
        <f t="shared" si="73"/>
        <v>机械工业出版社</v>
      </c>
      <c r="F164" s="10" t="str">
        <f>"U471.1/29"</f>
        <v>U471.1/29</v>
      </c>
    </row>
    <row r="165" s="2" customFormat="1" ht="18" customHeight="1" spans="1:6">
      <c r="A165" s="6">
        <v>164</v>
      </c>
      <c r="B165" s="10" t="str">
        <f>"978-7-111-67381-1"</f>
        <v>978-7-111-67381-1</v>
      </c>
      <c r="C165" s="10" t="str">
        <f>"无人驾驶：重新思考未来交通"</f>
        <v>无人驾驶：重新思考未来交通</v>
      </c>
      <c r="D165" s="10" t="str">
        <f>"(美) 塞缪尔·I. 施瓦茨， 凯伦·凯利著；李建华， 杨志华译"</f>
        <v>(美) 塞缪尔·I. 施瓦茨， 凯伦·凯利著；李建华， 杨志华译</v>
      </c>
      <c r="E165" s="10" t="str">
        <f t="shared" si="73"/>
        <v>机械工业出版社</v>
      </c>
      <c r="F165" s="10" t="str">
        <f>"U471.1/29"</f>
        <v>U471.1/29</v>
      </c>
    </row>
    <row r="166" s="2" customFormat="1" ht="18" customHeight="1" spans="1:6">
      <c r="A166" s="6">
        <v>165</v>
      </c>
      <c r="B166" s="10" t="str">
        <f>"978-7-5086-9934-9"</f>
        <v>978-7-5086-9934-9</v>
      </c>
      <c r="C166" s="10" t="str">
        <f>"海上一千年：110张航海地图中的世界"</f>
        <v>海上一千年：110张航海地图中的世界</v>
      </c>
      <c r="D166" s="10" t="str">
        <f>"(英) 彼得·惠特菲尔德著Peter Whitfield；也卜译"</f>
        <v>(英) 彼得·惠特菲尔德著Peter Whitfield；也卜译</v>
      </c>
      <c r="E166" s="10" t="str">
        <f>"中信出版集团股份有限公司"</f>
        <v>中信出版集团股份有限公司</v>
      </c>
      <c r="F166" s="10" t="str">
        <f>"U675.81-091/2"</f>
        <v>U675.81-091/2</v>
      </c>
    </row>
    <row r="167" s="2" customFormat="1" ht="18" customHeight="1" spans="1:6">
      <c r="A167" s="6">
        <v>166</v>
      </c>
      <c r="B167" s="10" t="str">
        <f>"978-7-5086-9934-9"</f>
        <v>978-7-5086-9934-9</v>
      </c>
      <c r="C167" s="10" t="str">
        <f>"海上一千年：110张航海地图中的世界"</f>
        <v>海上一千年：110张航海地图中的世界</v>
      </c>
      <c r="D167" s="10" t="str">
        <f>"(英) 彼得·惠特菲尔德著Peter Whitfield；也卜译"</f>
        <v>(英) 彼得·惠特菲尔德著Peter Whitfield；也卜译</v>
      </c>
      <c r="E167" s="10" t="str">
        <f>"中信出版集团股份有限公司"</f>
        <v>中信出版集团股份有限公司</v>
      </c>
      <c r="F167" s="10" t="str">
        <f>"U675.81-091/2"</f>
        <v>U675.81-091/2</v>
      </c>
    </row>
    <row r="168" s="2" customFormat="1" ht="18" customHeight="1" spans="1:6">
      <c r="A168" s="6">
        <v>167</v>
      </c>
      <c r="B168" s="10" t="str">
        <f>"978-7-5641-9579-3"</f>
        <v>978-7-5641-9579-3</v>
      </c>
      <c r="C168" s="10" t="str">
        <f>"船说：走进中国船文化"</f>
        <v>船说：走进中国船文化</v>
      </c>
      <c r="D168" s="10" t="str">
        <f>"张依莉编著"</f>
        <v>张依莉编著</v>
      </c>
      <c r="E168" s="10" t="str">
        <f>"东南大学出版社"</f>
        <v>东南大学出版社</v>
      </c>
      <c r="F168" s="10" t="str">
        <f>"U6/4"</f>
        <v>U6/4</v>
      </c>
    </row>
    <row r="169" s="2" customFormat="1" ht="18" customHeight="1" spans="1:6">
      <c r="A169" s="6">
        <v>168</v>
      </c>
      <c r="B169" s="10" t="str">
        <f>"978-7-5641-9579-3"</f>
        <v>978-7-5641-9579-3</v>
      </c>
      <c r="C169" s="10" t="str">
        <f>"船说：走进中国船文化"</f>
        <v>船说：走进中国船文化</v>
      </c>
      <c r="D169" s="10" t="str">
        <f>"张依莉编著"</f>
        <v>张依莉编著</v>
      </c>
      <c r="E169" s="10" t="str">
        <f>"东南大学出版社"</f>
        <v>东南大学出版社</v>
      </c>
      <c r="F169" s="10" t="str">
        <f>"U6/4"</f>
        <v>U6/4</v>
      </c>
    </row>
    <row r="170" s="2" customFormat="1" ht="18" customHeight="1" spans="1:6">
      <c r="A170" s="6">
        <v>169</v>
      </c>
      <c r="B170" s="11" t="s">
        <v>15584</v>
      </c>
      <c r="C170" s="11" t="s">
        <v>15585</v>
      </c>
      <c r="D170" s="11" t="s">
        <v>7855</v>
      </c>
      <c r="E170" s="11" t="s">
        <v>3180</v>
      </c>
      <c r="F170" s="11" t="s">
        <v>15586</v>
      </c>
    </row>
    <row r="171" s="2" customFormat="1" ht="18" customHeight="1" spans="1:6">
      <c r="A171" s="6">
        <v>170</v>
      </c>
      <c r="B171" s="11" t="s">
        <v>15584</v>
      </c>
      <c r="C171" s="11" t="s">
        <v>15585</v>
      </c>
      <c r="D171" s="11" t="s">
        <v>7855</v>
      </c>
      <c r="E171" s="11" t="s">
        <v>3180</v>
      </c>
      <c r="F171" s="11" t="s">
        <v>15586</v>
      </c>
    </row>
    <row r="172" s="2" customFormat="1" ht="18" customHeight="1" spans="1:6">
      <c r="A172" s="6">
        <v>171</v>
      </c>
      <c r="B172" s="11" t="s">
        <v>15587</v>
      </c>
      <c r="C172" s="11" t="s">
        <v>15588</v>
      </c>
      <c r="D172" s="11" t="s">
        <v>15589</v>
      </c>
      <c r="E172" s="11" t="s">
        <v>3180</v>
      </c>
      <c r="F172" s="11" t="s">
        <v>15590</v>
      </c>
    </row>
    <row r="173" s="2" customFormat="1" ht="18" customHeight="1" spans="1:6">
      <c r="A173" s="6">
        <v>172</v>
      </c>
      <c r="B173" s="11" t="s">
        <v>15587</v>
      </c>
      <c r="C173" s="11" t="s">
        <v>15588</v>
      </c>
      <c r="D173" s="11" t="s">
        <v>15589</v>
      </c>
      <c r="E173" s="11" t="s">
        <v>3180</v>
      </c>
      <c r="F173" s="11" t="s">
        <v>15590</v>
      </c>
    </row>
    <row r="174" s="2" customFormat="1" ht="18" customHeight="1" spans="1:6">
      <c r="A174" s="6">
        <v>173</v>
      </c>
      <c r="B174" s="11" t="s">
        <v>15591</v>
      </c>
      <c r="C174" s="11" t="s">
        <v>15592</v>
      </c>
      <c r="D174" s="11" t="s">
        <v>15593</v>
      </c>
      <c r="E174" s="11" t="s">
        <v>810</v>
      </c>
      <c r="F174" s="11" t="s">
        <v>15594</v>
      </c>
    </row>
    <row r="175" s="2" customFormat="1" ht="18" customHeight="1" spans="1:6">
      <c r="A175" s="6">
        <v>174</v>
      </c>
      <c r="B175" s="11" t="s">
        <v>15591</v>
      </c>
      <c r="C175" s="11" t="s">
        <v>15592</v>
      </c>
      <c r="D175" s="11" t="s">
        <v>15593</v>
      </c>
      <c r="E175" s="11" t="s">
        <v>810</v>
      </c>
      <c r="F175" s="11" t="s">
        <v>15594</v>
      </c>
    </row>
    <row r="176" s="2" customFormat="1" ht="18" customHeight="1" spans="1:6">
      <c r="A176" s="6">
        <v>175</v>
      </c>
      <c r="B176" s="11" t="s">
        <v>15595</v>
      </c>
      <c r="C176" s="11" t="s">
        <v>15596</v>
      </c>
      <c r="D176" s="11" t="s">
        <v>15597</v>
      </c>
      <c r="E176" s="11" t="s">
        <v>2566</v>
      </c>
      <c r="F176" s="11" t="s">
        <v>15598</v>
      </c>
    </row>
    <row r="177" s="2" customFormat="1" ht="18" customHeight="1" spans="1:6">
      <c r="A177" s="6">
        <v>176</v>
      </c>
      <c r="B177" s="11" t="s">
        <v>15595</v>
      </c>
      <c r="C177" s="11" t="s">
        <v>15596</v>
      </c>
      <c r="D177" s="11" t="s">
        <v>15597</v>
      </c>
      <c r="E177" s="11" t="s">
        <v>2566</v>
      </c>
      <c r="F177" s="11" t="s">
        <v>15598</v>
      </c>
    </row>
    <row r="178" s="2" customFormat="1" ht="18" customHeight="1" spans="1:6">
      <c r="A178" s="6">
        <v>177</v>
      </c>
      <c r="B178" s="11" t="s">
        <v>15595</v>
      </c>
      <c r="C178" s="11" t="s">
        <v>15596</v>
      </c>
      <c r="D178" s="11" t="s">
        <v>15597</v>
      </c>
      <c r="E178" s="11" t="s">
        <v>2566</v>
      </c>
      <c r="F178" s="11" t="s">
        <v>15598</v>
      </c>
    </row>
    <row r="179" s="2" customFormat="1" ht="18" customHeight="1" spans="1:6">
      <c r="A179" s="6">
        <v>178</v>
      </c>
      <c r="B179" s="11" t="s">
        <v>15599</v>
      </c>
      <c r="C179" s="11" t="s">
        <v>15600</v>
      </c>
      <c r="D179" s="11" t="s">
        <v>15601</v>
      </c>
      <c r="E179" s="11" t="s">
        <v>2459</v>
      </c>
      <c r="F179" s="11" t="s">
        <v>15602</v>
      </c>
    </row>
    <row r="180" s="2" customFormat="1" ht="18" customHeight="1" spans="1:6">
      <c r="A180" s="6">
        <v>179</v>
      </c>
      <c r="B180" s="11" t="s">
        <v>15599</v>
      </c>
      <c r="C180" s="11" t="s">
        <v>15600</v>
      </c>
      <c r="D180" s="11" t="s">
        <v>15601</v>
      </c>
      <c r="E180" s="11" t="s">
        <v>2459</v>
      </c>
      <c r="F180" s="11" t="s">
        <v>15602</v>
      </c>
    </row>
    <row r="181" s="2" customFormat="1" ht="18" customHeight="1" spans="1:6">
      <c r="A181" s="6">
        <v>180</v>
      </c>
      <c r="B181" s="10" t="str">
        <f>"978-7-5111-1883-7"</f>
        <v>978-7-5111-1883-7</v>
      </c>
      <c r="C181" s="10" t="str">
        <f>"环境会计"</f>
        <v>环境会计</v>
      </c>
      <c r="D181" s="10" t="str">
        <f>"王立彦， 蒋洪强主编"</f>
        <v>王立彦， 蒋洪强主编</v>
      </c>
      <c r="E181" s="10" t="str">
        <f>"中国环境出版社"</f>
        <v>中国环境出版社</v>
      </c>
      <c r="F181" s="10" t="str">
        <f>"X196/31"</f>
        <v>X196/31</v>
      </c>
    </row>
    <row r="182" s="2" customFormat="1" ht="18" customHeight="1" spans="1:6">
      <c r="A182" s="6">
        <v>181</v>
      </c>
      <c r="B182" s="10" t="str">
        <f>"978-7-5111-1883-7"</f>
        <v>978-7-5111-1883-7</v>
      </c>
      <c r="C182" s="10" t="str">
        <f>"环境会计"</f>
        <v>环境会计</v>
      </c>
      <c r="D182" s="10" t="str">
        <f>"王立彦， 蒋洪强主编"</f>
        <v>王立彦， 蒋洪强主编</v>
      </c>
      <c r="E182" s="10" t="str">
        <f>"中国环境出版社"</f>
        <v>中国环境出版社</v>
      </c>
      <c r="F182" s="10" t="str">
        <f>"X196/31"</f>
        <v>X196/31</v>
      </c>
    </row>
    <row r="183" s="2" customFormat="1" ht="18" customHeight="1" spans="1:6">
      <c r="A183" s="6">
        <v>182</v>
      </c>
      <c r="B183" s="10" t="str">
        <f t="shared" ref="B183:B185" si="74">"978-7-5115-6953-0"</f>
        <v>978-7-5115-6953-0</v>
      </c>
      <c r="C183" s="10" t="str">
        <f t="shared" ref="C183:C185" si="75">"碳达峰、碳中和100问"</f>
        <v>碳达峰、碳中和100问</v>
      </c>
      <c r="D183" s="10" t="str">
        <f t="shared" ref="D183:D185" si="76">"陈迎， 巢清尘等编著"</f>
        <v>陈迎， 巢清尘等编著</v>
      </c>
      <c r="E183" s="10" t="str">
        <f t="shared" ref="E183:E185" si="77">"人民日报出版社"</f>
        <v>人民日报出版社</v>
      </c>
      <c r="F183" s="10" t="str">
        <f t="shared" ref="F183:F185" si="78">"X511/14"</f>
        <v>X511/14</v>
      </c>
    </row>
    <row r="184" s="2" customFormat="1" ht="18" customHeight="1" spans="1:6">
      <c r="A184" s="6">
        <v>183</v>
      </c>
      <c r="B184" s="10" t="str">
        <f t="shared" si="74"/>
        <v>978-7-5115-6953-0</v>
      </c>
      <c r="C184" s="10" t="str">
        <f t="shared" si="75"/>
        <v>碳达峰、碳中和100问</v>
      </c>
      <c r="D184" s="10" t="str">
        <f t="shared" si="76"/>
        <v>陈迎， 巢清尘等编著</v>
      </c>
      <c r="E184" s="10" t="str">
        <f t="shared" si="77"/>
        <v>人民日报出版社</v>
      </c>
      <c r="F184" s="10" t="str">
        <f t="shared" si="78"/>
        <v>X511/14</v>
      </c>
    </row>
    <row r="185" s="2" customFormat="1" ht="18" customHeight="1" spans="1:6">
      <c r="A185" s="6">
        <v>184</v>
      </c>
      <c r="B185" s="10" t="str">
        <f t="shared" si="74"/>
        <v>978-7-5115-6953-0</v>
      </c>
      <c r="C185" s="10" t="str">
        <f t="shared" si="75"/>
        <v>碳达峰、碳中和100问</v>
      </c>
      <c r="D185" s="10" t="str">
        <f t="shared" si="76"/>
        <v>陈迎， 巢清尘等编著</v>
      </c>
      <c r="E185" s="10" t="str">
        <f t="shared" si="77"/>
        <v>人民日报出版社</v>
      </c>
      <c r="F185" s="10" t="str">
        <f t="shared" si="78"/>
        <v>X511/14</v>
      </c>
    </row>
    <row r="186" s="2" customFormat="1" ht="18" customHeight="1" spans="1:6">
      <c r="A186" s="6">
        <v>185</v>
      </c>
      <c r="B186" s="10" t="str">
        <f>"978-7-309-15653-9"</f>
        <v>978-7-309-15653-9</v>
      </c>
      <c r="C186" s="10" t="str">
        <f>"地球危机：中国的应对"</f>
        <v>地球危机：中国的应对</v>
      </c>
      <c r="D186" s="10" t="str">
        <f>"主编雷仕湛， 屈炜"</f>
        <v>主编雷仕湛， 屈炜</v>
      </c>
      <c r="E186" s="10" t="str">
        <f>"复旦大学出版社"</f>
        <v>复旦大学出版社</v>
      </c>
      <c r="F186" s="10" t="str">
        <f>"X21/66"</f>
        <v>X21/66</v>
      </c>
    </row>
    <row r="187" s="2" customFormat="1" ht="18" customHeight="1" spans="1:6">
      <c r="A187" s="6">
        <v>186</v>
      </c>
      <c r="B187" s="10" t="str">
        <f>"978-7-309-15653-9"</f>
        <v>978-7-309-15653-9</v>
      </c>
      <c r="C187" s="10" t="str">
        <f>"地球危机：中国的应对"</f>
        <v>地球危机：中国的应对</v>
      </c>
      <c r="D187" s="10" t="str">
        <f>"主编雷仕湛， 屈炜"</f>
        <v>主编雷仕湛， 屈炜</v>
      </c>
      <c r="E187" s="10" t="str">
        <f>"复旦大学出版社"</f>
        <v>复旦大学出版社</v>
      </c>
      <c r="F187" s="10" t="str">
        <f>"X21/66"</f>
        <v>X21/66</v>
      </c>
    </row>
    <row r="188" s="2" customFormat="1" ht="18" customHeight="1" spans="1:6">
      <c r="A188" s="6">
        <v>187</v>
      </c>
      <c r="B188" s="10" t="str">
        <f>"978-7-5217-3034-0"</f>
        <v>978-7-5217-3034-0</v>
      </c>
      <c r="C188" s="10" t="str">
        <f>"我们星球上的生命：我一生的目击证词与未来憧憬：my witness statement and a vision for the future"</f>
        <v>我们星球上的生命：我一生的目击证词与未来憧憬：my witness statement and a vision for the future</v>
      </c>
      <c r="D188" s="10" t="str">
        <f>"(英) 大卫·爱登堡著David Attenborough；林华译"</f>
        <v>(英) 大卫·爱登堡著David Attenborough；林华译</v>
      </c>
      <c r="E188" s="10" t="str">
        <f>"中信出版集团股份有限公司"</f>
        <v>中信出版集团股份有限公司</v>
      </c>
      <c r="F188" s="10" t="str">
        <f>"X171.4/9"</f>
        <v>X171.4/9</v>
      </c>
    </row>
    <row r="189" s="2" customFormat="1" ht="18" customHeight="1" spans="1:6">
      <c r="A189" s="6">
        <v>188</v>
      </c>
      <c r="B189" s="10" t="str">
        <f>"978-7-5217-3034-0"</f>
        <v>978-7-5217-3034-0</v>
      </c>
      <c r="C189" s="10" t="str">
        <f>"我们星球上的生命：我一生的目击证词与未来憧憬：my witness statement and a vision for the future"</f>
        <v>我们星球上的生命：我一生的目击证词与未来憧憬：my witness statement and a vision for the future</v>
      </c>
      <c r="D189" s="10" t="str">
        <f>"(英) 大卫·爱登堡著David Attenborough；林华译"</f>
        <v>(英) 大卫·爱登堡著David Attenborough；林华译</v>
      </c>
      <c r="E189" s="10" t="str">
        <f>"中信出版集团股份有限公司"</f>
        <v>中信出版集团股份有限公司</v>
      </c>
      <c r="F189" s="10" t="str">
        <f>"X171.4/9"</f>
        <v>X171.4/9</v>
      </c>
    </row>
    <row r="190" s="2" customFormat="1" ht="18" customHeight="1" spans="1:6">
      <c r="A190" s="6">
        <v>189</v>
      </c>
      <c r="B190" s="10" t="str">
        <f>"978-7-208-17108-4"</f>
        <v>978-7-208-17108-4</v>
      </c>
      <c r="C190" s="10" t="str">
        <f>"上林繁叶：秦汉生态史丛说"</f>
        <v>上林繁叶：秦汉生态史丛说</v>
      </c>
      <c r="D190" s="10" t="str">
        <f>"王子今著"</f>
        <v>王子今著</v>
      </c>
      <c r="E190" s="10" t="str">
        <f>"上海人民出版社"</f>
        <v>上海人民出版社</v>
      </c>
      <c r="F190" s="10" t="str">
        <f>"X321.2/59"</f>
        <v>X321.2/59</v>
      </c>
    </row>
    <row r="191" s="2" customFormat="1" ht="18" customHeight="1" spans="1:6">
      <c r="A191" s="6">
        <v>190</v>
      </c>
      <c r="B191" s="10" t="str">
        <f>"978-7-208-17108-4"</f>
        <v>978-7-208-17108-4</v>
      </c>
      <c r="C191" s="10" t="str">
        <f>"上林繁叶：秦汉生态史丛说"</f>
        <v>上林繁叶：秦汉生态史丛说</v>
      </c>
      <c r="D191" s="10" t="str">
        <f>"王子今著"</f>
        <v>王子今著</v>
      </c>
      <c r="E191" s="10" t="str">
        <f>"上海人民出版社"</f>
        <v>上海人民出版社</v>
      </c>
      <c r="F191" s="10" t="str">
        <f>"X321.2/59"</f>
        <v>X321.2/59</v>
      </c>
    </row>
    <row r="192" s="2" customFormat="1" ht="18" customHeight="1" spans="1:6">
      <c r="A192" s="6">
        <v>191</v>
      </c>
      <c r="B192" s="10" t="str">
        <f>"978-7-5643-8000-7"</f>
        <v>978-7-5643-8000-7</v>
      </c>
      <c r="C192" s="10" t="str">
        <f>"云南石刻文献目录集存：初辑"</f>
        <v>云南石刻文献目录集存：初辑</v>
      </c>
      <c r="D192" s="10" t="str">
        <f>"赵成杰编著"</f>
        <v>赵成杰编著</v>
      </c>
      <c r="E192" s="10" t="str">
        <f>"西南交通大学出版社"</f>
        <v>西南交通大学出版社</v>
      </c>
      <c r="F192" s="10" t="str">
        <f>"Z88:K/5/1"</f>
        <v>Z88:K/5/1</v>
      </c>
    </row>
    <row r="193" s="2" customFormat="1" ht="18" customHeight="1" spans="1:6">
      <c r="A193" s="6">
        <v>192</v>
      </c>
      <c r="B193" s="10" t="str">
        <f>"978-7-5607-6406-1"</f>
        <v>978-7-5607-6406-1</v>
      </c>
      <c r="C193" s="10" t="str">
        <f>"文淵閣四庫全書集部易學資料分類萃編"</f>
        <v>文淵閣四庫全書集部易學資料分類萃編</v>
      </c>
      <c r="D193" s="10" t="str">
        <f>"主編劉大鈞"</f>
        <v>主編劉大鈞</v>
      </c>
      <c r="E193" s="10" t="str">
        <f>"山東大學出版社"</f>
        <v>山東大學出版社</v>
      </c>
      <c r="F193" s="10" t="str">
        <f>"Z121.5/65"</f>
        <v>Z121.5/65</v>
      </c>
    </row>
    <row r="194" s="2" customFormat="1" ht="18" customHeight="1" spans="1:6">
      <c r="A194" s="6">
        <v>193</v>
      </c>
      <c r="B194" s="10" t="str">
        <f>"978-7-101-13055-3"</f>
        <v>978-7-101-13055-3</v>
      </c>
      <c r="C194" s="10" t="str">
        <f>"國故論衡疏證"</f>
        <v>國故論衡疏證</v>
      </c>
      <c r="D194" s="10" t="str">
        <f>"章太炎撰；龐俊， 郭誠永疏證；董婧宸校訂"</f>
        <v>章太炎撰；龐俊， 郭誠永疏證；董婧宸校訂</v>
      </c>
      <c r="E194" s="10" t="str">
        <f>"中華書局"</f>
        <v>中華書局</v>
      </c>
      <c r="F194" s="10" t="str">
        <f>"Z126.275/12=2D"</f>
        <v>Z126.275/12=2D</v>
      </c>
    </row>
    <row r="195" s="2" customFormat="1" ht="18" customHeight="1" spans="1:6">
      <c r="A195" s="6">
        <v>194</v>
      </c>
      <c r="B195" s="10" t="str">
        <f>"978-7-101-13055-3"</f>
        <v>978-7-101-13055-3</v>
      </c>
      <c r="C195" s="10" t="str">
        <f>"國故論衡疏證"</f>
        <v>國故論衡疏證</v>
      </c>
      <c r="D195" s="10" t="str">
        <f>"章太炎撰；龐俊， 郭誠永疏證；董婧宸校訂"</f>
        <v>章太炎撰；龐俊， 郭誠永疏證；董婧宸校訂</v>
      </c>
      <c r="E195" s="10" t="str">
        <f>"中華書局"</f>
        <v>中華書局</v>
      </c>
      <c r="F195" s="10" t="str">
        <f>"Z126.275/12=2D"</f>
        <v>Z126.275/12=2D</v>
      </c>
    </row>
    <row r="196" s="2" customFormat="1" ht="18" customHeight="1" spans="1:6">
      <c r="A196" s="6">
        <v>195</v>
      </c>
      <c r="B196" s="10" t="str">
        <f>"978-7-101-14946-3"</f>
        <v>978-7-101-14946-3</v>
      </c>
      <c r="C196" s="10" t="str">
        <f>"十三经锦言录"</f>
        <v>十三经锦言录</v>
      </c>
      <c r="D196" s="10" t="str">
        <f>"钟基编著"</f>
        <v>钟基编著</v>
      </c>
      <c r="E196" s="10" t="str">
        <f>"中华书局"</f>
        <v>中华书局</v>
      </c>
      <c r="F196" s="10" t="str">
        <f>"Z126.1/59"</f>
        <v>Z126.1/59</v>
      </c>
    </row>
    <row r="197" s="2" customFormat="1" ht="18" customHeight="1" spans="1:6">
      <c r="A197" s="6">
        <v>196</v>
      </c>
      <c r="B197" s="10" t="str">
        <f>"978-7-101-14946-3"</f>
        <v>978-7-101-14946-3</v>
      </c>
      <c r="C197" s="10" t="str">
        <f>"十三经锦言录"</f>
        <v>十三经锦言录</v>
      </c>
      <c r="D197" s="10" t="str">
        <f>"钟基编著"</f>
        <v>钟基编著</v>
      </c>
      <c r="E197" s="10" t="str">
        <f>"中华书局"</f>
        <v>中华书局</v>
      </c>
      <c r="F197" s="10" t="str">
        <f>"Z126.1/59"</f>
        <v>Z126.1/59</v>
      </c>
    </row>
    <row r="198" s="2" customFormat="1" ht="18" customHeight="1" spans="1:6">
      <c r="A198" s="6">
        <v>197</v>
      </c>
      <c r="B198" s="10" t="str">
        <f t="shared" ref="B198:B201" si="79">"978-7-5458-1938-0"</f>
        <v>978-7-5458-1938-0</v>
      </c>
      <c r="C198" s="10" t="str">
        <f>"四庫全書總目提要補正．经部"</f>
        <v>四庫全書總目提要補正．经部</v>
      </c>
      <c r="D198" s="10" t="str">
        <f t="shared" ref="D198:D201" si="80">"胡玉縉撰；王欣夫輯"</f>
        <v>胡玉縉撰；王欣夫輯</v>
      </c>
      <c r="E198" s="10" t="str">
        <f t="shared" ref="E198:E201" si="81">"上海書店出版社"</f>
        <v>上海書店出版社</v>
      </c>
      <c r="F198" s="10" t="str">
        <f>"Z833/8/1"</f>
        <v>Z833/8/1</v>
      </c>
    </row>
    <row r="199" s="2" customFormat="1" ht="18" customHeight="1" spans="1:6">
      <c r="A199" s="6">
        <v>198</v>
      </c>
      <c r="B199" s="10" t="str">
        <f t="shared" si="79"/>
        <v>978-7-5458-1938-0</v>
      </c>
      <c r="C199" s="10" t="str">
        <f>"四庫全書總目提要補正．史部"</f>
        <v>四庫全書總目提要補正．史部</v>
      </c>
      <c r="D199" s="10" t="str">
        <f t="shared" si="80"/>
        <v>胡玉縉撰；王欣夫輯</v>
      </c>
      <c r="E199" s="10" t="str">
        <f t="shared" si="81"/>
        <v>上海書店出版社</v>
      </c>
      <c r="F199" s="10" t="str">
        <f>"Z833/8/2"</f>
        <v>Z833/8/2</v>
      </c>
    </row>
    <row r="200" s="2" customFormat="1" ht="18" customHeight="1" spans="1:6">
      <c r="A200" s="6">
        <v>199</v>
      </c>
      <c r="B200" s="10" t="str">
        <f t="shared" si="79"/>
        <v>978-7-5458-1938-0</v>
      </c>
      <c r="C200" s="10" t="str">
        <f>"四庫全書總目提要補正．子部"</f>
        <v>四庫全書總目提要補正．子部</v>
      </c>
      <c r="D200" s="10" t="str">
        <f t="shared" si="80"/>
        <v>胡玉縉撰；王欣夫輯</v>
      </c>
      <c r="E200" s="10" t="str">
        <f t="shared" si="81"/>
        <v>上海書店出版社</v>
      </c>
      <c r="F200" s="10" t="str">
        <f>"Z833/8/3"</f>
        <v>Z833/8/3</v>
      </c>
    </row>
    <row r="201" s="2" customFormat="1" ht="18" customHeight="1" spans="1:6">
      <c r="A201" s="6">
        <v>200</v>
      </c>
      <c r="B201" s="10" t="str">
        <f t="shared" si="79"/>
        <v>978-7-5458-1938-0</v>
      </c>
      <c r="C201" s="10" t="str">
        <f>"四庫全書總目提要補正．集部"</f>
        <v>四庫全書總目提要補正．集部</v>
      </c>
      <c r="D201" s="10" t="str">
        <f t="shared" si="80"/>
        <v>胡玉縉撰；王欣夫輯</v>
      </c>
      <c r="E201" s="10" t="str">
        <f t="shared" si="81"/>
        <v>上海書店出版社</v>
      </c>
      <c r="F201" s="10" t="str">
        <f>"Z833/8/4"</f>
        <v>Z833/8/4</v>
      </c>
    </row>
    <row r="202" s="2" customFormat="1" ht="18" customHeight="1" spans="1:6">
      <c r="A202" s="6">
        <v>201</v>
      </c>
      <c r="B202" s="10" t="str">
        <f>"978-7-101-14875-6"</f>
        <v>978-7-101-14875-6</v>
      </c>
      <c r="C202" s="10" t="str">
        <f>"德風亭初集"</f>
        <v>德風亭初集</v>
      </c>
      <c r="D202" s="10" t="str">
        <f>"(清) 王貞義撰；肖亞男點校"</f>
        <v>(清) 王貞義撰；肖亞男點校</v>
      </c>
      <c r="E202" s="10" t="str">
        <f>"中華書局"</f>
        <v>中華書局</v>
      </c>
      <c r="F202" s="10" t="str">
        <f>"Z429.49/7"</f>
        <v>Z429.49/7</v>
      </c>
    </row>
    <row r="203" s="2" customFormat="1" ht="18" customHeight="1" spans="1:6">
      <c r="A203" s="6">
        <v>202</v>
      </c>
      <c r="B203" s="10" t="str">
        <f>"978-7-101-14875-6"</f>
        <v>978-7-101-14875-6</v>
      </c>
      <c r="C203" s="10" t="str">
        <f>"德風亭初集"</f>
        <v>德風亭初集</v>
      </c>
      <c r="D203" s="10" t="str">
        <f>"(清) 王貞義撰；肖亞男點校"</f>
        <v>(清) 王貞義撰；肖亞男點校</v>
      </c>
      <c r="E203" s="10" t="str">
        <f>"中華書局"</f>
        <v>中華書局</v>
      </c>
      <c r="F203" s="10" t="str">
        <f>"Z429.49/7"</f>
        <v>Z429.49/7</v>
      </c>
    </row>
    <row r="204" s="2" customFormat="1" ht="18" customHeight="1" spans="1:6">
      <c r="A204" s="6">
        <v>203</v>
      </c>
      <c r="B204" s="10" t="str">
        <f>"978-7-108-06990-0"</f>
        <v>978-7-108-06990-0</v>
      </c>
      <c r="C204" s="10" t="str">
        <f>"国学概论"</f>
        <v>国学概论</v>
      </c>
      <c r="D204" s="10" t="str">
        <f>"章太炎著；曹聚仁整理"</f>
        <v>章太炎著；曹聚仁整理</v>
      </c>
      <c r="E204" s="10" t="str">
        <f t="shared" ref="E204:E207" si="82">"三联书店"</f>
        <v>三联书店</v>
      </c>
      <c r="F204" s="10" t="str">
        <f>"Z126/630-2"</f>
        <v>Z126/630-2</v>
      </c>
    </row>
    <row r="205" s="2" customFormat="1" ht="18" customHeight="1" spans="1:6">
      <c r="A205" s="6">
        <v>204</v>
      </c>
      <c r="B205" s="10" t="str">
        <f>"978-7-108-06990-0"</f>
        <v>978-7-108-06990-0</v>
      </c>
      <c r="C205" s="10" t="str">
        <f>"国学概论"</f>
        <v>国学概论</v>
      </c>
      <c r="D205" s="10" t="str">
        <f>"章太炎著；曹聚仁整理"</f>
        <v>章太炎著；曹聚仁整理</v>
      </c>
      <c r="E205" s="10" t="str">
        <f t="shared" si="82"/>
        <v>三联书店</v>
      </c>
      <c r="F205" s="10" t="str">
        <f>"Z126/630-2"</f>
        <v>Z126/630-2</v>
      </c>
    </row>
    <row r="206" s="2" customFormat="1" ht="18" customHeight="1" spans="1:6">
      <c r="A206" s="6">
        <v>205</v>
      </c>
      <c r="B206" s="10" t="str">
        <f>"978-7-108-06986-3"</f>
        <v>978-7-108-06986-3</v>
      </c>
      <c r="C206" s="10" t="str">
        <f>"国学常识"</f>
        <v>国学常识</v>
      </c>
      <c r="D206" s="10" t="str">
        <f>"曹伯韩著"</f>
        <v>曹伯韩著</v>
      </c>
      <c r="E206" s="10" t="str">
        <f t="shared" si="82"/>
        <v>三联书店</v>
      </c>
      <c r="F206" s="10" t="str">
        <f>"Z126/659-2"</f>
        <v>Z126/659-2</v>
      </c>
    </row>
    <row r="207" s="2" customFormat="1" ht="18" customHeight="1" spans="1:6">
      <c r="A207" s="6">
        <v>206</v>
      </c>
      <c r="B207" s="10" t="str">
        <f>"978-7-108-06986-3"</f>
        <v>978-7-108-06986-3</v>
      </c>
      <c r="C207" s="10" t="str">
        <f>"国学常识"</f>
        <v>国学常识</v>
      </c>
      <c r="D207" s="10" t="str">
        <f>"曹伯韩著"</f>
        <v>曹伯韩著</v>
      </c>
      <c r="E207" s="10" t="str">
        <f t="shared" si="82"/>
        <v>三联书店</v>
      </c>
      <c r="F207" s="10" t="str">
        <f>"Z126/659-2"</f>
        <v>Z126/659-2</v>
      </c>
    </row>
    <row r="208" s="2" customFormat="1" ht="18" customHeight="1" spans="1:6">
      <c r="A208" s="6">
        <v>207</v>
      </c>
      <c r="B208" s="10" t="str">
        <f>"978-7-108-06985-6"</f>
        <v>978-7-108-06985-6</v>
      </c>
      <c r="C208" s="10" t="str">
        <f t="shared" ref="C208:C211" si="83">"经典常谈"</f>
        <v>经典常谈</v>
      </c>
      <c r="D208" s="10" t="str">
        <f t="shared" ref="D208:D211" si="84">"朱自清著"</f>
        <v>朱自清著</v>
      </c>
      <c r="E208" s="10" t="str">
        <f>"生活·读书·新知三联书店"</f>
        <v>生活·读书·新知三联书店</v>
      </c>
      <c r="F208" s="10" t="str">
        <f>"Z835/161-2"</f>
        <v>Z835/161-2</v>
      </c>
    </row>
    <row r="209" s="2" customFormat="1" ht="18" customHeight="1" spans="1:6">
      <c r="A209" s="6">
        <v>208</v>
      </c>
      <c r="B209" s="10" t="str">
        <f>"978-7-108-06985-6"</f>
        <v>978-7-108-06985-6</v>
      </c>
      <c r="C209" s="10" t="str">
        <f t="shared" si="83"/>
        <v>经典常谈</v>
      </c>
      <c r="D209" s="10" t="str">
        <f t="shared" si="84"/>
        <v>朱自清著</v>
      </c>
      <c r="E209" s="10" t="str">
        <f>"生活·读书·新知三联书店"</f>
        <v>生活·读书·新知三联书店</v>
      </c>
      <c r="F209" s="10" t="str">
        <f>"Z835/161-2"</f>
        <v>Z835/161-2</v>
      </c>
    </row>
    <row r="210" s="2" customFormat="1" ht="18" customHeight="1" spans="1:6">
      <c r="A210" s="6">
        <v>209</v>
      </c>
      <c r="B210" s="10" t="str">
        <f>"978-7-5212-1199-3"</f>
        <v>978-7-5212-1199-3</v>
      </c>
      <c r="C210" s="10" t="str">
        <f t="shared" si="83"/>
        <v>经典常谈</v>
      </c>
      <c r="D210" s="10" t="str">
        <f t="shared" si="84"/>
        <v>朱自清著</v>
      </c>
      <c r="E210" s="10" t="str">
        <f>"作家出版社"</f>
        <v>作家出版社</v>
      </c>
      <c r="F210" s="10" t="str">
        <f>"Z835/161-3"</f>
        <v>Z835/161-3</v>
      </c>
    </row>
    <row r="211" s="2" customFormat="1" ht="18" customHeight="1" spans="1:6">
      <c r="A211" s="6">
        <v>210</v>
      </c>
      <c r="B211" s="10" t="str">
        <f>"978-7-5212-1199-3"</f>
        <v>978-7-5212-1199-3</v>
      </c>
      <c r="C211" s="10" t="str">
        <f t="shared" si="83"/>
        <v>经典常谈</v>
      </c>
      <c r="D211" s="10" t="str">
        <f t="shared" si="84"/>
        <v>朱自清著</v>
      </c>
      <c r="E211" s="10" t="str">
        <f>"作家出版社"</f>
        <v>作家出版社</v>
      </c>
      <c r="F211" s="10" t="str">
        <f>"Z835/161-3"</f>
        <v>Z835/161-3</v>
      </c>
    </row>
  </sheetData>
  <pageMargins left="0.314583333333333" right="0.118055555555556" top="0.275" bottom="0.275" header="0.5" footer="0.5"/>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C000"/>
  </sheetPr>
  <dimension ref="A1:F343"/>
  <sheetViews>
    <sheetView workbookViewId="0">
      <selection activeCell="C26" sqref="C26"/>
    </sheetView>
  </sheetViews>
  <sheetFormatPr defaultColWidth="9" defaultRowHeight="18" customHeight="1" outlineLevelCol="5"/>
  <cols>
    <col min="1" max="1" width="6.375" style="16" customWidth="1"/>
    <col min="2" max="2" width="19.375" style="2" customWidth="1"/>
    <col min="3" max="3" width="41.75" style="2" customWidth="1"/>
    <col min="4" max="4" width="31.625" style="2" customWidth="1"/>
    <col min="5" max="5" width="27.125" style="2" customWidth="1"/>
    <col min="6" max="6" width="19.625" style="2" customWidth="1"/>
    <col min="7" max="16384" width="9" style="2"/>
  </cols>
  <sheetData>
    <row r="1" customHeight="1" spans="1:6">
      <c r="A1" s="15" t="str">
        <f>"序号"</f>
        <v>序号</v>
      </c>
      <c r="B1" s="15" t="str">
        <f>"ISBN"</f>
        <v>ISBN</v>
      </c>
      <c r="C1" s="15" t="str">
        <f>"题名"</f>
        <v>题名</v>
      </c>
      <c r="D1" s="15" t="str">
        <f>"责任者"</f>
        <v>责任者</v>
      </c>
      <c r="E1" s="15" t="str">
        <f>"出版社"</f>
        <v>出版社</v>
      </c>
      <c r="F1" s="15" t="str">
        <f>"索取号"</f>
        <v>索取号</v>
      </c>
    </row>
    <row r="2" customHeight="1" spans="1:6">
      <c r="A2" s="6">
        <v>1</v>
      </c>
      <c r="B2" s="8" t="s">
        <v>194</v>
      </c>
      <c r="C2" s="8" t="s">
        <v>195</v>
      </c>
      <c r="D2" s="8" t="s">
        <v>196</v>
      </c>
      <c r="E2" s="8" t="s">
        <v>197</v>
      </c>
      <c r="F2" s="8" t="s">
        <v>198</v>
      </c>
    </row>
    <row r="3" customHeight="1" spans="1:6">
      <c r="A3" s="6">
        <v>2</v>
      </c>
      <c r="B3" s="8" t="s">
        <v>194</v>
      </c>
      <c r="C3" s="8" t="s">
        <v>195</v>
      </c>
      <c r="D3" s="8" t="s">
        <v>196</v>
      </c>
      <c r="E3" s="8" t="s">
        <v>197</v>
      </c>
      <c r="F3" s="8" t="s">
        <v>198</v>
      </c>
    </row>
    <row r="4" customHeight="1" spans="1:6">
      <c r="A4" s="6">
        <v>3</v>
      </c>
      <c r="B4" s="8" t="s">
        <v>199</v>
      </c>
      <c r="C4" s="8" t="s">
        <v>200</v>
      </c>
      <c r="D4" s="8" t="s">
        <v>201</v>
      </c>
      <c r="E4" s="8" t="s">
        <v>202</v>
      </c>
      <c r="F4" s="8" t="s">
        <v>203</v>
      </c>
    </row>
    <row r="5" customHeight="1" spans="1:6">
      <c r="A5" s="6">
        <v>4</v>
      </c>
      <c r="B5" s="8" t="s">
        <v>199</v>
      </c>
      <c r="C5" s="8" t="s">
        <v>200</v>
      </c>
      <c r="D5" s="8" t="s">
        <v>201</v>
      </c>
      <c r="E5" s="8" t="s">
        <v>202</v>
      </c>
      <c r="F5" s="8" t="s">
        <v>203</v>
      </c>
    </row>
    <row r="6" customHeight="1" spans="1:6">
      <c r="A6" s="6">
        <v>5</v>
      </c>
      <c r="B6" s="8" t="s">
        <v>204</v>
      </c>
      <c r="C6" s="8" t="s">
        <v>205</v>
      </c>
      <c r="D6" s="8" t="s">
        <v>206</v>
      </c>
      <c r="E6" s="8" t="s">
        <v>202</v>
      </c>
      <c r="F6" s="8" t="s">
        <v>207</v>
      </c>
    </row>
    <row r="7" customHeight="1" spans="1:6">
      <c r="A7" s="6">
        <v>6</v>
      </c>
      <c r="B7" s="8" t="s">
        <v>204</v>
      </c>
      <c r="C7" s="8" t="s">
        <v>205</v>
      </c>
      <c r="D7" s="8" t="s">
        <v>206</v>
      </c>
      <c r="E7" s="8" t="s">
        <v>202</v>
      </c>
      <c r="F7" s="8" t="s">
        <v>207</v>
      </c>
    </row>
    <row r="8" customHeight="1" spans="1:6">
      <c r="A8" s="6">
        <v>7</v>
      </c>
      <c r="B8" s="8" t="s">
        <v>208</v>
      </c>
      <c r="C8" s="8" t="s">
        <v>209</v>
      </c>
      <c r="D8" s="8" t="s">
        <v>210</v>
      </c>
      <c r="E8" s="8" t="s">
        <v>211</v>
      </c>
      <c r="F8" s="8" t="s">
        <v>212</v>
      </c>
    </row>
    <row r="9" customHeight="1" spans="1:6">
      <c r="A9" s="6">
        <v>8</v>
      </c>
      <c r="B9" s="8" t="s">
        <v>208</v>
      </c>
      <c r="C9" s="8" t="s">
        <v>209</v>
      </c>
      <c r="D9" s="8" t="s">
        <v>210</v>
      </c>
      <c r="E9" s="8" t="s">
        <v>211</v>
      </c>
      <c r="F9" s="8" t="s">
        <v>212</v>
      </c>
    </row>
    <row r="10" customHeight="1" spans="1:6">
      <c r="A10" s="6">
        <v>9</v>
      </c>
      <c r="B10" s="8" t="s">
        <v>213</v>
      </c>
      <c r="C10" s="8" t="s">
        <v>214</v>
      </c>
      <c r="D10" s="8" t="s">
        <v>215</v>
      </c>
      <c r="E10" s="8" t="s">
        <v>216</v>
      </c>
      <c r="F10" s="8" t="s">
        <v>217</v>
      </c>
    </row>
    <row r="11" customHeight="1" spans="1:6">
      <c r="A11" s="6">
        <v>10</v>
      </c>
      <c r="B11" s="8" t="s">
        <v>213</v>
      </c>
      <c r="C11" s="8" t="s">
        <v>214</v>
      </c>
      <c r="D11" s="8" t="s">
        <v>215</v>
      </c>
      <c r="E11" s="8" t="s">
        <v>216</v>
      </c>
      <c r="F11" s="8" t="s">
        <v>217</v>
      </c>
    </row>
    <row r="12" customHeight="1" spans="1:6">
      <c r="A12" s="6">
        <v>11</v>
      </c>
      <c r="B12" s="8" t="s">
        <v>218</v>
      </c>
      <c r="C12" s="8" t="s">
        <v>219</v>
      </c>
      <c r="D12" s="8" t="s">
        <v>220</v>
      </c>
      <c r="E12" s="8" t="s">
        <v>221</v>
      </c>
      <c r="F12" s="8" t="s">
        <v>222</v>
      </c>
    </row>
    <row r="13" customHeight="1" spans="1:6">
      <c r="A13" s="6">
        <v>12</v>
      </c>
      <c r="B13" s="8" t="s">
        <v>218</v>
      </c>
      <c r="C13" s="8" t="s">
        <v>219</v>
      </c>
      <c r="D13" s="8" t="s">
        <v>220</v>
      </c>
      <c r="E13" s="8" t="s">
        <v>221</v>
      </c>
      <c r="F13" s="8" t="s">
        <v>222</v>
      </c>
    </row>
    <row r="14" customHeight="1" spans="1:6">
      <c r="A14" s="6">
        <v>13</v>
      </c>
      <c r="B14" s="8" t="s">
        <v>223</v>
      </c>
      <c r="C14" s="8" t="s">
        <v>224</v>
      </c>
      <c r="D14" s="8" t="s">
        <v>225</v>
      </c>
      <c r="E14" s="8" t="s">
        <v>226</v>
      </c>
      <c r="F14" s="8" t="s">
        <v>227</v>
      </c>
    </row>
    <row r="15" customHeight="1" spans="1:6">
      <c r="A15" s="6">
        <v>14</v>
      </c>
      <c r="B15" s="8" t="s">
        <v>223</v>
      </c>
      <c r="C15" s="8" t="s">
        <v>224</v>
      </c>
      <c r="D15" s="8" t="s">
        <v>225</v>
      </c>
      <c r="E15" s="8" t="s">
        <v>226</v>
      </c>
      <c r="F15" s="8" t="s">
        <v>227</v>
      </c>
    </row>
    <row r="16" customHeight="1" spans="1:6">
      <c r="A16" s="6">
        <v>15</v>
      </c>
      <c r="B16" s="8" t="s">
        <v>228</v>
      </c>
      <c r="C16" s="8" t="s">
        <v>229</v>
      </c>
      <c r="D16" s="8" t="s">
        <v>230</v>
      </c>
      <c r="E16" s="8" t="s">
        <v>216</v>
      </c>
      <c r="F16" s="8" t="s">
        <v>231</v>
      </c>
    </row>
    <row r="17" customHeight="1" spans="1:6">
      <c r="A17" s="6">
        <v>16</v>
      </c>
      <c r="B17" s="8" t="s">
        <v>228</v>
      </c>
      <c r="C17" s="8" t="s">
        <v>229</v>
      </c>
      <c r="D17" s="8" t="s">
        <v>230</v>
      </c>
      <c r="E17" s="8" t="s">
        <v>216</v>
      </c>
      <c r="F17" s="8" t="s">
        <v>231</v>
      </c>
    </row>
    <row r="18" customHeight="1" spans="1:6">
      <c r="A18" s="6">
        <v>17</v>
      </c>
      <c r="B18" s="8" t="s">
        <v>232</v>
      </c>
      <c r="C18" s="8" t="s">
        <v>233</v>
      </c>
      <c r="D18" s="8" t="s">
        <v>234</v>
      </c>
      <c r="E18" s="8" t="s">
        <v>197</v>
      </c>
      <c r="F18" s="8" t="s">
        <v>235</v>
      </c>
    </row>
    <row r="19" customHeight="1" spans="1:6">
      <c r="A19" s="6">
        <v>18</v>
      </c>
      <c r="B19" s="8" t="s">
        <v>232</v>
      </c>
      <c r="C19" s="8" t="s">
        <v>233</v>
      </c>
      <c r="D19" s="8" t="s">
        <v>234</v>
      </c>
      <c r="E19" s="8" t="s">
        <v>197</v>
      </c>
      <c r="F19" s="8" t="s">
        <v>235</v>
      </c>
    </row>
    <row r="20" customHeight="1" spans="1:6">
      <c r="A20" s="6">
        <v>19</v>
      </c>
      <c r="B20" s="8" t="s">
        <v>236</v>
      </c>
      <c r="C20" s="8" t="s">
        <v>237</v>
      </c>
      <c r="D20" s="8" t="s">
        <v>238</v>
      </c>
      <c r="E20" s="8" t="s">
        <v>239</v>
      </c>
      <c r="F20" s="8" t="s">
        <v>240</v>
      </c>
    </row>
    <row r="21" customHeight="1" spans="1:6">
      <c r="A21" s="6">
        <v>20</v>
      </c>
      <c r="B21" s="8" t="s">
        <v>236</v>
      </c>
      <c r="C21" s="8" t="s">
        <v>237</v>
      </c>
      <c r="D21" s="8" t="s">
        <v>238</v>
      </c>
      <c r="E21" s="8" t="s">
        <v>239</v>
      </c>
      <c r="F21" s="8" t="s">
        <v>240</v>
      </c>
    </row>
    <row r="22" customHeight="1" spans="1:6">
      <c r="A22" s="6">
        <v>21</v>
      </c>
      <c r="B22" s="8" t="s">
        <v>236</v>
      </c>
      <c r="C22" s="8" t="s">
        <v>237</v>
      </c>
      <c r="D22" s="8" t="s">
        <v>238</v>
      </c>
      <c r="E22" s="8" t="s">
        <v>239</v>
      </c>
      <c r="F22" s="8" t="s">
        <v>240</v>
      </c>
    </row>
    <row r="23" customHeight="1" spans="1:6">
      <c r="A23" s="6">
        <v>22</v>
      </c>
      <c r="B23" s="8" t="s">
        <v>241</v>
      </c>
      <c r="C23" s="8" t="s">
        <v>242</v>
      </c>
      <c r="D23" s="8" t="s">
        <v>243</v>
      </c>
      <c r="E23" s="8" t="s">
        <v>239</v>
      </c>
      <c r="F23" s="8" t="s">
        <v>244</v>
      </c>
    </row>
    <row r="24" customHeight="1" spans="1:6">
      <c r="A24" s="6">
        <v>23</v>
      </c>
      <c r="B24" s="8" t="s">
        <v>241</v>
      </c>
      <c r="C24" s="8" t="s">
        <v>242</v>
      </c>
      <c r="D24" s="8" t="s">
        <v>243</v>
      </c>
      <c r="E24" s="8" t="s">
        <v>239</v>
      </c>
      <c r="F24" s="8" t="s">
        <v>244</v>
      </c>
    </row>
    <row r="25" customHeight="1" spans="1:6">
      <c r="A25" s="6">
        <v>24</v>
      </c>
      <c r="B25" s="8" t="s">
        <v>245</v>
      </c>
      <c r="C25" s="8" t="s">
        <v>246</v>
      </c>
      <c r="D25" s="8" t="s">
        <v>247</v>
      </c>
      <c r="E25" s="8" t="s">
        <v>33</v>
      </c>
      <c r="F25" s="8" t="s">
        <v>248</v>
      </c>
    </row>
    <row r="26" customHeight="1" spans="1:6">
      <c r="A26" s="6">
        <v>25</v>
      </c>
      <c r="B26" s="8" t="s">
        <v>245</v>
      </c>
      <c r="C26" s="8" t="s">
        <v>246</v>
      </c>
      <c r="D26" s="8" t="s">
        <v>247</v>
      </c>
      <c r="E26" s="8" t="s">
        <v>33</v>
      </c>
      <c r="F26" s="8" t="s">
        <v>248</v>
      </c>
    </row>
    <row r="27" customHeight="1" spans="1:6">
      <c r="A27" s="6">
        <v>26</v>
      </c>
      <c r="B27" s="8" t="s">
        <v>249</v>
      </c>
      <c r="C27" s="8" t="s">
        <v>250</v>
      </c>
      <c r="D27" s="8" t="s">
        <v>251</v>
      </c>
      <c r="E27" s="8" t="s">
        <v>216</v>
      </c>
      <c r="F27" s="8" t="s">
        <v>252</v>
      </c>
    </row>
    <row r="28" customHeight="1" spans="1:6">
      <c r="A28" s="6">
        <v>27</v>
      </c>
      <c r="B28" s="8" t="s">
        <v>249</v>
      </c>
      <c r="C28" s="8" t="s">
        <v>250</v>
      </c>
      <c r="D28" s="8" t="s">
        <v>251</v>
      </c>
      <c r="E28" s="8" t="s">
        <v>216</v>
      </c>
      <c r="F28" s="8" t="s">
        <v>252</v>
      </c>
    </row>
    <row r="29" customHeight="1" spans="1:6">
      <c r="A29" s="6">
        <v>28</v>
      </c>
      <c r="B29" s="8" t="s">
        <v>253</v>
      </c>
      <c r="C29" s="8" t="s">
        <v>254</v>
      </c>
      <c r="D29" s="8" t="s">
        <v>255</v>
      </c>
      <c r="E29" s="8" t="s">
        <v>256</v>
      </c>
      <c r="F29" s="8" t="s">
        <v>257</v>
      </c>
    </row>
    <row r="30" customHeight="1" spans="1:6">
      <c r="A30" s="6">
        <v>29</v>
      </c>
      <c r="B30" s="8" t="s">
        <v>253</v>
      </c>
      <c r="C30" s="8" t="s">
        <v>254</v>
      </c>
      <c r="D30" s="8" t="s">
        <v>255</v>
      </c>
      <c r="E30" s="8" t="s">
        <v>256</v>
      </c>
      <c r="F30" s="8" t="s">
        <v>257</v>
      </c>
    </row>
    <row r="31" customHeight="1" spans="1:6">
      <c r="A31" s="6">
        <v>30</v>
      </c>
      <c r="B31" s="8" t="s">
        <v>258</v>
      </c>
      <c r="C31" s="8" t="s">
        <v>259</v>
      </c>
      <c r="D31" s="8" t="s">
        <v>260</v>
      </c>
      <c r="E31" s="8" t="s">
        <v>261</v>
      </c>
      <c r="F31" s="8" t="s">
        <v>262</v>
      </c>
    </row>
    <row r="32" customHeight="1" spans="1:6">
      <c r="A32" s="6">
        <v>31</v>
      </c>
      <c r="B32" s="8" t="s">
        <v>258</v>
      </c>
      <c r="C32" s="8" t="s">
        <v>259</v>
      </c>
      <c r="D32" s="8" t="s">
        <v>260</v>
      </c>
      <c r="E32" s="8" t="s">
        <v>261</v>
      </c>
      <c r="F32" s="8" t="s">
        <v>262</v>
      </c>
    </row>
    <row r="33" customHeight="1" spans="1:6">
      <c r="A33" s="6">
        <v>32</v>
      </c>
      <c r="B33" s="8" t="s">
        <v>258</v>
      </c>
      <c r="C33" s="8" t="s">
        <v>259</v>
      </c>
      <c r="D33" s="8" t="s">
        <v>260</v>
      </c>
      <c r="E33" s="8" t="s">
        <v>261</v>
      </c>
      <c r="F33" s="8" t="s">
        <v>262</v>
      </c>
    </row>
    <row r="34" customHeight="1" spans="1:6">
      <c r="A34" s="6">
        <v>33</v>
      </c>
      <c r="B34" s="8" t="s">
        <v>263</v>
      </c>
      <c r="C34" s="8" t="s">
        <v>264</v>
      </c>
      <c r="D34" s="8" t="s">
        <v>265</v>
      </c>
      <c r="E34" s="8" t="s">
        <v>261</v>
      </c>
      <c r="F34" s="8" t="s">
        <v>266</v>
      </c>
    </row>
    <row r="35" customHeight="1" spans="1:6">
      <c r="A35" s="6">
        <v>34</v>
      </c>
      <c r="B35" s="8" t="s">
        <v>263</v>
      </c>
      <c r="C35" s="8" t="s">
        <v>264</v>
      </c>
      <c r="D35" s="8" t="s">
        <v>265</v>
      </c>
      <c r="E35" s="8" t="s">
        <v>261</v>
      </c>
      <c r="F35" s="8" t="s">
        <v>266</v>
      </c>
    </row>
    <row r="36" customHeight="1" spans="1:6">
      <c r="A36" s="6">
        <v>35</v>
      </c>
      <c r="B36" s="8" t="s">
        <v>263</v>
      </c>
      <c r="C36" s="8" t="s">
        <v>264</v>
      </c>
      <c r="D36" s="8" t="s">
        <v>265</v>
      </c>
      <c r="E36" s="8" t="s">
        <v>261</v>
      </c>
      <c r="F36" s="8" t="s">
        <v>266</v>
      </c>
    </row>
    <row r="37" customHeight="1" spans="1:6">
      <c r="A37" s="6">
        <v>36</v>
      </c>
      <c r="B37" s="8" t="s">
        <v>267</v>
      </c>
      <c r="C37" s="8" t="s">
        <v>268</v>
      </c>
      <c r="D37" s="8" t="s">
        <v>269</v>
      </c>
      <c r="E37" s="8" t="s">
        <v>270</v>
      </c>
      <c r="F37" s="8" t="s">
        <v>271</v>
      </c>
    </row>
    <row r="38" customHeight="1" spans="1:6">
      <c r="A38" s="6">
        <v>37</v>
      </c>
      <c r="B38" s="8" t="s">
        <v>267</v>
      </c>
      <c r="C38" s="8" t="s">
        <v>268</v>
      </c>
      <c r="D38" s="8" t="s">
        <v>269</v>
      </c>
      <c r="E38" s="8" t="s">
        <v>270</v>
      </c>
      <c r="F38" s="8" t="s">
        <v>271</v>
      </c>
    </row>
    <row r="39" customHeight="1" spans="1:6">
      <c r="A39" s="6">
        <v>38</v>
      </c>
      <c r="B39" s="8" t="s">
        <v>272</v>
      </c>
      <c r="C39" s="8" t="s">
        <v>273</v>
      </c>
      <c r="D39" s="8" t="s">
        <v>274</v>
      </c>
      <c r="E39" s="8" t="s">
        <v>275</v>
      </c>
      <c r="F39" s="8" t="s">
        <v>276</v>
      </c>
    </row>
    <row r="40" customHeight="1" spans="1:6">
      <c r="A40" s="6">
        <v>39</v>
      </c>
      <c r="B40" s="8" t="s">
        <v>272</v>
      </c>
      <c r="C40" s="8" t="s">
        <v>273</v>
      </c>
      <c r="D40" s="8" t="s">
        <v>274</v>
      </c>
      <c r="E40" s="8" t="s">
        <v>275</v>
      </c>
      <c r="F40" s="8" t="s">
        <v>276</v>
      </c>
    </row>
    <row r="41" customHeight="1" spans="1:6">
      <c r="A41" s="6">
        <v>40</v>
      </c>
      <c r="B41" s="8" t="s">
        <v>277</v>
      </c>
      <c r="C41" s="8" t="s">
        <v>278</v>
      </c>
      <c r="D41" s="8" t="s">
        <v>269</v>
      </c>
      <c r="E41" s="8" t="s">
        <v>270</v>
      </c>
      <c r="F41" s="8" t="s">
        <v>279</v>
      </c>
    </row>
    <row r="42" customHeight="1" spans="1:6">
      <c r="A42" s="6">
        <v>41</v>
      </c>
      <c r="B42" s="8" t="s">
        <v>277</v>
      </c>
      <c r="C42" s="8" t="s">
        <v>278</v>
      </c>
      <c r="D42" s="8" t="s">
        <v>269</v>
      </c>
      <c r="E42" s="8" t="s">
        <v>270</v>
      </c>
      <c r="F42" s="8" t="s">
        <v>279</v>
      </c>
    </row>
    <row r="43" customHeight="1" spans="1:6">
      <c r="A43" s="6">
        <v>42</v>
      </c>
      <c r="B43" s="8" t="s">
        <v>280</v>
      </c>
      <c r="C43" s="8" t="s">
        <v>281</v>
      </c>
      <c r="D43" s="8" t="s">
        <v>282</v>
      </c>
      <c r="E43" s="8" t="s">
        <v>283</v>
      </c>
      <c r="F43" s="8" t="s">
        <v>284</v>
      </c>
    </row>
    <row r="44" customHeight="1" spans="1:6">
      <c r="A44" s="6">
        <v>43</v>
      </c>
      <c r="B44" s="8" t="s">
        <v>280</v>
      </c>
      <c r="C44" s="8" t="s">
        <v>281</v>
      </c>
      <c r="D44" s="8" t="s">
        <v>282</v>
      </c>
      <c r="E44" s="8" t="s">
        <v>283</v>
      </c>
      <c r="F44" s="8" t="s">
        <v>284</v>
      </c>
    </row>
    <row r="45" customHeight="1" spans="1:6">
      <c r="A45" s="6">
        <v>44</v>
      </c>
      <c r="B45" s="7" t="str">
        <f>"978-7-5596-4509-8"</f>
        <v>978-7-5596-4509-8</v>
      </c>
      <c r="C45" s="7" t="str">
        <f>"你想过怎样的一生?：从0到100岁， 该学会的人生大事， 都在这些生活的小事里了"</f>
        <v>你想过怎样的一生?：从0到100岁， 该学会的人生大事， 都在这些生活的小事里了</v>
      </c>
      <c r="D45" s="7" t="str">
        <f>"(德) 海克·法勒文；(意) 瓦莱里奥·维达里图；俞洁琼译"</f>
        <v>(德) 海克·法勒文；(意) 瓦莱里奥·维达里图；俞洁琼译</v>
      </c>
      <c r="E45" s="7" t="str">
        <f>"北京联合出版公司"</f>
        <v>北京联合出版公司</v>
      </c>
      <c r="F45" s="7" t="str">
        <f>"B821-49/1808"</f>
        <v>B821-49/1808</v>
      </c>
    </row>
    <row r="46" customHeight="1" spans="1:6">
      <c r="A46" s="6">
        <v>45</v>
      </c>
      <c r="B46" s="7" t="str">
        <f>"978-7-5596-4509-8"</f>
        <v>978-7-5596-4509-8</v>
      </c>
      <c r="C46" s="7" t="str">
        <f>"你想过怎样的一生?：从0到100岁， 该学会的人生大事， 都在这些生活的小事里了"</f>
        <v>你想过怎样的一生?：从0到100岁， 该学会的人生大事， 都在这些生活的小事里了</v>
      </c>
      <c r="D46" s="7" t="str">
        <f>"(德) 海克·法勒文；(意) 瓦莱里奥·维达里图；俞洁琼译"</f>
        <v>(德) 海克·法勒文；(意) 瓦莱里奥·维达里图；俞洁琼译</v>
      </c>
      <c r="E46" s="7" t="str">
        <f>"北京联合出版公司"</f>
        <v>北京联合出版公司</v>
      </c>
      <c r="F46" s="7" t="str">
        <f>"B821-49/1808"</f>
        <v>B821-49/1808</v>
      </c>
    </row>
    <row r="47" customHeight="1" spans="1:6">
      <c r="A47" s="6">
        <v>46</v>
      </c>
      <c r="B47" s="7" t="str">
        <f>"978-7-5217-3021-0"</f>
        <v>978-7-5217-3021-0</v>
      </c>
      <c r="C47" s="7" t="str">
        <f>"哲学是什么"</f>
        <v>哲学是什么</v>
      </c>
      <c r="D47" s="7" t="str">
        <f>"(英) 彼得·吉布森著Peter Gibson；孔孔译"</f>
        <v>(英) 彼得·吉布森著Peter Gibson；孔孔译</v>
      </c>
      <c r="E47" s="7" t="str">
        <f>"中信出版集团股份有限公司"</f>
        <v>中信出版集团股份有限公司</v>
      </c>
      <c r="F47" s="7" t="str">
        <f>"B-49/115"</f>
        <v>B-49/115</v>
      </c>
    </row>
    <row r="48" customHeight="1" spans="1:6">
      <c r="A48" s="6">
        <v>47</v>
      </c>
      <c r="B48" s="7" t="str">
        <f>"978-7-5217-3021-0"</f>
        <v>978-7-5217-3021-0</v>
      </c>
      <c r="C48" s="7" t="str">
        <f>"哲学是什么"</f>
        <v>哲学是什么</v>
      </c>
      <c r="D48" s="7" t="str">
        <f>"(英) 彼得·吉布森著Peter Gibson；孔孔译"</f>
        <v>(英) 彼得·吉布森著Peter Gibson；孔孔译</v>
      </c>
      <c r="E48" s="7" t="str">
        <f>"中信出版集团股份有限公司"</f>
        <v>中信出版集团股份有限公司</v>
      </c>
      <c r="F48" s="7" t="str">
        <f>"B-49/115"</f>
        <v>B-49/115</v>
      </c>
    </row>
    <row r="49" customHeight="1" spans="1:6">
      <c r="A49" s="6">
        <v>48</v>
      </c>
      <c r="B49" s="7" t="str">
        <f>"978-7-5217-3021-0"</f>
        <v>978-7-5217-3021-0</v>
      </c>
      <c r="C49" s="7" t="str">
        <f>"哲学是什么"</f>
        <v>哲学是什么</v>
      </c>
      <c r="D49" s="7" t="str">
        <f>"(英) 彼得·吉布森著Peter Gibson；孔孔译"</f>
        <v>(英) 彼得·吉布森著Peter Gibson；孔孔译</v>
      </c>
      <c r="E49" s="7" t="str">
        <f>"中信出版集团股份有限公司"</f>
        <v>中信出版集团股份有限公司</v>
      </c>
      <c r="F49" s="7" t="str">
        <f>"B-49/115"</f>
        <v>B-49/115</v>
      </c>
    </row>
    <row r="50" customHeight="1" spans="1:6">
      <c r="A50" s="6">
        <v>49</v>
      </c>
      <c r="B50" s="7" t="str">
        <f>"978-7-101-14864-0"</f>
        <v>978-7-101-14864-0</v>
      </c>
      <c r="C50" s="7" t="str">
        <f>"不空全集．上"</f>
        <v>不空全集．上</v>
      </c>
      <c r="D50" s="7" t="str">
        <f>"(唐) 不空撰；吕建福编"</f>
        <v>(唐) 不空撰；吕建福编</v>
      </c>
      <c r="E50" s="7" t="str">
        <f>"中华书局"</f>
        <v>中华书局</v>
      </c>
      <c r="F50" s="7" t="str">
        <f>"B94/78/1"</f>
        <v>B94/78/1</v>
      </c>
    </row>
    <row r="51" customHeight="1" spans="1:6">
      <c r="A51" s="6">
        <v>50</v>
      </c>
      <c r="B51" s="7" t="str">
        <f>"978-7-101-14864-0"</f>
        <v>978-7-101-14864-0</v>
      </c>
      <c r="C51" s="7" t="str">
        <f>"不空全集．下"</f>
        <v>不空全集．下</v>
      </c>
      <c r="D51" s="7" t="str">
        <f>"(唐) 不空撰；吕建福编"</f>
        <v>(唐) 不空撰；吕建福编</v>
      </c>
      <c r="E51" s="7" t="str">
        <f>"中华书局"</f>
        <v>中华书局</v>
      </c>
      <c r="F51" s="7" t="str">
        <f>"B94/78/2"</f>
        <v>B94/78/2</v>
      </c>
    </row>
    <row r="52" customHeight="1" spans="1:6">
      <c r="A52" s="6">
        <v>51</v>
      </c>
      <c r="B52" s="7" t="str">
        <f>"978-7-303-22625-2"</f>
        <v>978-7-303-22625-2</v>
      </c>
      <c r="C52" s="7" t="str">
        <f>"马克思主义哲学中国化与中国哲学的现代转型"</f>
        <v>马克思主义哲学中国化与中国哲学的现代转型</v>
      </c>
      <c r="D52" s="7" t="str">
        <f>"李维武著"</f>
        <v>李维武著</v>
      </c>
      <c r="E52" s="7" t="str">
        <f>"北京师范大学出版社"</f>
        <v>北京师范大学出版社</v>
      </c>
      <c r="F52" s="7" t="str">
        <f>"B27/31"</f>
        <v>B27/31</v>
      </c>
    </row>
    <row r="53" customHeight="1" spans="1:6">
      <c r="A53" s="6">
        <v>52</v>
      </c>
      <c r="B53" s="7" t="str">
        <f>"978-7-303-22625-2"</f>
        <v>978-7-303-22625-2</v>
      </c>
      <c r="C53" s="7" t="str">
        <f>"马克思主义哲学中国化与中国哲学的现代转型"</f>
        <v>马克思主义哲学中国化与中国哲学的现代转型</v>
      </c>
      <c r="D53" s="7" t="str">
        <f>"李维武著"</f>
        <v>李维武著</v>
      </c>
      <c r="E53" s="7" t="str">
        <f>"北京师范大学出版社"</f>
        <v>北京师范大学出版社</v>
      </c>
      <c r="F53" s="7" t="str">
        <f>"B27/31"</f>
        <v>B27/31</v>
      </c>
    </row>
    <row r="54" customHeight="1" spans="1:6">
      <c r="A54" s="6">
        <v>53</v>
      </c>
      <c r="B54" s="7" t="str">
        <f>"978-7-303-26861-0"</f>
        <v>978-7-303-26861-0</v>
      </c>
      <c r="C54" s="7" t="str">
        <f>"传统的张力：儒学思想与近代文化嬗变：confucianism and the transmutation of modern culture"</f>
        <v>传统的张力：儒学思想与近代文化嬗变：confucianism and the transmutation of modern culture</v>
      </c>
      <c r="D54" s="7" t="str">
        <f>"张昭军著"</f>
        <v>张昭军著</v>
      </c>
      <c r="E54" s="7" t="str">
        <f>"北京师范大学出版社"</f>
        <v>北京师范大学出版社</v>
      </c>
      <c r="F54" s="7" t="str">
        <f>"B222.05/216"</f>
        <v>B222.05/216</v>
      </c>
    </row>
    <row r="55" customHeight="1" spans="1:6">
      <c r="A55" s="6">
        <v>54</v>
      </c>
      <c r="B55" s="7" t="str">
        <f>"978-7-303-26861-0"</f>
        <v>978-7-303-26861-0</v>
      </c>
      <c r="C55" s="7" t="str">
        <f>"传统的张力：儒学思想与近代文化嬗变：confucianism and the transmutation of modern culture"</f>
        <v>传统的张力：儒学思想与近代文化嬗变：confucianism and the transmutation of modern culture</v>
      </c>
      <c r="D55" s="7" t="str">
        <f>"张昭军著"</f>
        <v>张昭军著</v>
      </c>
      <c r="E55" s="7" t="str">
        <f>"北京师范大学出版社"</f>
        <v>北京师范大学出版社</v>
      </c>
      <c r="F55" s="7" t="str">
        <f>"B222.05/216"</f>
        <v>B222.05/216</v>
      </c>
    </row>
    <row r="56" customHeight="1" spans="1:6">
      <c r="A56" s="6">
        <v>55</v>
      </c>
      <c r="B56" s="7" t="str">
        <f>"978-7-5207-1969-8"</f>
        <v>978-7-5207-1969-8</v>
      </c>
      <c r="C56" s="7" t="str">
        <f>"神仙、动物与人类社会谷种神话概述"</f>
        <v>神仙、动物与人类社会谷种神话概述</v>
      </c>
      <c r="D56" s="7" t="str">
        <f>"李鹏著"</f>
        <v>李鹏著</v>
      </c>
      <c r="E56" s="7" t="str">
        <f>"东方出版社"</f>
        <v>东方出版社</v>
      </c>
      <c r="F56" s="7" t="str">
        <f>"B932.2/35"</f>
        <v>B932.2/35</v>
      </c>
    </row>
    <row r="57" customHeight="1" spans="1:6">
      <c r="A57" s="6">
        <v>56</v>
      </c>
      <c r="B57" s="7" t="str">
        <f>"978-7-5207-1969-8"</f>
        <v>978-7-5207-1969-8</v>
      </c>
      <c r="C57" s="7" t="str">
        <f>"神仙、动物与人类社会谷种神话概述"</f>
        <v>神仙、动物与人类社会谷种神话概述</v>
      </c>
      <c r="D57" s="7" t="str">
        <f>"李鹏著"</f>
        <v>李鹏著</v>
      </c>
      <c r="E57" s="7" t="str">
        <f>"东方出版社"</f>
        <v>东方出版社</v>
      </c>
      <c r="F57" s="7" t="str">
        <f>"B932.2/35"</f>
        <v>B932.2/35</v>
      </c>
    </row>
    <row r="58" customHeight="1" spans="1:6">
      <c r="A58" s="6">
        <v>57</v>
      </c>
      <c r="B58" s="7" t="str">
        <f>"978-7-309-15291-3"</f>
        <v>978-7-309-15291-3</v>
      </c>
      <c r="C58" s="7" t="str">
        <f>"祭如在：明清之际西学观照下的儒家丧葬礼：confucian funeral and sacrifice contrasted from the perspective of west learning"</f>
        <v>祭如在：明清之际西学观照下的儒家丧葬礼：confucian funeral and sacrifice contrasted from the perspective of west learning</v>
      </c>
      <c r="D58" s="7" t="str">
        <f>"王定安著"</f>
        <v>王定安著</v>
      </c>
      <c r="E58" s="7" t="str">
        <f>"复旦大学出版社"</f>
        <v>复旦大学出版社</v>
      </c>
      <c r="F58" s="7" t="str">
        <f>"B222.05/217"</f>
        <v>B222.05/217</v>
      </c>
    </row>
    <row r="59" customHeight="1" spans="1:6">
      <c r="A59" s="6">
        <v>58</v>
      </c>
      <c r="B59" s="7" t="str">
        <f>"978-7-309-15291-3"</f>
        <v>978-7-309-15291-3</v>
      </c>
      <c r="C59" s="7" t="str">
        <f>"祭如在：明清之际西学观照下的儒家丧葬礼：confucian funeral and sacrifice contrasted from the perspective of west learning"</f>
        <v>祭如在：明清之际西学观照下的儒家丧葬礼：confucian funeral and sacrifice contrasted from the perspective of west learning</v>
      </c>
      <c r="D59" s="7" t="str">
        <f>"王定安著"</f>
        <v>王定安著</v>
      </c>
      <c r="E59" s="7" t="str">
        <f>"复旦大学出版社"</f>
        <v>复旦大学出版社</v>
      </c>
      <c r="F59" s="7" t="str">
        <f>"B222.05/217"</f>
        <v>B222.05/217</v>
      </c>
    </row>
    <row r="60" customHeight="1" spans="1:6">
      <c r="A60" s="6">
        <v>59</v>
      </c>
      <c r="B60" s="7" t="str">
        <f>"978-7-306-06991-7"</f>
        <v>978-7-306-06991-7</v>
      </c>
      <c r="C60" s="7" t="str">
        <f>"康德与中国哲学"</f>
        <v>康德与中国哲学</v>
      </c>
      <c r="D60" s="7" t="str">
        <f>"李明辉著"</f>
        <v>李明辉著</v>
      </c>
      <c r="E60" s="7" t="str">
        <f>"中山大学出版社"</f>
        <v>中山大学出版社</v>
      </c>
      <c r="F60" s="7" t="str">
        <f>"B516.31/73"</f>
        <v>B516.31/73</v>
      </c>
    </row>
    <row r="61" customHeight="1" spans="1:6">
      <c r="A61" s="6">
        <v>60</v>
      </c>
      <c r="B61" s="7" t="str">
        <f>"978-7-306-06991-7"</f>
        <v>978-7-306-06991-7</v>
      </c>
      <c r="C61" s="7" t="str">
        <f>"康德与中国哲学"</f>
        <v>康德与中国哲学</v>
      </c>
      <c r="D61" s="7" t="str">
        <f>"李明辉著"</f>
        <v>李明辉著</v>
      </c>
      <c r="E61" s="7" t="str">
        <f>"中山大学出版社"</f>
        <v>中山大学出版社</v>
      </c>
      <c r="F61" s="7" t="str">
        <f>"B516.31/73"</f>
        <v>B516.31/73</v>
      </c>
    </row>
    <row r="62" customHeight="1" spans="1:6">
      <c r="A62" s="6">
        <v>61</v>
      </c>
      <c r="B62" s="7" t="str">
        <f>"978-7-5638-3183-8"</f>
        <v>978-7-5638-3183-8</v>
      </c>
      <c r="C62" s="7" t="str">
        <f>"健康人格心理学：有效促进心理健康的9种模型"</f>
        <v>健康人格心理学：有效促进心理健康的9种模型</v>
      </c>
      <c r="D62" s="7" t="str">
        <f>"杨眉著"</f>
        <v>杨眉著</v>
      </c>
      <c r="E62" s="7" t="str">
        <f>"首都经济贸易大学出版社"</f>
        <v>首都经济贸易大学出版社</v>
      </c>
      <c r="F62" s="7" t="str">
        <f>"B848/216=2D"</f>
        <v>B848/216=2D</v>
      </c>
    </row>
    <row r="63" customHeight="1" spans="1:6">
      <c r="A63" s="6">
        <v>62</v>
      </c>
      <c r="B63" s="7" t="str">
        <f>"978-7-5638-3183-8"</f>
        <v>978-7-5638-3183-8</v>
      </c>
      <c r="C63" s="7" t="str">
        <f>"健康人格心理学：有效促进心理健康的9种模型"</f>
        <v>健康人格心理学：有效促进心理健康的9种模型</v>
      </c>
      <c r="D63" s="7" t="str">
        <f>"杨眉著"</f>
        <v>杨眉著</v>
      </c>
      <c r="E63" s="7" t="str">
        <f>"首都经济贸易大学出版社"</f>
        <v>首都经济贸易大学出版社</v>
      </c>
      <c r="F63" s="7" t="str">
        <f>"B848/216=2D"</f>
        <v>B848/216=2D</v>
      </c>
    </row>
    <row r="64" customHeight="1" spans="1:6">
      <c r="A64" s="6">
        <v>63</v>
      </c>
      <c r="B64" s="7" t="str">
        <f>"978-7-5638-3183-8"</f>
        <v>978-7-5638-3183-8</v>
      </c>
      <c r="C64" s="7" t="str">
        <f>"健康人格心理学：有效促进心理健康的9种模型"</f>
        <v>健康人格心理学：有效促进心理健康的9种模型</v>
      </c>
      <c r="D64" s="7" t="str">
        <f>"杨眉著"</f>
        <v>杨眉著</v>
      </c>
      <c r="E64" s="7" t="str">
        <f>"首都经济贸易大学出版社"</f>
        <v>首都经济贸易大学出版社</v>
      </c>
      <c r="F64" s="7" t="str">
        <f>"B848/216=2D"</f>
        <v>B848/216=2D</v>
      </c>
    </row>
    <row r="65" customHeight="1" spans="1:6">
      <c r="A65" s="6">
        <v>64</v>
      </c>
      <c r="B65" s="7" t="str">
        <f>"978-7-5596-5151-8"</f>
        <v>978-7-5596-5151-8</v>
      </c>
      <c r="C65" s="7" t="str">
        <f>"成长的边界：超专业化时代为什么通才能成功"</f>
        <v>成长的边界：超专业化时代为什么通才能成功</v>
      </c>
      <c r="D65" s="7" t="str">
        <f>"(加) 大卫·爱泼斯坦著；范雪竹译"</f>
        <v>(加) 大卫·爱泼斯坦著；范雪竹译</v>
      </c>
      <c r="E65" s="7" t="str">
        <f>"北京联合出版公司"</f>
        <v>北京联合出版公司</v>
      </c>
      <c r="F65" s="7" t="str">
        <f>"B848.4/4087"</f>
        <v>B848.4/4087</v>
      </c>
    </row>
    <row r="66" customHeight="1" spans="1:6">
      <c r="A66" s="6">
        <v>65</v>
      </c>
      <c r="B66" s="7" t="str">
        <f>"978-7-5596-5151-8"</f>
        <v>978-7-5596-5151-8</v>
      </c>
      <c r="C66" s="7" t="str">
        <f>"成长的边界：超专业化时代为什么通才能成功"</f>
        <v>成长的边界：超专业化时代为什么通才能成功</v>
      </c>
      <c r="D66" s="7" t="str">
        <f>"(加) 大卫·爱泼斯坦著；范雪竹译"</f>
        <v>(加) 大卫·爱泼斯坦著；范雪竹译</v>
      </c>
      <c r="E66" s="7" t="str">
        <f>"北京联合出版公司"</f>
        <v>北京联合出版公司</v>
      </c>
      <c r="F66" s="7" t="str">
        <f>"B848.4/4087"</f>
        <v>B848.4/4087</v>
      </c>
    </row>
    <row r="67" customHeight="1" spans="1:6">
      <c r="A67" s="6">
        <v>66</v>
      </c>
      <c r="B67" s="7" t="str">
        <f>"978-7-5596-5151-8"</f>
        <v>978-7-5596-5151-8</v>
      </c>
      <c r="C67" s="7" t="str">
        <f>"成长的边界：超专业化时代为什么通才能成功"</f>
        <v>成长的边界：超专业化时代为什么通才能成功</v>
      </c>
      <c r="D67" s="7" t="str">
        <f>"(加) 大卫·爱泼斯坦著；范雪竹译"</f>
        <v>(加) 大卫·爱泼斯坦著；范雪竹译</v>
      </c>
      <c r="E67" s="7" t="str">
        <f>"北京联合出版公司"</f>
        <v>北京联合出版公司</v>
      </c>
      <c r="F67" s="7" t="str">
        <f>"B848.4/4087"</f>
        <v>B848.4/4087</v>
      </c>
    </row>
    <row r="68" customHeight="1" spans="1:6">
      <c r="A68" s="6">
        <v>67</v>
      </c>
      <c r="B68" s="7" t="str">
        <f>"978-7-208-15622-7"</f>
        <v>978-7-208-15622-7</v>
      </c>
      <c r="C68" s="7" t="str">
        <f>"马克思的人本思想及其当代价值研究"</f>
        <v>马克思的人本思想及其当代价值研究</v>
      </c>
      <c r="D68" s="7" t="str">
        <f>"蒋锦洪， 刘洋， 闫莉著"</f>
        <v>蒋锦洪， 刘洋， 闫莉著</v>
      </c>
      <c r="E68" s="7" t="str">
        <f>"上海人民出版社"</f>
        <v>上海人民出版社</v>
      </c>
      <c r="F68" s="7" t="str">
        <f>"B0-0/100"</f>
        <v>B0-0/100</v>
      </c>
    </row>
    <row r="69" customHeight="1" spans="1:6">
      <c r="A69" s="6">
        <v>68</v>
      </c>
      <c r="B69" s="7" t="str">
        <f>"978-7-208-15622-7"</f>
        <v>978-7-208-15622-7</v>
      </c>
      <c r="C69" s="7" t="str">
        <f>"马克思的人本思想及其当代价值研究"</f>
        <v>马克思的人本思想及其当代价值研究</v>
      </c>
      <c r="D69" s="7" t="str">
        <f>"蒋锦洪， 刘洋， 闫莉著"</f>
        <v>蒋锦洪， 刘洋， 闫莉著</v>
      </c>
      <c r="E69" s="7" t="str">
        <f>"上海人民出版社"</f>
        <v>上海人民出版社</v>
      </c>
      <c r="F69" s="7" t="str">
        <f>"B0-0/100"</f>
        <v>B0-0/100</v>
      </c>
    </row>
    <row r="70" customHeight="1" spans="1:6">
      <c r="A70" s="6">
        <v>69</v>
      </c>
      <c r="B70" s="7" t="str">
        <f>"978-7-5115-6596-9"</f>
        <v>978-7-5115-6596-9</v>
      </c>
      <c r="C70" s="7" t="str">
        <f>"劳模精神"</f>
        <v>劳模精神</v>
      </c>
      <c r="D70" s="7" t="str">
        <f>"夏一璞著"</f>
        <v>夏一璞著</v>
      </c>
      <c r="E70" s="7" t="str">
        <f>"人民日报出版社"</f>
        <v>人民日报出版社</v>
      </c>
      <c r="F70" s="7" t="str">
        <f>"B822.9/180"</f>
        <v>B822.9/180</v>
      </c>
    </row>
    <row r="71" customHeight="1" spans="1:6">
      <c r="A71" s="6">
        <v>70</v>
      </c>
      <c r="B71" s="7" t="str">
        <f>"978-7-5115-6596-9"</f>
        <v>978-7-5115-6596-9</v>
      </c>
      <c r="C71" s="7" t="str">
        <f>"劳模精神"</f>
        <v>劳模精神</v>
      </c>
      <c r="D71" s="7" t="str">
        <f>"夏一璞著"</f>
        <v>夏一璞著</v>
      </c>
      <c r="E71" s="7" t="str">
        <f>"人民日报出版社"</f>
        <v>人民日报出版社</v>
      </c>
      <c r="F71" s="7" t="str">
        <f>"B822.9/180"</f>
        <v>B822.9/180</v>
      </c>
    </row>
    <row r="72" customHeight="1" spans="1:6">
      <c r="A72" s="6">
        <v>71</v>
      </c>
      <c r="B72" s="7" t="str">
        <f>"978-7-100-19046-6"</f>
        <v>978-7-100-19046-6</v>
      </c>
      <c r="C72" s="7" t="str">
        <f>"道德理由与正确行动"</f>
        <v>道德理由与正确行动</v>
      </c>
      <c r="D72" s="7" t="str">
        <f>"张曦著"</f>
        <v>张曦著</v>
      </c>
      <c r="E72" s="7" t="str">
        <f>"商务印书馆"</f>
        <v>商务印书馆</v>
      </c>
      <c r="F72" s="7" t="str">
        <f>"B82/470"</f>
        <v>B82/470</v>
      </c>
    </row>
    <row r="73" customHeight="1" spans="1:6">
      <c r="A73" s="6">
        <v>72</v>
      </c>
      <c r="B73" s="7" t="str">
        <f>"978-7-100-19046-6"</f>
        <v>978-7-100-19046-6</v>
      </c>
      <c r="C73" s="7" t="str">
        <f>"道德理由与正确行动"</f>
        <v>道德理由与正确行动</v>
      </c>
      <c r="D73" s="7" t="str">
        <f>"张曦著"</f>
        <v>张曦著</v>
      </c>
      <c r="E73" s="7" t="str">
        <f>"商务印书馆"</f>
        <v>商务印书馆</v>
      </c>
      <c r="F73" s="7" t="str">
        <f>"B82/470"</f>
        <v>B82/470</v>
      </c>
    </row>
    <row r="74" customHeight="1" spans="1:6">
      <c r="A74" s="6">
        <v>73</v>
      </c>
      <c r="B74" s="7" t="str">
        <f>"978-7-5722-2041-8"</f>
        <v>978-7-5722-2041-8</v>
      </c>
      <c r="C74" s="7" t="str">
        <f>"像高手一样解决问题"</f>
        <v>像高手一样解决问题</v>
      </c>
      <c r="D74" s="7" t="str">
        <f>"(法) 伯纳德·加雷特， (加) 科里·菲尔普斯， (法) 奥利维耶·西博尼著Bernard Garrette， Corey Phelps， Olivier Sibony；魏薇， 孙经纬译"</f>
        <v>(法) 伯纳德·加雷特， (加) 科里·菲尔普斯， (法) 奥利维耶·西博尼著Bernard Garrette， Corey Phelps， Olivier Sibony；魏薇， 孙经纬译</v>
      </c>
      <c r="E74" s="7" t="str">
        <f>"浙江教育出版社"</f>
        <v>浙江教育出版社</v>
      </c>
      <c r="F74" s="7" t="str">
        <f>"B842.5/87"</f>
        <v>B842.5/87</v>
      </c>
    </row>
    <row r="75" customHeight="1" spans="1:6">
      <c r="A75" s="6">
        <v>74</v>
      </c>
      <c r="B75" s="7" t="str">
        <f>"978-7-5722-2041-8"</f>
        <v>978-7-5722-2041-8</v>
      </c>
      <c r="C75" s="7" t="str">
        <f>"像高手一样解决问题"</f>
        <v>像高手一样解决问题</v>
      </c>
      <c r="D75" s="7" t="str">
        <f>"(法) 伯纳德·加雷特， (加) 科里·菲尔普斯， (法) 奥利维耶·西博尼著Bernard Garrette， Corey Phelps， Olivier Sibony；魏薇， 孙经纬译"</f>
        <v>(法) 伯纳德·加雷特， (加) 科里·菲尔普斯， (法) 奥利维耶·西博尼著Bernard Garrette， Corey Phelps， Olivier Sibony；魏薇， 孙经纬译</v>
      </c>
      <c r="E75" s="7" t="str">
        <f>"浙江教育出版社"</f>
        <v>浙江教育出版社</v>
      </c>
      <c r="F75" s="7" t="str">
        <f>"B842.5/87"</f>
        <v>B842.5/87</v>
      </c>
    </row>
    <row r="76" customHeight="1" spans="1:6">
      <c r="A76" s="6">
        <v>75</v>
      </c>
      <c r="B76" s="7" t="str">
        <f>"978-7-5087-6515-0"</f>
        <v>978-7-5087-6515-0</v>
      </c>
      <c r="C76" s="7" t="str">
        <f>"世界顶级思维"</f>
        <v>世界顶级思维</v>
      </c>
      <c r="D76" s="7" t="str">
        <f>"付国， 张静波编著"</f>
        <v>付国， 张静波编著</v>
      </c>
      <c r="E76" s="7" t="str">
        <f>"中国社会出版社"</f>
        <v>中国社会出版社</v>
      </c>
      <c r="F76" s="7" t="str">
        <f>"B804-49/19"</f>
        <v>B804-49/19</v>
      </c>
    </row>
    <row r="77" customHeight="1" spans="1:6">
      <c r="A77" s="6">
        <v>76</v>
      </c>
      <c r="B77" s="7" t="str">
        <f>"978-7-5087-6515-0"</f>
        <v>978-7-5087-6515-0</v>
      </c>
      <c r="C77" s="7" t="str">
        <f>"世界顶级思维"</f>
        <v>世界顶级思维</v>
      </c>
      <c r="D77" s="7" t="str">
        <f>"付国， 张静波编著"</f>
        <v>付国， 张静波编著</v>
      </c>
      <c r="E77" s="7" t="str">
        <f>"中国社会出版社"</f>
        <v>中国社会出版社</v>
      </c>
      <c r="F77" s="7" t="str">
        <f>"B804-49/19"</f>
        <v>B804-49/19</v>
      </c>
    </row>
    <row r="78" customHeight="1" spans="1:6">
      <c r="A78" s="6">
        <v>77</v>
      </c>
      <c r="B78" s="7" t="str">
        <f>"978-7-5087-6515-0"</f>
        <v>978-7-5087-6515-0</v>
      </c>
      <c r="C78" s="7" t="str">
        <f>"世界顶级思维"</f>
        <v>世界顶级思维</v>
      </c>
      <c r="D78" s="7" t="str">
        <f>"付国， 张静波编著"</f>
        <v>付国， 张静波编著</v>
      </c>
      <c r="E78" s="7" t="str">
        <f>"中国社会出版社"</f>
        <v>中国社会出版社</v>
      </c>
      <c r="F78" s="7" t="str">
        <f>"B804-49/19"</f>
        <v>B804-49/19</v>
      </c>
    </row>
    <row r="79" customHeight="1" spans="1:6">
      <c r="A79" s="6">
        <v>78</v>
      </c>
      <c r="B79" s="7" t="str">
        <f>"978-7-101-11896-4"</f>
        <v>978-7-101-11896-4</v>
      </c>
      <c r="C79" s="7" t="str">
        <f>"易学考古论集"</f>
        <v>易学考古论集</v>
      </c>
      <c r="D79" s="7" t="str">
        <f>"蔡运章， 董延寿， 张应桥主编"</f>
        <v>蔡运章， 董延寿， 张应桥主编</v>
      </c>
      <c r="E79" s="7" t="str">
        <f>"中华书局"</f>
        <v>中华书局</v>
      </c>
      <c r="F79" s="7" t="str">
        <f>"B221.5/235"</f>
        <v>B221.5/235</v>
      </c>
    </row>
    <row r="80" customHeight="1" spans="1:6">
      <c r="A80" s="6">
        <v>79</v>
      </c>
      <c r="B80" s="7" t="str">
        <f>"978-7-101-11896-4"</f>
        <v>978-7-101-11896-4</v>
      </c>
      <c r="C80" s="7" t="str">
        <f>"易学考古论集"</f>
        <v>易学考古论集</v>
      </c>
      <c r="D80" s="7" t="str">
        <f>"蔡运章， 董延寿， 张应桥主编"</f>
        <v>蔡运章， 董延寿， 张应桥主编</v>
      </c>
      <c r="E80" s="7" t="str">
        <f>"中华书局"</f>
        <v>中华书局</v>
      </c>
      <c r="F80" s="7" t="str">
        <f>"B221.5/235"</f>
        <v>B221.5/235</v>
      </c>
    </row>
    <row r="81" customHeight="1" spans="1:6">
      <c r="A81" s="6">
        <v>80</v>
      </c>
      <c r="B81" s="7" t="str">
        <f>"978-7-101-15258-6"</f>
        <v>978-7-101-15258-6</v>
      </c>
      <c r="C81" s="7" t="str">
        <f>"墨经公孙龙子译注"</f>
        <v>墨经公孙龙子译注</v>
      </c>
      <c r="D81" s="7" t="str">
        <f>"张荣明著"</f>
        <v>张荣明著</v>
      </c>
      <c r="E81" s="7" t="str">
        <f>"中华书局"</f>
        <v>中华书局</v>
      </c>
      <c r="F81" s="7" t="str">
        <f>"B224.2/10"</f>
        <v>B224.2/10</v>
      </c>
    </row>
    <row r="82" customHeight="1" spans="1:6">
      <c r="A82" s="6">
        <v>81</v>
      </c>
      <c r="B82" s="7" t="str">
        <f>"978-7-101-15258-6"</f>
        <v>978-7-101-15258-6</v>
      </c>
      <c r="C82" s="7" t="str">
        <f>"墨经公孙龙子译注"</f>
        <v>墨经公孙龙子译注</v>
      </c>
      <c r="D82" s="7" t="str">
        <f>"张荣明著"</f>
        <v>张荣明著</v>
      </c>
      <c r="E82" s="7" t="str">
        <f>"中华书局"</f>
        <v>中华书局</v>
      </c>
      <c r="F82" s="7" t="str">
        <f>"B224.2/10"</f>
        <v>B224.2/10</v>
      </c>
    </row>
    <row r="83" customHeight="1" spans="1:6">
      <c r="A83" s="6">
        <v>82</v>
      </c>
      <c r="B83" s="7" t="str">
        <f>"978-7-5447-8788-8"</f>
        <v>978-7-5447-8788-8</v>
      </c>
      <c r="C83" s="7" t="str">
        <f>"心理分析有什么用?"</f>
        <v>心理分析有什么用?</v>
      </c>
      <c r="D83" s="7" t="str">
        <f>"(英) 萨拉·托姆利著Sarah Tomley；赵凤青译"</f>
        <v>(英) 萨拉·托姆利著Sarah Tomley；赵凤青译</v>
      </c>
      <c r="E83" s="7" t="str">
        <f>"译林出版社"</f>
        <v>译林出版社</v>
      </c>
      <c r="F83" s="7" t="str">
        <f>"B84-065/57"</f>
        <v>B84-065/57</v>
      </c>
    </row>
    <row r="84" customHeight="1" spans="1:6">
      <c r="A84" s="6">
        <v>83</v>
      </c>
      <c r="B84" s="7" t="str">
        <f>"978-7-5447-8788-8"</f>
        <v>978-7-5447-8788-8</v>
      </c>
      <c r="C84" s="7" t="str">
        <f>"心理分析有什么用?"</f>
        <v>心理分析有什么用?</v>
      </c>
      <c r="D84" s="7" t="str">
        <f>"(英) 萨拉·托姆利著Sarah Tomley；赵凤青译"</f>
        <v>(英) 萨拉·托姆利著Sarah Tomley；赵凤青译</v>
      </c>
      <c r="E84" s="7" t="str">
        <f>"译林出版社"</f>
        <v>译林出版社</v>
      </c>
      <c r="F84" s="7" t="str">
        <f>"B84-065/57"</f>
        <v>B84-065/57</v>
      </c>
    </row>
    <row r="85" customHeight="1" spans="1:6">
      <c r="A85" s="6">
        <v>84</v>
      </c>
      <c r="B85" s="7" t="str">
        <f>"978-7-5447-8788-8"</f>
        <v>978-7-5447-8788-8</v>
      </c>
      <c r="C85" s="7" t="str">
        <f>"心理分析有什么用?"</f>
        <v>心理分析有什么用?</v>
      </c>
      <c r="D85" s="7" t="str">
        <f>"(英) 萨拉·托姆利著Sarah Tomley；赵凤青译"</f>
        <v>(英) 萨拉·托姆利著Sarah Tomley；赵凤青译</v>
      </c>
      <c r="E85" s="7" t="str">
        <f>"译林出版社"</f>
        <v>译林出版社</v>
      </c>
      <c r="F85" s="7" t="str">
        <f>"B84-065/57"</f>
        <v>B84-065/57</v>
      </c>
    </row>
    <row r="86" customHeight="1" spans="1:6">
      <c r="A86" s="6">
        <v>85</v>
      </c>
      <c r="B86" s="7" t="str">
        <f>"978-7-5075-5500-4"</f>
        <v>978-7-5075-5500-4</v>
      </c>
      <c r="C86" s="7" t="str">
        <f>"此道之美：先秦诸子人性艺术论"</f>
        <v>此道之美：先秦诸子人性艺术论</v>
      </c>
      <c r="D86" s="7" t="str">
        <f>"张学君著"</f>
        <v>张学君著</v>
      </c>
      <c r="E86" s="7" t="str">
        <f>"华文出版社"</f>
        <v>华文出版社</v>
      </c>
      <c r="F86" s="7" t="str">
        <f>"B220.5/72"</f>
        <v>B220.5/72</v>
      </c>
    </row>
    <row r="87" customHeight="1" spans="1:6">
      <c r="A87" s="6">
        <v>86</v>
      </c>
      <c r="B87" s="7" t="str">
        <f>"978-7-5075-5500-4"</f>
        <v>978-7-5075-5500-4</v>
      </c>
      <c r="C87" s="7" t="str">
        <f>"此道之美：先秦诸子人性艺术论"</f>
        <v>此道之美：先秦诸子人性艺术论</v>
      </c>
      <c r="D87" s="7" t="str">
        <f>"张学君著"</f>
        <v>张学君著</v>
      </c>
      <c r="E87" s="7" t="str">
        <f>"华文出版社"</f>
        <v>华文出版社</v>
      </c>
      <c r="F87" s="7" t="str">
        <f>"B220.5/72"</f>
        <v>B220.5/72</v>
      </c>
    </row>
    <row r="88" customHeight="1" spans="1:6">
      <c r="A88" s="6">
        <v>87</v>
      </c>
      <c r="B88" s="7" t="str">
        <f>"978-7-5075-5500-4"</f>
        <v>978-7-5075-5500-4</v>
      </c>
      <c r="C88" s="7" t="str">
        <f>"此道之美：先秦诸子人性艺术论"</f>
        <v>此道之美：先秦诸子人性艺术论</v>
      </c>
      <c r="D88" s="7" t="str">
        <f>"张学君著"</f>
        <v>张学君著</v>
      </c>
      <c r="E88" s="7" t="str">
        <f>"华文出版社"</f>
        <v>华文出版社</v>
      </c>
      <c r="F88" s="7" t="str">
        <f>"B220.5/72"</f>
        <v>B220.5/72</v>
      </c>
    </row>
    <row r="89" customHeight="1" spans="1:6">
      <c r="A89" s="6">
        <v>88</v>
      </c>
      <c r="B89" s="7" t="str">
        <f>"978-7-108-06555-1"</f>
        <v>978-7-108-06555-1</v>
      </c>
      <c r="C89" s="7" t="str">
        <f>"圣安布罗焦的修女们：一个真实的故事：Eine Wahre Geschichte"</f>
        <v>圣安布罗焦的修女们：一个真实的故事：Eine Wahre Geschichte</v>
      </c>
      <c r="D89" s="7" t="str">
        <f>"(德) 胡贝特·沃尔夫著Hubert Wolf；徐逸群译"</f>
        <v>(德) 胡贝特·沃尔夫著Hubert Wolf；徐逸群译</v>
      </c>
      <c r="E89" s="7" t="str">
        <f>"三联书店"</f>
        <v>三联书店</v>
      </c>
      <c r="F89" s="7" t="str">
        <f>"B976.1/10"</f>
        <v>B976.1/10</v>
      </c>
    </row>
    <row r="90" customHeight="1" spans="1:6">
      <c r="A90" s="6">
        <v>89</v>
      </c>
      <c r="B90" s="7" t="str">
        <f>"978-7-108-06555-1"</f>
        <v>978-7-108-06555-1</v>
      </c>
      <c r="C90" s="7" t="str">
        <f>"圣安布罗焦的修女们：一个真实的故事：Eine Wahre Geschichte"</f>
        <v>圣安布罗焦的修女们：一个真实的故事：Eine Wahre Geschichte</v>
      </c>
      <c r="D90" s="7" t="str">
        <f>"(德) 胡贝特·沃尔夫著Hubert Wolf；徐逸群译"</f>
        <v>(德) 胡贝特·沃尔夫著Hubert Wolf；徐逸群译</v>
      </c>
      <c r="E90" s="7" t="str">
        <f>"三联书店"</f>
        <v>三联书店</v>
      </c>
      <c r="F90" s="7" t="str">
        <f>"B976.1/10"</f>
        <v>B976.1/10</v>
      </c>
    </row>
    <row r="91" customHeight="1" spans="1:6">
      <c r="A91" s="6">
        <v>90</v>
      </c>
      <c r="B91" s="7" t="str">
        <f>"978-7-108-06555-1"</f>
        <v>978-7-108-06555-1</v>
      </c>
      <c r="C91" s="7" t="str">
        <f>"圣安布罗焦的修女们：一个真实的故事：Eine Wahre Geschichte"</f>
        <v>圣安布罗焦的修女们：一个真实的故事：Eine Wahre Geschichte</v>
      </c>
      <c r="D91" s="7" t="str">
        <f>"(德) 胡贝特·沃尔夫著Hubert Wolf；徐逸群译"</f>
        <v>(德) 胡贝特·沃尔夫著Hubert Wolf；徐逸群译</v>
      </c>
      <c r="E91" s="7" t="str">
        <f>"三联书店"</f>
        <v>三联书店</v>
      </c>
      <c r="F91" s="7" t="str">
        <f>"B976.1/10"</f>
        <v>B976.1/10</v>
      </c>
    </row>
    <row r="92" customHeight="1" spans="1:6">
      <c r="A92" s="6">
        <v>91</v>
      </c>
      <c r="B92" s="7" t="str">
        <f>"978-7-108-04426-6"</f>
        <v>978-7-108-04426-6</v>
      </c>
      <c r="C92" s="7" t="str">
        <f>"错引耶稣：《圣经》传抄、更改的内幕"</f>
        <v>错引耶稣：《圣经》传抄、更改的内幕</v>
      </c>
      <c r="D92" s="7" t="str">
        <f>"(美) 巴特·埃尔曼著；黄恩邻译"</f>
        <v>(美) 巴特·埃尔曼著；黄恩邻译</v>
      </c>
      <c r="E92" s="7" t="str">
        <f>"三联书店"</f>
        <v>三联书店</v>
      </c>
      <c r="F92" s="7" t="str">
        <f>"B971/94"</f>
        <v>B971/94</v>
      </c>
    </row>
    <row r="93" customHeight="1" spans="1:6">
      <c r="A93" s="6">
        <v>92</v>
      </c>
      <c r="B93" s="7" t="str">
        <f>"978-7-108-04426-6"</f>
        <v>978-7-108-04426-6</v>
      </c>
      <c r="C93" s="7" t="str">
        <f>"错引耶稣：《圣经》传抄、更改的内幕"</f>
        <v>错引耶稣：《圣经》传抄、更改的内幕</v>
      </c>
      <c r="D93" s="7" t="str">
        <f>"(美) 巴特·埃尔曼著；黄恩邻译"</f>
        <v>(美) 巴特·埃尔曼著；黄恩邻译</v>
      </c>
      <c r="E93" s="7" t="str">
        <f>"三联书店"</f>
        <v>三联书店</v>
      </c>
      <c r="F93" s="7" t="str">
        <f>"B971/94"</f>
        <v>B971/94</v>
      </c>
    </row>
    <row r="94" customHeight="1" spans="1:6">
      <c r="A94" s="6">
        <v>93</v>
      </c>
      <c r="B94" s="7" t="str">
        <f>"978-7-108-04426-6"</f>
        <v>978-7-108-04426-6</v>
      </c>
      <c r="C94" s="7" t="str">
        <f>"错引耶稣：《圣经》传抄、更改的内幕"</f>
        <v>错引耶稣：《圣经》传抄、更改的内幕</v>
      </c>
      <c r="D94" s="7" t="str">
        <f>"(美) 巴特·埃尔曼著；黄恩邻译"</f>
        <v>(美) 巴特·埃尔曼著；黄恩邻译</v>
      </c>
      <c r="E94" s="7" t="str">
        <f>"三联书店"</f>
        <v>三联书店</v>
      </c>
      <c r="F94" s="7" t="str">
        <f>"B971/94"</f>
        <v>B971/94</v>
      </c>
    </row>
    <row r="95" customHeight="1" spans="1:6">
      <c r="A95" s="6">
        <v>94</v>
      </c>
      <c r="B95" s="7" t="str">
        <f>"978-7-5217-1043-4"</f>
        <v>978-7-5217-1043-4</v>
      </c>
      <c r="C95" s="7" t="str">
        <f>"追寻幸福"</f>
        <v>追寻幸福</v>
      </c>
      <c r="D95" s="7" t="str">
        <f>"(美) 威尔·杜兰特著Will Durant；赵宴群译"</f>
        <v>(美) 威尔·杜兰特著Will Durant；赵宴群译</v>
      </c>
      <c r="E95" s="7" t="str">
        <f>"中信出版集团股份有限公司"</f>
        <v>中信出版集团股份有限公司</v>
      </c>
      <c r="F95" s="7" t="str">
        <f>"B821-49/1809"</f>
        <v>B821-49/1809</v>
      </c>
    </row>
    <row r="96" customHeight="1" spans="1:6">
      <c r="A96" s="6">
        <v>95</v>
      </c>
      <c r="B96" s="7" t="str">
        <f>"978-7-5217-1043-4"</f>
        <v>978-7-5217-1043-4</v>
      </c>
      <c r="C96" s="7" t="str">
        <f>"追寻幸福"</f>
        <v>追寻幸福</v>
      </c>
      <c r="D96" s="7" t="str">
        <f>"(美) 威尔·杜兰特著Will Durant；赵宴群译"</f>
        <v>(美) 威尔·杜兰特著Will Durant；赵宴群译</v>
      </c>
      <c r="E96" s="7" t="str">
        <f>"中信出版集团股份有限公司"</f>
        <v>中信出版集团股份有限公司</v>
      </c>
      <c r="F96" s="7" t="str">
        <f>"B821-49/1809"</f>
        <v>B821-49/1809</v>
      </c>
    </row>
    <row r="97" customHeight="1" spans="1:6">
      <c r="A97" s="6">
        <v>96</v>
      </c>
      <c r="B97" s="7" t="str">
        <f>"978-7-5702-1118-0"</f>
        <v>978-7-5702-1118-0</v>
      </c>
      <c r="C97" s="7" t="str">
        <f>"美学漫步"</f>
        <v>美学漫步</v>
      </c>
      <c r="D97" s="7" t="str">
        <f>"宗白华著"</f>
        <v>宗白华著</v>
      </c>
      <c r="E97" s="7" t="str">
        <f>"长江文艺出版社"</f>
        <v>长江文艺出版社</v>
      </c>
      <c r="F97" s="7" t="str">
        <f>"B83-53/21"</f>
        <v>B83-53/21</v>
      </c>
    </row>
    <row r="98" customHeight="1" spans="1:6">
      <c r="A98" s="6">
        <v>97</v>
      </c>
      <c r="B98" s="7" t="str">
        <f>"978-7-5702-1118-0"</f>
        <v>978-7-5702-1118-0</v>
      </c>
      <c r="C98" s="7" t="str">
        <f>"美学漫步"</f>
        <v>美学漫步</v>
      </c>
      <c r="D98" s="7" t="str">
        <f>"宗白华著"</f>
        <v>宗白华著</v>
      </c>
      <c r="E98" s="7" t="str">
        <f>"长江文艺出版社"</f>
        <v>长江文艺出版社</v>
      </c>
      <c r="F98" s="7" t="str">
        <f>"B83-53/21"</f>
        <v>B83-53/21</v>
      </c>
    </row>
    <row r="99" customHeight="1" spans="1:6">
      <c r="A99" s="6">
        <v>98</v>
      </c>
      <c r="B99" s="7" t="str">
        <f>"978-7-309-15421-4"</f>
        <v>978-7-309-15421-4</v>
      </c>
      <c r="C99" s="7" t="str">
        <f>"王阳明：“心”的救赎之路"</f>
        <v>王阳明：“心”的救赎之路</v>
      </c>
      <c r="D99" s="7" t="str">
        <f>"束景南著"</f>
        <v>束景南著</v>
      </c>
      <c r="E99" s="7" t="str">
        <f>"复旦大学出版社"</f>
        <v>复旦大学出版社</v>
      </c>
      <c r="F99" s="7" t="str">
        <f>"B248.25/74-2"</f>
        <v>B248.25/74-2</v>
      </c>
    </row>
    <row r="100" customHeight="1" spans="1:6">
      <c r="A100" s="6">
        <v>99</v>
      </c>
      <c r="B100" s="7" t="str">
        <f>"978-7-309-15421-4"</f>
        <v>978-7-309-15421-4</v>
      </c>
      <c r="C100" s="7" t="str">
        <f>"王阳明：“心”的救赎之路"</f>
        <v>王阳明：“心”的救赎之路</v>
      </c>
      <c r="D100" s="7" t="str">
        <f>"束景南著"</f>
        <v>束景南著</v>
      </c>
      <c r="E100" s="7" t="str">
        <f>"复旦大学出版社"</f>
        <v>复旦大学出版社</v>
      </c>
      <c r="F100" s="7" t="str">
        <f>"B248.25/74-2"</f>
        <v>B248.25/74-2</v>
      </c>
    </row>
    <row r="101" customHeight="1" spans="1:6">
      <c r="A101" s="6">
        <v>100</v>
      </c>
      <c r="B101" s="7" t="str">
        <f>"978-7-214-22952-6"</f>
        <v>978-7-214-22952-6</v>
      </c>
      <c r="C101" s="7" t="str">
        <f>"修仙：古代中国的修行与社会记忆：ascetics and social memory in early medieval China"</f>
        <v>修仙：古代中国的修行与社会记忆：ascetics and social memory in early medieval China</v>
      </c>
      <c r="D101" s="7" t="str">
        <f>"(美) 康儒博著；顾漩译"</f>
        <v>(美) 康儒博著；顾漩译</v>
      </c>
      <c r="E101" s="7" t="str">
        <f>"江苏人民出版社"</f>
        <v>江苏人民出版社</v>
      </c>
      <c r="F101" s="7" t="str">
        <f>"B958/24"</f>
        <v>B958/24</v>
      </c>
    </row>
    <row r="102" customHeight="1" spans="1:6">
      <c r="A102" s="6">
        <v>101</v>
      </c>
      <c r="B102" s="7" t="str">
        <f>"978-7-214-22952-6"</f>
        <v>978-7-214-22952-6</v>
      </c>
      <c r="C102" s="7" t="str">
        <f>"修仙：古代中国的修行与社会记忆：ascetics and social memory in early medieval China"</f>
        <v>修仙：古代中国的修行与社会记忆：ascetics and social memory in early medieval China</v>
      </c>
      <c r="D102" s="7" t="str">
        <f>"(美) 康儒博著；顾漩译"</f>
        <v>(美) 康儒博著；顾漩译</v>
      </c>
      <c r="E102" s="7" t="str">
        <f>"江苏人民出版社"</f>
        <v>江苏人民出版社</v>
      </c>
      <c r="F102" s="7" t="str">
        <f>"B958/24"</f>
        <v>B958/24</v>
      </c>
    </row>
    <row r="103" customHeight="1" spans="1:6">
      <c r="A103" s="6">
        <v>102</v>
      </c>
      <c r="B103" s="7" t="str">
        <f>"978-7-214-22952-6"</f>
        <v>978-7-214-22952-6</v>
      </c>
      <c r="C103" s="7" t="str">
        <f>"修仙：古代中国的修行与社会记忆：ascetics and social memory in early medieval China"</f>
        <v>修仙：古代中国的修行与社会记忆：ascetics and social memory in early medieval China</v>
      </c>
      <c r="D103" s="7" t="str">
        <f>"(美) 康儒博著；顾漩译"</f>
        <v>(美) 康儒博著；顾漩译</v>
      </c>
      <c r="E103" s="7" t="str">
        <f>"江苏人民出版社"</f>
        <v>江苏人民出版社</v>
      </c>
      <c r="F103" s="7" t="str">
        <f>"B958/24"</f>
        <v>B958/24</v>
      </c>
    </row>
    <row r="104" customHeight="1" spans="1:6">
      <c r="A104" s="6">
        <v>103</v>
      </c>
      <c r="B104" s="7" t="str">
        <f>"978-7-214-22418-7"</f>
        <v>978-7-214-22418-7</v>
      </c>
      <c r="C104" s="7" t="str">
        <f>"古代中国的宇宙论"</f>
        <v>古代中国的宇宙论</v>
      </c>
      <c r="D104" s="7" t="str">
        <f>"(日) 浅野裕一著；吴昊阳译"</f>
        <v>(日) 浅野裕一著；吴昊阳译</v>
      </c>
      <c r="E104" s="7" t="str">
        <f>"江苏人民出版社"</f>
        <v>江苏人民出版社</v>
      </c>
      <c r="F104" s="7" t="str">
        <f>"B223.05/34"</f>
        <v>B223.05/34</v>
      </c>
    </row>
    <row r="105" customHeight="1" spans="1:6">
      <c r="A105" s="6">
        <v>104</v>
      </c>
      <c r="B105" s="7" t="str">
        <f>"978-7-214-22418-7"</f>
        <v>978-7-214-22418-7</v>
      </c>
      <c r="C105" s="7" t="str">
        <f>"古代中国的宇宙论"</f>
        <v>古代中国的宇宙论</v>
      </c>
      <c r="D105" s="7" t="str">
        <f>"(日) 浅野裕一著；吴昊阳译"</f>
        <v>(日) 浅野裕一著；吴昊阳译</v>
      </c>
      <c r="E105" s="7" t="str">
        <f>"江苏人民出版社"</f>
        <v>江苏人民出版社</v>
      </c>
      <c r="F105" s="7" t="str">
        <f>"B223.05/34"</f>
        <v>B223.05/34</v>
      </c>
    </row>
    <row r="106" customHeight="1" spans="1:6">
      <c r="A106" s="6">
        <v>105</v>
      </c>
      <c r="B106" s="7" t="str">
        <f>"978-7-214-22418-7"</f>
        <v>978-7-214-22418-7</v>
      </c>
      <c r="C106" s="7" t="str">
        <f>"古代中国的宇宙论"</f>
        <v>古代中国的宇宙论</v>
      </c>
      <c r="D106" s="7" t="str">
        <f>"(日) 浅野裕一著；吴昊阳译"</f>
        <v>(日) 浅野裕一著；吴昊阳译</v>
      </c>
      <c r="E106" s="7" t="str">
        <f>"江苏人民出版社"</f>
        <v>江苏人民出版社</v>
      </c>
      <c r="F106" s="7" t="str">
        <f>"B223.05/34"</f>
        <v>B223.05/34</v>
      </c>
    </row>
    <row r="107" customHeight="1" spans="1:6">
      <c r="A107" s="6">
        <v>106</v>
      </c>
      <c r="B107" s="7" t="str">
        <f>"978-7-5217-1653-5"</f>
        <v>978-7-5217-1653-5</v>
      </c>
      <c r="C107" s="7" t="str">
        <f>"哲学家"</f>
        <v>哲学家</v>
      </c>
      <c r="D107" s="7" t="str">
        <f>"(美) 威尔·杜兰特著Will Durant；刘军译"</f>
        <v>(美) 威尔·杜兰特著Will Durant；刘军译</v>
      </c>
      <c r="E107" s="7" t="str">
        <f>"中信出版集团股份有限公司"</f>
        <v>中信出版集团股份有限公司</v>
      </c>
      <c r="F107" s="7" t="str">
        <f>"B0/158"</f>
        <v>B0/158</v>
      </c>
    </row>
    <row r="108" customHeight="1" spans="1:6">
      <c r="A108" s="6">
        <v>107</v>
      </c>
      <c r="B108" s="7" t="str">
        <f>"978-7-5217-1653-5"</f>
        <v>978-7-5217-1653-5</v>
      </c>
      <c r="C108" s="7" t="str">
        <f>"哲学家"</f>
        <v>哲学家</v>
      </c>
      <c r="D108" s="7" t="str">
        <f>"(美) 威尔·杜兰特著Will Durant；刘军译"</f>
        <v>(美) 威尔·杜兰特著Will Durant；刘军译</v>
      </c>
      <c r="E108" s="7" t="str">
        <f>"中信出版集团股份有限公司"</f>
        <v>中信出版集团股份有限公司</v>
      </c>
      <c r="F108" s="7" t="str">
        <f>"B0/158"</f>
        <v>B0/158</v>
      </c>
    </row>
    <row r="109" customHeight="1" spans="1:6">
      <c r="A109" s="6">
        <v>108</v>
      </c>
      <c r="B109" s="7" t="str">
        <f>"978-7-5217-1653-5"</f>
        <v>978-7-5217-1653-5</v>
      </c>
      <c r="C109" s="7" t="str">
        <f>"哲学家"</f>
        <v>哲学家</v>
      </c>
      <c r="D109" s="7" t="str">
        <f>"(美) 威尔·杜兰特著Will Durant；刘军译"</f>
        <v>(美) 威尔·杜兰特著Will Durant；刘军译</v>
      </c>
      <c r="E109" s="7" t="str">
        <f>"中信出版集团股份有限公司"</f>
        <v>中信出版集团股份有限公司</v>
      </c>
      <c r="F109" s="7" t="str">
        <f>"B0/158"</f>
        <v>B0/158</v>
      </c>
    </row>
    <row r="110" customHeight="1" spans="1:6">
      <c r="A110" s="6">
        <v>109</v>
      </c>
      <c r="B110" s="7" t="str">
        <f>"978-7-5217-3237-5"</f>
        <v>978-7-5217-3237-5</v>
      </c>
      <c r="C110" s="7" t="str">
        <f>"常识工作法：how to eliminate bureaucratic red tape， bad excuses and corporate BS"</f>
        <v>常识工作法：how to eliminate bureaucratic red tape， bad excuses and corporate BS</v>
      </c>
      <c r="D110" s="7" t="str">
        <f>"(丹麦) 马丁·林斯特龙著Martin Lindstorm；陈召强译"</f>
        <v>(丹麦) 马丁·林斯特龙著Martin Lindstorm；陈召强译</v>
      </c>
      <c r="E110" s="7" t="str">
        <f>"中信出版集团股份有限公司"</f>
        <v>中信出版集团股份有限公司</v>
      </c>
      <c r="F110" s="7" t="str">
        <f>"B026-49/43"</f>
        <v>B026-49/43</v>
      </c>
    </row>
    <row r="111" customHeight="1" spans="1:6">
      <c r="A111" s="6">
        <v>110</v>
      </c>
      <c r="B111" s="7" t="str">
        <f>"978-7-5217-3237-5"</f>
        <v>978-7-5217-3237-5</v>
      </c>
      <c r="C111" s="7" t="str">
        <f>"常识工作法：how to eliminate bureaucratic red tape， bad excuses and corporate BS"</f>
        <v>常识工作法：how to eliminate bureaucratic red tape， bad excuses and corporate BS</v>
      </c>
      <c r="D111" s="7" t="str">
        <f>"(丹麦) 马丁·林斯特龙著Martin Lindstorm；陈召强译"</f>
        <v>(丹麦) 马丁·林斯特龙著Martin Lindstorm；陈召强译</v>
      </c>
      <c r="E111" s="7" t="str">
        <f>"中信出版集团股份有限公司"</f>
        <v>中信出版集团股份有限公司</v>
      </c>
      <c r="F111" s="7" t="str">
        <f>"B026-49/43"</f>
        <v>B026-49/43</v>
      </c>
    </row>
    <row r="112" customHeight="1" spans="1:6">
      <c r="A112" s="6">
        <v>111</v>
      </c>
      <c r="B112" s="7" t="str">
        <f>"978-7-5217-3237-5"</f>
        <v>978-7-5217-3237-5</v>
      </c>
      <c r="C112" s="7" t="str">
        <f>"常识工作法：how to eliminate bureaucratic red tape， bad excuses and corporate BS"</f>
        <v>常识工作法：how to eliminate bureaucratic red tape， bad excuses and corporate BS</v>
      </c>
      <c r="D112" s="7" t="str">
        <f>"(丹麦) 马丁·林斯特龙著Martin Lindstorm；陈召强译"</f>
        <v>(丹麦) 马丁·林斯特龙著Martin Lindstorm；陈召强译</v>
      </c>
      <c r="E112" s="7" t="str">
        <f>"中信出版集团股份有限公司"</f>
        <v>中信出版集团股份有限公司</v>
      </c>
      <c r="F112" s="7" t="str">
        <f>"B026-49/43"</f>
        <v>B026-49/43</v>
      </c>
    </row>
    <row r="113" customHeight="1" spans="1:6">
      <c r="A113" s="6">
        <v>112</v>
      </c>
      <c r="B113" s="7" t="str">
        <f>"978-7-208-16889-3"</f>
        <v>978-7-208-16889-3</v>
      </c>
      <c r="C113" s="7" t="str">
        <f>"叔本华论生存与痛苦"</f>
        <v>叔本华论生存与痛苦</v>
      </c>
      <c r="D113" s="7" t="str">
        <f>"(德) 叔本华著；齐格飞译"</f>
        <v>(德) 叔本华著；齐格飞译</v>
      </c>
      <c r="E113" s="7" t="str">
        <f>"上海人民出版社"</f>
        <v>上海人民出版社</v>
      </c>
      <c r="F113" s="7" t="str">
        <f>"B516.41/52=2D"</f>
        <v>B516.41/52=2D</v>
      </c>
    </row>
    <row r="114" customHeight="1" spans="1:6">
      <c r="A114" s="6">
        <v>113</v>
      </c>
      <c r="B114" s="7" t="str">
        <f>"978-7-208-16889-3"</f>
        <v>978-7-208-16889-3</v>
      </c>
      <c r="C114" s="7" t="str">
        <f>"叔本华论生存与痛苦"</f>
        <v>叔本华论生存与痛苦</v>
      </c>
      <c r="D114" s="7" t="str">
        <f>"(德) 叔本华著；齐格飞译"</f>
        <v>(德) 叔本华著；齐格飞译</v>
      </c>
      <c r="E114" s="7" t="str">
        <f>"上海人民出版社"</f>
        <v>上海人民出版社</v>
      </c>
      <c r="F114" s="7" t="str">
        <f>"B516.41/52=2D"</f>
        <v>B516.41/52=2D</v>
      </c>
    </row>
    <row r="115" customHeight="1" spans="1:6">
      <c r="A115" s="6">
        <v>114</v>
      </c>
      <c r="B115" s="7" t="str">
        <f>"978-7-208-16889-3"</f>
        <v>978-7-208-16889-3</v>
      </c>
      <c r="C115" s="7" t="str">
        <f>"叔本华论生存与痛苦"</f>
        <v>叔本华论生存与痛苦</v>
      </c>
      <c r="D115" s="7" t="str">
        <f>"(德) 叔本华著；齐格飞译"</f>
        <v>(德) 叔本华著；齐格飞译</v>
      </c>
      <c r="E115" s="7" t="str">
        <f>"上海人民出版社"</f>
        <v>上海人民出版社</v>
      </c>
      <c r="F115" s="7" t="str">
        <f>"B516.41/52=2D"</f>
        <v>B516.41/52=2D</v>
      </c>
    </row>
    <row r="116" customHeight="1" spans="1:6">
      <c r="A116" s="6">
        <v>115</v>
      </c>
      <c r="B116" s="7" t="str">
        <f>"978-7-5217-3417-1"</f>
        <v>978-7-5217-3417-1</v>
      </c>
      <c r="C116" s="7" t="str">
        <f>"看见生命"</f>
        <v>看见生命</v>
      </c>
      <c r="D116" s="7" t="str">
        <f>" (美) 布鲁斯·格雷森著Bruce Greyson；杨清波， 姜丽译"</f>
        <v> (美) 布鲁斯·格雷森著Bruce Greyson；杨清波， 姜丽译</v>
      </c>
      <c r="E116" s="7" t="str">
        <f>"中信出版集团股份有限公司"</f>
        <v>中信出版集团股份有限公司</v>
      </c>
      <c r="F116" s="7" t="str">
        <f>"B086/55"</f>
        <v>B086/55</v>
      </c>
    </row>
    <row r="117" customHeight="1" spans="1:6">
      <c r="A117" s="6">
        <v>116</v>
      </c>
      <c r="B117" s="7" t="str">
        <f>"978-7-5217-3417-1"</f>
        <v>978-7-5217-3417-1</v>
      </c>
      <c r="C117" s="7" t="str">
        <f>"看见生命"</f>
        <v>看见生命</v>
      </c>
      <c r="D117" s="7" t="str">
        <f>" (美) 布鲁斯·格雷森著Bruce Greyson；杨清波， 姜丽译"</f>
        <v> (美) 布鲁斯·格雷森著Bruce Greyson；杨清波， 姜丽译</v>
      </c>
      <c r="E117" s="7" t="str">
        <f>"中信出版集团股份有限公司"</f>
        <v>中信出版集团股份有限公司</v>
      </c>
      <c r="F117" s="7" t="str">
        <f>"B086/55"</f>
        <v>B086/55</v>
      </c>
    </row>
    <row r="118" customHeight="1" spans="1:6">
      <c r="A118" s="6">
        <v>117</v>
      </c>
      <c r="B118" s="7" t="str">
        <f>"978-7-5217-3417-1"</f>
        <v>978-7-5217-3417-1</v>
      </c>
      <c r="C118" s="7" t="str">
        <f>"看见生命"</f>
        <v>看见生命</v>
      </c>
      <c r="D118" s="7" t="str">
        <f>" (美) 布鲁斯·格雷森著Bruce Greyson；杨清波， 姜丽译"</f>
        <v> (美) 布鲁斯·格雷森著Bruce Greyson；杨清波， 姜丽译</v>
      </c>
      <c r="E118" s="7" t="str">
        <f>"中信出版集团股份有限公司"</f>
        <v>中信出版集团股份有限公司</v>
      </c>
      <c r="F118" s="7" t="str">
        <f>"B086/55"</f>
        <v>B086/55</v>
      </c>
    </row>
    <row r="119" customHeight="1" spans="1:6">
      <c r="A119" s="6">
        <v>118</v>
      </c>
      <c r="B119" s="7" t="str">
        <f>"978-7-5447-8767-3"</f>
        <v>978-7-5447-8767-3</v>
      </c>
      <c r="C119" s="7" t="str">
        <f>"哲学有什么用?"</f>
        <v>哲学有什么用?</v>
      </c>
      <c r="D119" s="7" t="str">
        <f>"(英) 马库斯·威克斯著Marcus Weeks；吴培瑜译"</f>
        <v>(英) 马库斯·威克斯著Marcus Weeks；吴培瑜译</v>
      </c>
      <c r="E119" s="7" t="str">
        <f>"译林出版社"</f>
        <v>译林出版社</v>
      </c>
      <c r="F119" s="7" t="str">
        <f>"B-49/116"</f>
        <v>B-49/116</v>
      </c>
    </row>
    <row r="120" customHeight="1" spans="1:6">
      <c r="A120" s="6">
        <v>119</v>
      </c>
      <c r="B120" s="7" t="str">
        <f>"978-7-5447-8767-3"</f>
        <v>978-7-5447-8767-3</v>
      </c>
      <c r="C120" s="7" t="str">
        <f>"哲学有什么用?"</f>
        <v>哲学有什么用?</v>
      </c>
      <c r="D120" s="7" t="str">
        <f>"(英) 马库斯·威克斯著Marcus Weeks；吴培瑜译"</f>
        <v>(英) 马库斯·威克斯著Marcus Weeks；吴培瑜译</v>
      </c>
      <c r="E120" s="7" t="str">
        <f>"译林出版社"</f>
        <v>译林出版社</v>
      </c>
      <c r="F120" s="7" t="str">
        <f>"B-49/116"</f>
        <v>B-49/116</v>
      </c>
    </row>
    <row r="121" customHeight="1" spans="1:6">
      <c r="A121" s="6">
        <v>120</v>
      </c>
      <c r="B121" s="7" t="str">
        <f>"978-7-5447-8767-3"</f>
        <v>978-7-5447-8767-3</v>
      </c>
      <c r="C121" s="7" t="str">
        <f>"哲学有什么用?"</f>
        <v>哲学有什么用?</v>
      </c>
      <c r="D121" s="7" t="str">
        <f>"(英) 马库斯·威克斯著Marcus Weeks；吴培瑜译"</f>
        <v>(英) 马库斯·威克斯著Marcus Weeks；吴培瑜译</v>
      </c>
      <c r="E121" s="7" t="str">
        <f>"译林出版社"</f>
        <v>译林出版社</v>
      </c>
      <c r="F121" s="7" t="str">
        <f>"B-49/116"</f>
        <v>B-49/116</v>
      </c>
    </row>
    <row r="122" customHeight="1" spans="1:6">
      <c r="A122" s="6">
        <v>121</v>
      </c>
      <c r="B122" s="7" t="str">
        <f>"978-7-5491-2321-6"</f>
        <v>978-7-5491-2321-6</v>
      </c>
      <c r="C122" s="7" t="str">
        <f>"辨学启蒙"</f>
        <v>辨学启蒙</v>
      </c>
      <c r="D122" s="7" t="str">
        <f>"(英) 威廉·斯坦利·杰文斯著；(英) 艾约瑟译；吕飞跃校注"</f>
        <v>(英) 威廉·斯坦利·杰文斯著；(英) 艾约瑟译；吕飞跃校注</v>
      </c>
      <c r="E122" s="7" t="str">
        <f>"南方日报出版社"</f>
        <v>南方日报出版社</v>
      </c>
      <c r="F122" s="7" t="str">
        <f>"B81/141"</f>
        <v>B81/141</v>
      </c>
    </row>
    <row r="123" customHeight="1" spans="1:6">
      <c r="A123" s="6">
        <v>122</v>
      </c>
      <c r="B123" s="7" t="str">
        <f>"978-7-5491-2321-6"</f>
        <v>978-7-5491-2321-6</v>
      </c>
      <c r="C123" s="7" t="str">
        <f>"辨学启蒙"</f>
        <v>辨学启蒙</v>
      </c>
      <c r="D123" s="7" t="str">
        <f>"(英) 威廉·斯坦利·杰文斯著；(英) 艾约瑟译；吕飞跃校注"</f>
        <v>(英) 威廉·斯坦利·杰文斯著；(英) 艾约瑟译；吕飞跃校注</v>
      </c>
      <c r="E123" s="7" t="str">
        <f>"南方日报出版社"</f>
        <v>南方日报出版社</v>
      </c>
      <c r="F123" s="7" t="str">
        <f>"B81/141"</f>
        <v>B81/141</v>
      </c>
    </row>
    <row r="124" customHeight="1" spans="1:6">
      <c r="A124" s="6">
        <v>123</v>
      </c>
      <c r="B124" s="7" t="str">
        <f>"978-7-5491-2321-6"</f>
        <v>978-7-5491-2321-6</v>
      </c>
      <c r="C124" s="7" t="str">
        <f>"辨学启蒙"</f>
        <v>辨学启蒙</v>
      </c>
      <c r="D124" s="7" t="str">
        <f>"(英) 威廉·斯坦利·杰文斯著；(英) 艾约瑟译；吕飞跃校注"</f>
        <v>(英) 威廉·斯坦利·杰文斯著；(英) 艾约瑟译；吕飞跃校注</v>
      </c>
      <c r="E124" s="7" t="str">
        <f>"南方日报出版社"</f>
        <v>南方日报出版社</v>
      </c>
      <c r="F124" s="7" t="str">
        <f>"B81/141"</f>
        <v>B81/141</v>
      </c>
    </row>
    <row r="125" customHeight="1" spans="1:6">
      <c r="A125" s="6">
        <v>124</v>
      </c>
      <c r="B125" s="7" t="str">
        <f>"978-7-201-16169-3"</f>
        <v>978-7-201-16169-3</v>
      </c>
      <c r="C125" s="7" t="str">
        <f>"蛤蟆先生去看心理医生"</f>
        <v>蛤蟆先生去看心理医生</v>
      </c>
      <c r="D125" s="7" t="str">
        <f>"(英) 罗伯特·戴博德著Robert de Board；陈赢译"</f>
        <v>(英) 罗伯特·戴博德著Robert de Board；陈赢译</v>
      </c>
      <c r="E125" s="7" t="str">
        <f>"天津人民出版社"</f>
        <v>天津人民出版社</v>
      </c>
      <c r="F125" s="7" t="str">
        <f>"B849.1/18"</f>
        <v>B849.1/18</v>
      </c>
    </row>
    <row r="126" customHeight="1" spans="1:6">
      <c r="A126" s="6">
        <v>125</v>
      </c>
      <c r="B126" s="7" t="str">
        <f>"978-7-201-16169-3"</f>
        <v>978-7-201-16169-3</v>
      </c>
      <c r="C126" s="7" t="str">
        <f>"蛤蟆先生去看心理医生"</f>
        <v>蛤蟆先生去看心理医生</v>
      </c>
      <c r="D126" s="7" t="str">
        <f>"(英) 罗伯特·戴博德著Robert de Board；陈赢译"</f>
        <v>(英) 罗伯特·戴博德著Robert de Board；陈赢译</v>
      </c>
      <c r="E126" s="7" t="str">
        <f>"天津人民出版社"</f>
        <v>天津人民出版社</v>
      </c>
      <c r="F126" s="7" t="str">
        <f>"B849.1/18"</f>
        <v>B849.1/18</v>
      </c>
    </row>
    <row r="127" customHeight="1" spans="1:6">
      <c r="A127" s="6">
        <v>126</v>
      </c>
      <c r="B127" s="7" t="str">
        <f>"978-7-200-16433-6"</f>
        <v>978-7-200-16433-6</v>
      </c>
      <c r="C127" s="7" t="str">
        <f>"思想真的有用吗"</f>
        <v>思想真的有用吗</v>
      </c>
      <c r="D127" s="7" t="str">
        <f>"张远山著"</f>
        <v>张远山著</v>
      </c>
      <c r="E127" s="7" t="str">
        <f>"北京出版社"</f>
        <v>北京出版社</v>
      </c>
      <c r="F127" s="7" t="str">
        <f>"B-53/48"</f>
        <v>B-53/48</v>
      </c>
    </row>
    <row r="128" customHeight="1" spans="1:6">
      <c r="A128" s="6">
        <v>127</v>
      </c>
      <c r="B128" s="7" t="str">
        <f>"978-7-200-16433-6"</f>
        <v>978-7-200-16433-6</v>
      </c>
      <c r="C128" s="7" t="str">
        <f>"思想真的有用吗"</f>
        <v>思想真的有用吗</v>
      </c>
      <c r="D128" s="7" t="str">
        <f>"张远山著"</f>
        <v>张远山著</v>
      </c>
      <c r="E128" s="7" t="str">
        <f>"北京出版社"</f>
        <v>北京出版社</v>
      </c>
      <c r="F128" s="7" t="str">
        <f>"B-53/48"</f>
        <v>B-53/48</v>
      </c>
    </row>
    <row r="129" customHeight="1" spans="1:6">
      <c r="A129" s="6">
        <v>128</v>
      </c>
      <c r="B129" s="7" t="str">
        <f>"978-7-300-29641-8"</f>
        <v>978-7-300-29641-8</v>
      </c>
      <c r="C129" s="7" t="str">
        <f>"共情的边界：高敏感的你， 如何活得更自在：a survival guide for highly sensitive people"</f>
        <v>共情的边界：高敏感的你， 如何活得更自在：a survival guide for highly sensitive people</v>
      </c>
      <c r="D129" s="7" t="str">
        <f>"(美) 克里斯蒂娜·罗丝·埃勒著Christine Rose Elle；胡军生等译"</f>
        <v>(美) 克里斯蒂娜·罗丝·埃勒著Christine Rose Elle；胡军生等译</v>
      </c>
      <c r="E129" s="7" t="str">
        <f>"中国人民大学出版社"</f>
        <v>中国人民大学出版社</v>
      </c>
      <c r="F129" s="7" t="str">
        <f>"B842.6/946"</f>
        <v>B842.6/946</v>
      </c>
    </row>
    <row r="130" customHeight="1" spans="1:6">
      <c r="A130" s="6">
        <v>129</v>
      </c>
      <c r="B130" s="7" t="str">
        <f>"978-7-300-29641-8"</f>
        <v>978-7-300-29641-8</v>
      </c>
      <c r="C130" s="7" t="str">
        <f>"共情的边界：高敏感的你， 如何活得更自在：a survival guide for highly sensitive people"</f>
        <v>共情的边界：高敏感的你， 如何活得更自在：a survival guide for highly sensitive people</v>
      </c>
      <c r="D130" s="7" t="str">
        <f>"(美) 克里斯蒂娜·罗丝·埃勒著Christine Rose Elle；胡军生等译"</f>
        <v>(美) 克里斯蒂娜·罗丝·埃勒著Christine Rose Elle；胡军生等译</v>
      </c>
      <c r="E130" s="7" t="str">
        <f>"中国人民大学出版社"</f>
        <v>中国人民大学出版社</v>
      </c>
      <c r="F130" s="7" t="str">
        <f>"B842.6/946"</f>
        <v>B842.6/946</v>
      </c>
    </row>
    <row r="131" customHeight="1" spans="1:6">
      <c r="A131" s="6">
        <v>130</v>
      </c>
      <c r="B131" s="7" t="str">
        <f>"978-7-5649-4392-9"</f>
        <v>978-7-5649-4392-9</v>
      </c>
      <c r="C131" s="7" t="str">
        <f>"美学的复兴"</f>
        <v>美学的复兴</v>
      </c>
      <c r="D131" s="7" t="str">
        <f>"(斯洛文尼亚) 阿莱西·艾尔雅维茨， 高建平主编；张云鹏， 胡菊兰等译"</f>
        <v>(斯洛文尼亚) 阿莱西·艾尔雅维茨， 高建平主编；张云鹏， 胡菊兰等译</v>
      </c>
      <c r="E131" s="7" t="str">
        <f>"河南大学出版社"</f>
        <v>河南大学出版社</v>
      </c>
      <c r="F131" s="7" t="str">
        <f>"B83-53/22"</f>
        <v>B83-53/22</v>
      </c>
    </row>
    <row r="132" customHeight="1" spans="1:6">
      <c r="A132" s="6">
        <v>131</v>
      </c>
      <c r="B132" s="7" t="str">
        <f>"978-7-5649-4392-9"</f>
        <v>978-7-5649-4392-9</v>
      </c>
      <c r="C132" s="7" t="str">
        <f>"美学的复兴"</f>
        <v>美学的复兴</v>
      </c>
      <c r="D132" s="7" t="str">
        <f>"(斯洛文尼亚) 阿莱西·艾尔雅维茨， 高建平主编；张云鹏， 胡菊兰等译"</f>
        <v>(斯洛文尼亚) 阿莱西·艾尔雅维茨， 高建平主编；张云鹏， 胡菊兰等译</v>
      </c>
      <c r="E132" s="7" t="str">
        <f>"河南大学出版社"</f>
        <v>河南大学出版社</v>
      </c>
      <c r="F132" s="7" t="str">
        <f>"B83-53/22"</f>
        <v>B83-53/22</v>
      </c>
    </row>
    <row r="133" customHeight="1" spans="1:6">
      <c r="A133" s="6">
        <v>132</v>
      </c>
      <c r="B133" s="7" t="str">
        <f>"978-7-100-15642-4"</f>
        <v>978-7-100-15642-4</v>
      </c>
      <c r="C133" s="7" t="str">
        <f>"存在与时间"</f>
        <v>存在与时间</v>
      </c>
      <c r="D133" s="7" t="str">
        <f>"(德) 海德格尔著；陈嘉映， 王庆节译"</f>
        <v>(德) 海德格尔著；陈嘉映， 王庆节译</v>
      </c>
      <c r="E133" s="7" t="str">
        <f>"商务印书馆"</f>
        <v>商务印书馆</v>
      </c>
      <c r="F133" s="7" t="str">
        <f>"B086/5=2D-3"</f>
        <v>B086/5=2D-3</v>
      </c>
    </row>
    <row r="134" customHeight="1" spans="1:6">
      <c r="A134" s="6">
        <v>133</v>
      </c>
      <c r="B134" s="7" t="str">
        <f>"978-7-100-15642-4"</f>
        <v>978-7-100-15642-4</v>
      </c>
      <c r="C134" s="7" t="str">
        <f>"存在与时间"</f>
        <v>存在与时间</v>
      </c>
      <c r="D134" s="7" t="str">
        <f>"(德) 海德格尔著；陈嘉映， 王庆节译"</f>
        <v>(德) 海德格尔著；陈嘉映， 王庆节译</v>
      </c>
      <c r="E134" s="7" t="str">
        <f>"商务印书馆"</f>
        <v>商务印书馆</v>
      </c>
      <c r="F134" s="7" t="str">
        <f>"B086/5=2D-3"</f>
        <v>B086/5=2D-3</v>
      </c>
    </row>
    <row r="135" customHeight="1" spans="1:6">
      <c r="A135" s="6">
        <v>134</v>
      </c>
      <c r="B135" s="7" t="str">
        <f>"978-7-100-15642-4"</f>
        <v>978-7-100-15642-4</v>
      </c>
      <c r="C135" s="7" t="str">
        <f>"存在与时间"</f>
        <v>存在与时间</v>
      </c>
      <c r="D135" s="7" t="str">
        <f>"(德) 海德格尔著；陈嘉映， 王庆节译"</f>
        <v>(德) 海德格尔著；陈嘉映， 王庆节译</v>
      </c>
      <c r="E135" s="7" t="str">
        <f>"商务印书馆"</f>
        <v>商务印书馆</v>
      </c>
      <c r="F135" s="7" t="str">
        <f>"B086/5=2D-3"</f>
        <v>B086/5=2D-3</v>
      </c>
    </row>
    <row r="136" customHeight="1" spans="1:6">
      <c r="A136" s="6">
        <v>135</v>
      </c>
      <c r="B136" s="7" t="str">
        <f>"978-7-5535-2074-2"</f>
        <v>978-7-5535-2074-2</v>
      </c>
      <c r="C136" s="7" t="str">
        <f>"知识与想象之起源"</f>
        <v>知识与想象之起源</v>
      </c>
      <c r="D136" s="7" t="str">
        <f>"(英) 雅各布·布鲁诺夫斯基著Jacob Bronowski；魏飞译"</f>
        <v>(英) 雅各布·布鲁诺夫斯基著Jacob Bronowski；魏飞译</v>
      </c>
      <c r="E136" s="7" t="str">
        <f>"上海文化出版社"</f>
        <v>上海文化出版社</v>
      </c>
      <c r="F136" s="7" t="str">
        <f>"B017/34"</f>
        <v>B017/34</v>
      </c>
    </row>
    <row r="137" customHeight="1" spans="1:6">
      <c r="A137" s="6">
        <v>136</v>
      </c>
      <c r="B137" s="7" t="str">
        <f>"978-7-5535-2074-2"</f>
        <v>978-7-5535-2074-2</v>
      </c>
      <c r="C137" s="7" t="str">
        <f>"知识与想象之起源"</f>
        <v>知识与想象之起源</v>
      </c>
      <c r="D137" s="7" t="str">
        <f>"(英) 雅各布·布鲁诺夫斯基著Jacob Bronowski；魏飞译"</f>
        <v>(英) 雅各布·布鲁诺夫斯基著Jacob Bronowski；魏飞译</v>
      </c>
      <c r="E137" s="7" t="str">
        <f>"上海文化出版社"</f>
        <v>上海文化出版社</v>
      </c>
      <c r="F137" s="7" t="str">
        <f>"B017/34"</f>
        <v>B017/34</v>
      </c>
    </row>
    <row r="138" customHeight="1" spans="1:6">
      <c r="A138" s="6">
        <v>137</v>
      </c>
      <c r="B138" s="7" t="str">
        <f>"978-7-5426-7411-1"</f>
        <v>978-7-5426-7411-1</v>
      </c>
      <c r="C138" s="7" t="str">
        <f>"我能创造奇迹"</f>
        <v>我能创造奇迹</v>
      </c>
      <c r="D138" s="7" t="str">
        <f>"(英) 西蒙·哈特利著；殷乐译"</f>
        <v>(英) 西蒙·哈特利著；殷乐译</v>
      </c>
      <c r="E138" s="7" t="str">
        <f>"上海三联书店"</f>
        <v>上海三联书店</v>
      </c>
      <c r="F138" s="7" t="str">
        <f>"B848.4/4088"</f>
        <v>B848.4/4088</v>
      </c>
    </row>
    <row r="139" customHeight="1" spans="1:6">
      <c r="A139" s="6">
        <v>138</v>
      </c>
      <c r="B139" s="7" t="str">
        <f>"978-7-5426-7411-1"</f>
        <v>978-7-5426-7411-1</v>
      </c>
      <c r="C139" s="7" t="str">
        <f>"我能创造奇迹"</f>
        <v>我能创造奇迹</v>
      </c>
      <c r="D139" s="7" t="str">
        <f>"(英) 西蒙·哈特利著；殷乐译"</f>
        <v>(英) 西蒙·哈特利著；殷乐译</v>
      </c>
      <c r="E139" s="7" t="str">
        <f>"上海三联书店"</f>
        <v>上海三联书店</v>
      </c>
      <c r="F139" s="7" t="str">
        <f>"B848.4/4088"</f>
        <v>B848.4/4088</v>
      </c>
    </row>
    <row r="140" customHeight="1" spans="1:6">
      <c r="A140" s="6">
        <v>139</v>
      </c>
      <c r="B140" s="7" t="str">
        <f>"978-7-5426-7438-8"</f>
        <v>978-7-5426-7438-8</v>
      </c>
      <c r="C140" s="7" t="str">
        <f>"唐代文儒与文风研究"</f>
        <v>唐代文儒与文风研究</v>
      </c>
      <c r="D140" s="7" t="str">
        <f>"顾建国著"</f>
        <v>顾建国著</v>
      </c>
      <c r="E140" s="7" t="str">
        <f>"上海三联书店"</f>
        <v>上海三联书店</v>
      </c>
      <c r="F140" s="7" t="str">
        <f>"B222.05/218"</f>
        <v>B222.05/218</v>
      </c>
    </row>
    <row r="141" customHeight="1" spans="1:6">
      <c r="A141" s="6">
        <v>140</v>
      </c>
      <c r="B141" s="7" t="str">
        <f>"978-7-5426-7438-8"</f>
        <v>978-7-5426-7438-8</v>
      </c>
      <c r="C141" s="7" t="str">
        <f>"唐代文儒与文风研究"</f>
        <v>唐代文儒与文风研究</v>
      </c>
      <c r="D141" s="7" t="str">
        <f>"顾建国著"</f>
        <v>顾建国著</v>
      </c>
      <c r="E141" s="7" t="str">
        <f>"上海三联书店"</f>
        <v>上海三联书店</v>
      </c>
      <c r="F141" s="7" t="str">
        <f>"B222.05/218"</f>
        <v>B222.05/218</v>
      </c>
    </row>
    <row r="142" customHeight="1" spans="1:6">
      <c r="A142" s="6">
        <v>141</v>
      </c>
      <c r="B142" s="7" t="str">
        <f>"978-7-100-17957-7"</f>
        <v>978-7-100-17957-7</v>
      </c>
      <c r="C142" s="7" t="str">
        <f>"哲学问题"</f>
        <v>哲学问题</v>
      </c>
      <c r="D142" s="7" t="str">
        <f>"(英) 罗素著；贾可春译"</f>
        <v>(英) 罗素著；贾可春译</v>
      </c>
      <c r="E142" s="7" t="str">
        <f>"商务印书馆"</f>
        <v>商务印书馆</v>
      </c>
      <c r="F142" s="7" t="str">
        <f>"B561.54/14.2"</f>
        <v>B561.54/14.2</v>
      </c>
    </row>
    <row r="143" customHeight="1" spans="1:6">
      <c r="A143" s="6">
        <v>142</v>
      </c>
      <c r="B143" s="7" t="str">
        <f>"978-7-100-17957-7"</f>
        <v>978-7-100-17957-7</v>
      </c>
      <c r="C143" s="7" t="str">
        <f>"哲学问题"</f>
        <v>哲学问题</v>
      </c>
      <c r="D143" s="7" t="str">
        <f>"(英) 罗素著；贾可春译"</f>
        <v>(英) 罗素著；贾可春译</v>
      </c>
      <c r="E143" s="7" t="str">
        <f>"商务印书馆"</f>
        <v>商务印书馆</v>
      </c>
      <c r="F143" s="7" t="str">
        <f>"B561.54/14.2"</f>
        <v>B561.54/14.2</v>
      </c>
    </row>
    <row r="144" customHeight="1" spans="1:6">
      <c r="A144" s="6">
        <v>143</v>
      </c>
      <c r="B144" s="7" t="str">
        <f>"978-7-108-07001-2"</f>
        <v>978-7-108-07001-2</v>
      </c>
      <c r="C144" s="7" t="str">
        <f>"沉思录"</f>
        <v>沉思录</v>
      </c>
      <c r="D144" s="7" t="str">
        <f>"(古罗马) 马可·奥勒留著；何怀宏译"</f>
        <v>(古罗马) 马可·奥勒留著；何怀宏译</v>
      </c>
      <c r="E144" s="7" t="str">
        <f>"三联书店"</f>
        <v>三联书店</v>
      </c>
      <c r="F144" s="7" t="str">
        <f>"B502.43/42-2"</f>
        <v>B502.43/42-2</v>
      </c>
    </row>
    <row r="145" customHeight="1" spans="1:6">
      <c r="A145" s="6">
        <v>144</v>
      </c>
      <c r="B145" s="7" t="str">
        <f>"978-7-108-07001-2"</f>
        <v>978-7-108-07001-2</v>
      </c>
      <c r="C145" s="7" t="str">
        <f>"沉思录"</f>
        <v>沉思录</v>
      </c>
      <c r="D145" s="7" t="str">
        <f>"(古罗马) 马可·奥勒留著；何怀宏译"</f>
        <v>(古罗马) 马可·奥勒留著；何怀宏译</v>
      </c>
      <c r="E145" s="7" t="str">
        <f>"三联书店"</f>
        <v>三联书店</v>
      </c>
      <c r="F145" s="7" t="str">
        <f>"B502.43/42-2"</f>
        <v>B502.43/42-2</v>
      </c>
    </row>
    <row r="146" customHeight="1" spans="1:6">
      <c r="A146" s="6">
        <v>145</v>
      </c>
      <c r="B146" s="7" t="str">
        <f>"978-7-108-06994-8"</f>
        <v>978-7-108-06994-8</v>
      </c>
      <c r="C146" s="7" t="str">
        <f>"庄子浅说"</f>
        <v>庄子浅说</v>
      </c>
      <c r="D146" s="7" t="str">
        <f>"陈鼓应著"</f>
        <v>陈鼓应著</v>
      </c>
      <c r="E146" s="7" t="str">
        <f>"三联书店"</f>
        <v>三联书店</v>
      </c>
      <c r="F146" s="7" t="str">
        <f>"B223.55/78-2"</f>
        <v>B223.55/78-2</v>
      </c>
    </row>
    <row r="147" customHeight="1" spans="1:6">
      <c r="A147" s="6">
        <v>146</v>
      </c>
      <c r="B147" s="7" t="str">
        <f>"978-7-108-06994-8"</f>
        <v>978-7-108-06994-8</v>
      </c>
      <c r="C147" s="7" t="str">
        <f>"庄子浅说"</f>
        <v>庄子浅说</v>
      </c>
      <c r="D147" s="7" t="str">
        <f>"陈鼓应著"</f>
        <v>陈鼓应著</v>
      </c>
      <c r="E147" s="7" t="str">
        <f>"三联书店"</f>
        <v>三联书店</v>
      </c>
      <c r="F147" s="7" t="str">
        <f>"B223.55/78-2"</f>
        <v>B223.55/78-2</v>
      </c>
    </row>
    <row r="148" customHeight="1" spans="1:6">
      <c r="A148" s="6">
        <v>147</v>
      </c>
      <c r="B148" s="7" t="str">
        <f>"978-7-108-07005-0"</f>
        <v>978-7-108-07005-0</v>
      </c>
      <c r="C148" s="7" t="str">
        <f>"美的人生观"</f>
        <v>美的人生观</v>
      </c>
      <c r="D148" s="7" t="str">
        <f>"张竞生著；张培忠辑"</f>
        <v>张竞生著；张培忠辑</v>
      </c>
      <c r="E148" s="7" t="str">
        <f>"三联书店"</f>
        <v>三联书店</v>
      </c>
      <c r="F148" s="7" t="str">
        <f>"B83/49-2"</f>
        <v>B83/49-2</v>
      </c>
    </row>
    <row r="149" customHeight="1" spans="1:6">
      <c r="A149" s="6">
        <v>148</v>
      </c>
      <c r="B149" s="7" t="str">
        <f>"978-7-108-07005-0"</f>
        <v>978-7-108-07005-0</v>
      </c>
      <c r="C149" s="7" t="str">
        <f>"美的人生观"</f>
        <v>美的人生观</v>
      </c>
      <c r="D149" s="7" t="str">
        <f>"张竞生著；张培忠辑"</f>
        <v>张竞生著；张培忠辑</v>
      </c>
      <c r="E149" s="7" t="str">
        <f>"三联书店"</f>
        <v>三联书店</v>
      </c>
      <c r="F149" s="7" t="str">
        <f>"B83/49-2"</f>
        <v>B83/49-2</v>
      </c>
    </row>
    <row r="150" customHeight="1" spans="1:6">
      <c r="A150" s="6">
        <v>149</v>
      </c>
      <c r="B150" s="7" t="str">
        <f>"978-7-108-06984-9"</f>
        <v>978-7-108-06984-9</v>
      </c>
      <c r="C150" s="7" t="str">
        <f>"大众哲学"</f>
        <v>大众哲学</v>
      </c>
      <c r="D150" s="7" t="str">
        <f>"艾思奇著"</f>
        <v>艾思奇著</v>
      </c>
      <c r="E150" s="7" t="str">
        <f>"三联书店"</f>
        <v>三联书店</v>
      </c>
      <c r="F150" s="7" t="str">
        <f>"B0-0/90-3"</f>
        <v>B0-0/90-3</v>
      </c>
    </row>
    <row r="151" customHeight="1" spans="1:6">
      <c r="A151" s="6">
        <v>150</v>
      </c>
      <c r="B151" s="7" t="str">
        <f>"978-7-108-06984-9"</f>
        <v>978-7-108-06984-9</v>
      </c>
      <c r="C151" s="7" t="str">
        <f>"大众哲学"</f>
        <v>大众哲学</v>
      </c>
      <c r="D151" s="7" t="str">
        <f>"艾思奇著"</f>
        <v>艾思奇著</v>
      </c>
      <c r="E151" s="7" t="str">
        <f>"三联书店"</f>
        <v>三联书店</v>
      </c>
      <c r="F151" s="7" t="str">
        <f>"B0-0/90-3"</f>
        <v>B0-0/90-3</v>
      </c>
    </row>
    <row r="152" customHeight="1" spans="1:6">
      <c r="A152" s="6">
        <v>151</v>
      </c>
      <c r="B152" s="7" t="str">
        <f>"978-7-108-06992-4"</f>
        <v>978-7-108-06992-4</v>
      </c>
      <c r="C152" s="7" t="str">
        <f>"谈美"</f>
        <v>谈美</v>
      </c>
      <c r="D152" s="7" t="str">
        <f>"朱光潜著"</f>
        <v>朱光潜著</v>
      </c>
      <c r="E152" s="7" t="str">
        <f>"三联书店"</f>
        <v>三联书店</v>
      </c>
      <c r="F152" s="7" t="str">
        <f>"B83/242-2"</f>
        <v>B83/242-2</v>
      </c>
    </row>
    <row r="153" customHeight="1" spans="1:6">
      <c r="A153" s="6">
        <v>152</v>
      </c>
      <c r="B153" s="7" t="str">
        <f>"978-7-108-06992-4"</f>
        <v>978-7-108-06992-4</v>
      </c>
      <c r="C153" s="7" t="str">
        <f>"谈美"</f>
        <v>谈美</v>
      </c>
      <c r="D153" s="7" t="str">
        <f>"朱光潜著"</f>
        <v>朱光潜著</v>
      </c>
      <c r="E153" s="7" t="str">
        <f>"三联书店"</f>
        <v>三联书店</v>
      </c>
      <c r="F153" s="7" t="str">
        <f>"B83/242-2"</f>
        <v>B83/242-2</v>
      </c>
    </row>
    <row r="154" customHeight="1" spans="1:6">
      <c r="A154" s="6">
        <v>153</v>
      </c>
      <c r="B154" s="7" t="str">
        <f>"978-7-101-14931-9"</f>
        <v>978-7-101-14931-9</v>
      </c>
      <c r="C154" s="7" t="str">
        <f>"庄子内篇释义"</f>
        <v>庄子内篇释义</v>
      </c>
      <c r="D154" s="7" t="str">
        <f>"杨国荣著"</f>
        <v>杨国荣著</v>
      </c>
      <c r="E154" s="7" t="str">
        <f>"中华书局"</f>
        <v>中华书局</v>
      </c>
      <c r="F154" s="7" t="str">
        <f>"B223.55/119"</f>
        <v>B223.55/119</v>
      </c>
    </row>
    <row r="155" customHeight="1" spans="1:6">
      <c r="A155" s="6">
        <v>154</v>
      </c>
      <c r="B155" s="7" t="str">
        <f>"978-7-101-14931-9"</f>
        <v>978-7-101-14931-9</v>
      </c>
      <c r="C155" s="7" t="str">
        <f>"庄子内篇释义"</f>
        <v>庄子内篇释义</v>
      </c>
      <c r="D155" s="7" t="str">
        <f>"杨国荣著"</f>
        <v>杨国荣著</v>
      </c>
      <c r="E155" s="7" t="str">
        <f>"中华书局"</f>
        <v>中华书局</v>
      </c>
      <c r="F155" s="7" t="str">
        <f>"B223.55/119"</f>
        <v>B223.55/119</v>
      </c>
    </row>
    <row r="156" customHeight="1" spans="1:6">
      <c r="A156" s="6">
        <v>155</v>
      </c>
      <c r="B156" s="7" t="str">
        <f>"978-7-5598-2975-7"</f>
        <v>978-7-5598-2975-7</v>
      </c>
      <c r="C156" s="7" t="str">
        <f>"见证生命， 见证爱"</f>
        <v>见证生命， 见证爱</v>
      </c>
      <c r="D156" s="7" t="str">
        <f>"路桂军著"</f>
        <v>路桂军著</v>
      </c>
      <c r="E156" s="7" t="str">
        <f>"广西师范大学出版社"</f>
        <v>广西师范大学出版社</v>
      </c>
      <c r="F156" s="7" t="str">
        <f>"B083-49/9"</f>
        <v>B083-49/9</v>
      </c>
    </row>
    <row r="157" customHeight="1" spans="1:6">
      <c r="A157" s="6">
        <v>156</v>
      </c>
      <c r="B157" s="7" t="str">
        <f>"978-7-5598-2975-7"</f>
        <v>978-7-5598-2975-7</v>
      </c>
      <c r="C157" s="7" t="str">
        <f>"见证生命， 见证爱"</f>
        <v>见证生命， 见证爱</v>
      </c>
      <c r="D157" s="7" t="str">
        <f>"路桂军著"</f>
        <v>路桂军著</v>
      </c>
      <c r="E157" s="7" t="str">
        <f>"广西师范大学出版社"</f>
        <v>广西师范大学出版社</v>
      </c>
      <c r="F157" s="7" t="str">
        <f>"B083-49/9"</f>
        <v>B083-49/9</v>
      </c>
    </row>
    <row r="158" customHeight="1" spans="1:6">
      <c r="A158" s="6">
        <v>157</v>
      </c>
      <c r="B158" s="7" t="str">
        <f>"978-7-101-14791-9"</f>
        <v>978-7-101-14791-9</v>
      </c>
      <c r="C158" s="7" t="str">
        <f>"正蒙釋"</f>
        <v>正蒙釋</v>
      </c>
      <c r="D158" s="7" t="str">
        <f>"(明) 高攀龍， (清) 徐必達撰；邱忠堂點校(清) 華希閔撰；張瑞元點校"</f>
        <v>(明) 高攀龍， (清) 徐必達撰；邱忠堂點校(清) 華希閔撰；張瑞元點校</v>
      </c>
      <c r="E158" s="7" t="str">
        <f>"中華書局"</f>
        <v>中華書局</v>
      </c>
      <c r="F158" s="7" t="str">
        <f>"B244.45/7"</f>
        <v>B244.45/7</v>
      </c>
    </row>
    <row r="159" customHeight="1" spans="1:6">
      <c r="A159" s="6">
        <v>158</v>
      </c>
      <c r="B159" s="7" t="str">
        <f>"978-7-101-14791-9"</f>
        <v>978-7-101-14791-9</v>
      </c>
      <c r="C159" s="7" t="str">
        <f>"正蒙釋"</f>
        <v>正蒙釋</v>
      </c>
      <c r="D159" s="7" t="str">
        <f>"(明) 高攀龍， (清) 徐必達撰；邱忠堂點校(清) 華希閔撰；張瑞元點校"</f>
        <v>(明) 高攀龍， (清) 徐必達撰；邱忠堂點校(清) 華希閔撰；張瑞元點校</v>
      </c>
      <c r="E159" s="7" t="str">
        <f>"中華書局"</f>
        <v>中華書局</v>
      </c>
      <c r="F159" s="7" t="str">
        <f>"B244.45/7"</f>
        <v>B244.45/7</v>
      </c>
    </row>
    <row r="160" customHeight="1" spans="1:6">
      <c r="A160" s="6">
        <v>159</v>
      </c>
      <c r="B160" s="7" t="str">
        <f>"978-7-5454-7730-6"</f>
        <v>978-7-5454-7730-6</v>
      </c>
      <c r="C160" s="7" t="str">
        <f>"这就是哲学"</f>
        <v>这就是哲学</v>
      </c>
      <c r="D160" s="7" t="str">
        <f>"(日) 山竹伸二著；钟小源译"</f>
        <v>(日) 山竹伸二著；钟小源译</v>
      </c>
      <c r="E160" s="7" t="str">
        <f>"广东经济出版社"</f>
        <v>广东经济出版社</v>
      </c>
      <c r="F160" s="7" t="str">
        <f>"B/49"</f>
        <v>B/49</v>
      </c>
    </row>
    <row r="161" customHeight="1" spans="1:6">
      <c r="A161" s="6">
        <v>160</v>
      </c>
      <c r="B161" s="7" t="str">
        <f>"978-7-5454-7730-6"</f>
        <v>978-7-5454-7730-6</v>
      </c>
      <c r="C161" s="7" t="str">
        <f>"这就是哲学"</f>
        <v>这就是哲学</v>
      </c>
      <c r="D161" s="7" t="str">
        <f>"(日) 山竹伸二著；钟小源译"</f>
        <v>(日) 山竹伸二著；钟小源译</v>
      </c>
      <c r="E161" s="7" t="str">
        <f>"广东经济出版社"</f>
        <v>广东经济出版社</v>
      </c>
      <c r="F161" s="7" t="str">
        <f>"B/49"</f>
        <v>B/49</v>
      </c>
    </row>
    <row r="162" customHeight="1" spans="1:6">
      <c r="A162" s="6">
        <v>161</v>
      </c>
      <c r="B162" s="7" t="str">
        <f>"978-7-5454-7731-3"</f>
        <v>978-7-5454-7731-3</v>
      </c>
      <c r="C162" s="7" t="str">
        <f>"这就是伦理学"</f>
        <v>这就是伦理学</v>
      </c>
      <c r="D162" s="7" t="str">
        <f>"(日) 田上孝一著；杨红霞， 彭赛赛译"</f>
        <v>(日) 田上孝一著；杨红霞， 彭赛赛译</v>
      </c>
      <c r="E162" s="7" t="str">
        <f>"广东经济出版社"</f>
        <v>广东经济出版社</v>
      </c>
      <c r="F162" s="7" t="str">
        <f>"B82/471"</f>
        <v>B82/471</v>
      </c>
    </row>
    <row r="163" customHeight="1" spans="1:6">
      <c r="A163" s="6">
        <v>162</v>
      </c>
      <c r="B163" s="7" t="str">
        <f>"978-7-5454-7731-3"</f>
        <v>978-7-5454-7731-3</v>
      </c>
      <c r="C163" s="7" t="str">
        <f>"这就是伦理学"</f>
        <v>这就是伦理学</v>
      </c>
      <c r="D163" s="7" t="str">
        <f>"(日) 田上孝一著；杨红霞， 彭赛赛译"</f>
        <v>(日) 田上孝一著；杨红霞， 彭赛赛译</v>
      </c>
      <c r="E163" s="7" t="str">
        <f>"广东经济出版社"</f>
        <v>广东经济出版社</v>
      </c>
      <c r="F163" s="7" t="str">
        <f>"B82/471"</f>
        <v>B82/471</v>
      </c>
    </row>
    <row r="164" customHeight="1" spans="1:6">
      <c r="A164" s="6">
        <v>163</v>
      </c>
      <c r="B164" s="7" t="str">
        <f>"978-7-5454-7731-3"</f>
        <v>978-7-5454-7731-3</v>
      </c>
      <c r="C164" s="7" t="str">
        <f>"这就是伦理学"</f>
        <v>这就是伦理学</v>
      </c>
      <c r="D164" s="7" t="str">
        <f>"(日) 田上孝一著；杨红霞， 彭赛赛译"</f>
        <v>(日) 田上孝一著；杨红霞， 彭赛赛译</v>
      </c>
      <c r="E164" s="7" t="str">
        <f>"广东经济出版社"</f>
        <v>广东经济出版社</v>
      </c>
      <c r="F164" s="7" t="str">
        <f>"B82/471"</f>
        <v>B82/471</v>
      </c>
    </row>
    <row r="165" customHeight="1" spans="1:6">
      <c r="A165" s="6">
        <v>164</v>
      </c>
      <c r="B165" s="7" t="str">
        <f>"978-7-5454-7729-0"</f>
        <v>978-7-5454-7729-0</v>
      </c>
      <c r="C165" s="7" t="str">
        <f>"这就是逻辑学"</f>
        <v>这就是逻辑学</v>
      </c>
      <c r="D165" s="7" t="str">
        <f>"(日) 见里敏比古著；钟小源译"</f>
        <v>(日) 见里敏比古著；钟小源译</v>
      </c>
      <c r="E165" s="7" t="str">
        <f>"广东经济出版社"</f>
        <v>广东经济出版社</v>
      </c>
      <c r="F165" s="7" t="str">
        <f>"B81/142"</f>
        <v>B81/142</v>
      </c>
    </row>
    <row r="166" customHeight="1" spans="1:6">
      <c r="A166" s="6">
        <v>165</v>
      </c>
      <c r="B166" s="7" t="str">
        <f>"978-7-5454-7729-0"</f>
        <v>978-7-5454-7729-0</v>
      </c>
      <c r="C166" s="7" t="str">
        <f>"这就是逻辑学"</f>
        <v>这就是逻辑学</v>
      </c>
      <c r="D166" s="7" t="str">
        <f>"(日) 见里敏比古著；钟小源译"</f>
        <v>(日) 见里敏比古著；钟小源译</v>
      </c>
      <c r="E166" s="7" t="str">
        <f>"广东经济出版社"</f>
        <v>广东经济出版社</v>
      </c>
      <c r="F166" s="7" t="str">
        <f>"B81/142"</f>
        <v>B81/142</v>
      </c>
    </row>
    <row r="167" customHeight="1" spans="1:6">
      <c r="A167" s="6">
        <v>166</v>
      </c>
      <c r="B167" s="7" t="str">
        <f>"978-7-5454-7732-0"</f>
        <v>978-7-5454-7732-0</v>
      </c>
      <c r="C167" s="7" t="str">
        <f>"这就是心理学"</f>
        <v>这就是心理学</v>
      </c>
      <c r="D167" s="7" t="str">
        <f>"(日) 植木理惠著；钟小源译"</f>
        <v>(日) 植木理惠著；钟小源译</v>
      </c>
      <c r="E167" s="7" t="str">
        <f>"广东经济出版社"</f>
        <v>广东经济出版社</v>
      </c>
      <c r="F167" s="7" t="str">
        <f>"B84/707"</f>
        <v>B84/707</v>
      </c>
    </row>
    <row r="168" customHeight="1" spans="1:6">
      <c r="A168" s="6">
        <v>167</v>
      </c>
      <c r="B168" s="7" t="str">
        <f>"978-7-5454-7732-0"</f>
        <v>978-7-5454-7732-0</v>
      </c>
      <c r="C168" s="7" t="str">
        <f>"这就是心理学"</f>
        <v>这就是心理学</v>
      </c>
      <c r="D168" s="7" t="str">
        <f>"(日) 植木理惠著；钟小源译"</f>
        <v>(日) 植木理惠著；钟小源译</v>
      </c>
      <c r="E168" s="7" t="str">
        <f>"广东经济出版社"</f>
        <v>广东经济出版社</v>
      </c>
      <c r="F168" s="7" t="str">
        <f>"B84/707"</f>
        <v>B84/707</v>
      </c>
    </row>
    <row r="169" customHeight="1" spans="1:6">
      <c r="A169" s="6">
        <v>168</v>
      </c>
      <c r="B169" s="7" t="str">
        <f>"978-7-5454-7732-0"</f>
        <v>978-7-5454-7732-0</v>
      </c>
      <c r="C169" s="7" t="str">
        <f>"这就是心理学"</f>
        <v>这就是心理学</v>
      </c>
      <c r="D169" s="7" t="str">
        <f>"(日) 植木理惠著；钟小源译"</f>
        <v>(日) 植木理惠著；钟小源译</v>
      </c>
      <c r="E169" s="7" t="str">
        <f>"广东经济出版社"</f>
        <v>广东经济出版社</v>
      </c>
      <c r="F169" s="7" t="str">
        <f>"B84/707"</f>
        <v>B84/707</v>
      </c>
    </row>
    <row r="170" customHeight="1" spans="1:6">
      <c r="A170" s="6">
        <v>169</v>
      </c>
      <c r="B170" s="7" t="str">
        <f>"978-7-5720-1034-7"</f>
        <v>978-7-5720-1034-7</v>
      </c>
      <c r="C170" s="7" t="str">
        <f>"人格理论．上册"</f>
        <v>人格理论．上册</v>
      </c>
      <c r="D170" s="7" t="str">
        <f>"郭永玉， 刘毅， 尤瑾等著"</f>
        <v>郭永玉， 刘毅， 尤瑾等著</v>
      </c>
      <c r="E170" s="7" t="str">
        <f>"上海教育出版社"</f>
        <v>上海教育出版社</v>
      </c>
      <c r="F170" s="7" t="str">
        <f>"B848/217/1"</f>
        <v>B848/217/1</v>
      </c>
    </row>
    <row r="171" customHeight="1" spans="1:6">
      <c r="A171" s="6">
        <v>170</v>
      </c>
      <c r="B171" s="7" t="str">
        <f>"978-7-5720-1034-7"</f>
        <v>978-7-5720-1034-7</v>
      </c>
      <c r="C171" s="7" t="str">
        <f>"人格理论．上册"</f>
        <v>人格理论．上册</v>
      </c>
      <c r="D171" s="7" t="str">
        <f>"郭永玉， 刘毅， 尤瑾等著"</f>
        <v>郭永玉， 刘毅， 尤瑾等著</v>
      </c>
      <c r="E171" s="7" t="str">
        <f>"上海教育出版社"</f>
        <v>上海教育出版社</v>
      </c>
      <c r="F171" s="7" t="str">
        <f>"B848/217/1"</f>
        <v>B848/217/1</v>
      </c>
    </row>
    <row r="172" customHeight="1" spans="1:6">
      <c r="A172" s="6">
        <v>171</v>
      </c>
      <c r="B172" s="7" t="str">
        <f>"978-7-5720-1034-7"</f>
        <v>978-7-5720-1034-7</v>
      </c>
      <c r="C172" s="7" t="str">
        <f>"人格理论．下册"</f>
        <v>人格理论．下册</v>
      </c>
      <c r="D172" s="7" t="str">
        <f>"郭永玉， 刘毅， 尤瑾等著"</f>
        <v>郭永玉， 刘毅， 尤瑾等著</v>
      </c>
      <c r="E172" s="7" t="str">
        <f>"上海教育出版社"</f>
        <v>上海教育出版社</v>
      </c>
      <c r="F172" s="7" t="str">
        <f>"B848/217/2"</f>
        <v>B848/217/2</v>
      </c>
    </row>
    <row r="173" customHeight="1" spans="1:6">
      <c r="A173" s="6">
        <v>172</v>
      </c>
      <c r="B173" s="7" t="str">
        <f>"978-7-5720-1034-7"</f>
        <v>978-7-5720-1034-7</v>
      </c>
      <c r="C173" s="7" t="str">
        <f>"人格理论．下册"</f>
        <v>人格理论．下册</v>
      </c>
      <c r="D173" s="7" t="str">
        <f>"郭永玉， 刘毅， 尤瑾等著"</f>
        <v>郭永玉， 刘毅， 尤瑾等著</v>
      </c>
      <c r="E173" s="7" t="str">
        <f>"上海教育出版社"</f>
        <v>上海教育出版社</v>
      </c>
      <c r="F173" s="7" t="str">
        <f>"B848/217/2"</f>
        <v>B848/217/2</v>
      </c>
    </row>
    <row r="174" customHeight="1" spans="1:6">
      <c r="A174" s="6">
        <v>173</v>
      </c>
      <c r="B174" s="7" t="str">
        <f>"978-7-108-06557-5"</f>
        <v>978-7-108-06557-5</v>
      </c>
      <c r="C174" s="7" t="str">
        <f>"疯癫与文明：理性时代的疯癫史"</f>
        <v>疯癫与文明：理性时代的疯癫史</v>
      </c>
      <c r="D174" s="7" t="str">
        <f>"(法) 米歇尔·福柯著；刘北成， 杨远婴译"</f>
        <v>(法) 米歇尔·福柯著；刘北成， 杨远婴译</v>
      </c>
      <c r="E174" s="7" t="str">
        <f>"三联书店"</f>
        <v>三联书店</v>
      </c>
      <c r="F174" s="7" t="str">
        <f>"B565.59/20=5D"</f>
        <v>B565.59/20=5D</v>
      </c>
    </row>
    <row r="175" customHeight="1" spans="1:6">
      <c r="A175" s="6">
        <v>174</v>
      </c>
      <c r="B175" s="7" t="str">
        <f>"978-7-108-06557-5"</f>
        <v>978-7-108-06557-5</v>
      </c>
      <c r="C175" s="7" t="str">
        <f>"疯癫与文明：理性时代的疯癫史"</f>
        <v>疯癫与文明：理性时代的疯癫史</v>
      </c>
      <c r="D175" s="7" t="str">
        <f>"(法) 米歇尔·福柯著；刘北成， 杨远婴译"</f>
        <v>(法) 米歇尔·福柯著；刘北成， 杨远婴译</v>
      </c>
      <c r="E175" s="7" t="str">
        <f>"三联书店"</f>
        <v>三联书店</v>
      </c>
      <c r="F175" s="7" t="str">
        <f>"B565.59/20=5D"</f>
        <v>B565.59/20=5D</v>
      </c>
    </row>
    <row r="176" customHeight="1" spans="1:6">
      <c r="A176" s="6">
        <v>175</v>
      </c>
      <c r="B176" s="7" t="str">
        <f>"978-7-101-14685-1"</f>
        <v>978-7-101-14685-1</v>
      </c>
      <c r="C176" s="7" t="str">
        <f>"张载思想的哲学诠释"</f>
        <v>张载思想的哲学诠释</v>
      </c>
      <c r="D176" s="7" t="str">
        <f>"陈政扬著"</f>
        <v>陈政扬著</v>
      </c>
      <c r="E176" s="7" t="str">
        <f>"中华书局"</f>
        <v>中华书局</v>
      </c>
      <c r="F176" s="7" t="str">
        <f>"B244.45/8"</f>
        <v>B244.45/8</v>
      </c>
    </row>
    <row r="177" customHeight="1" spans="1:6">
      <c r="A177" s="6">
        <v>176</v>
      </c>
      <c r="B177" s="7" t="str">
        <f>"978-7-101-14685-1"</f>
        <v>978-7-101-14685-1</v>
      </c>
      <c r="C177" s="7" t="str">
        <f>"张载思想的哲学诠释"</f>
        <v>张载思想的哲学诠释</v>
      </c>
      <c r="D177" s="7" t="str">
        <f>"陈政扬著"</f>
        <v>陈政扬著</v>
      </c>
      <c r="E177" s="7" t="str">
        <f>"中华书局"</f>
        <v>中华书局</v>
      </c>
      <c r="F177" s="7" t="str">
        <f>"B244.45/8"</f>
        <v>B244.45/8</v>
      </c>
    </row>
    <row r="178" customHeight="1" spans="1:6">
      <c r="A178" s="6">
        <v>177</v>
      </c>
      <c r="B178" s="7" t="str">
        <f>"978-7-5217-3000-5"</f>
        <v>978-7-5217-3000-5</v>
      </c>
      <c r="C178" s="7" t="str">
        <f>"人间行走：向着通透与自由"</f>
        <v>人间行走：向着通透与自由</v>
      </c>
      <c r="D178" s="7" t="str">
        <f>"郭城著"</f>
        <v>郭城著</v>
      </c>
      <c r="E178" s="7" t="str">
        <f>"中信出版集团股份有限公司"</f>
        <v>中信出版集团股份有限公司</v>
      </c>
      <c r="F178" s="7" t="str">
        <f>"B821-49/1810"</f>
        <v>B821-49/1810</v>
      </c>
    </row>
    <row r="179" customHeight="1" spans="1:6">
      <c r="A179" s="6">
        <v>178</v>
      </c>
      <c r="B179" s="7" t="str">
        <f>"978-7-5217-3000-5"</f>
        <v>978-7-5217-3000-5</v>
      </c>
      <c r="C179" s="7" t="str">
        <f>"人间行走：向着通透与自由"</f>
        <v>人间行走：向着通透与自由</v>
      </c>
      <c r="D179" s="7" t="str">
        <f>"郭城著"</f>
        <v>郭城著</v>
      </c>
      <c r="E179" s="7" t="str">
        <f>"中信出版集团股份有限公司"</f>
        <v>中信出版集团股份有限公司</v>
      </c>
      <c r="F179" s="7" t="str">
        <f>"B821-49/1810"</f>
        <v>B821-49/1810</v>
      </c>
    </row>
    <row r="180" customHeight="1" spans="1:6">
      <c r="A180" s="6">
        <v>179</v>
      </c>
      <c r="B180" s="7" t="str">
        <f>"978-7-5217-2294-9"</f>
        <v>978-7-5217-2294-9</v>
      </c>
      <c r="C180" s="7" t="str">
        <f>"十种人性：谁在决定我们的善恶选择?：a new understanding of who we are and who we can be"</f>
        <v>十种人性：谁在决定我们的善恶选择?：a new understanding of who we are and who we can be</v>
      </c>
      <c r="D180" s="7" t="str">
        <f>"(英) 德克斯特·迪亚斯著Dexter Dias；杨红梅译"</f>
        <v>(英) 德克斯特·迪亚斯著Dexter Dias；杨红梅译</v>
      </c>
      <c r="E180" s="7" t="str">
        <f>"中信出版集团股份有限公司"</f>
        <v>中信出版集团股份有限公司</v>
      </c>
      <c r="F180" s="7" t="str">
        <f>"B038/20"</f>
        <v>B038/20</v>
      </c>
    </row>
    <row r="181" customHeight="1" spans="1:6">
      <c r="A181" s="6">
        <v>180</v>
      </c>
      <c r="B181" s="7" t="str">
        <f>"978-7-5217-2294-9"</f>
        <v>978-7-5217-2294-9</v>
      </c>
      <c r="C181" s="7" t="str">
        <f>"十种人性：谁在决定我们的善恶选择?：a new understanding of who we are and who we can be"</f>
        <v>十种人性：谁在决定我们的善恶选择?：a new understanding of who we are and who we can be</v>
      </c>
      <c r="D181" s="7" t="str">
        <f>"(英) 德克斯特·迪亚斯著Dexter Dias；杨红梅译"</f>
        <v>(英) 德克斯特·迪亚斯著Dexter Dias；杨红梅译</v>
      </c>
      <c r="E181" s="7" t="str">
        <f>"中信出版集团股份有限公司"</f>
        <v>中信出版集团股份有限公司</v>
      </c>
      <c r="F181" s="7" t="str">
        <f>"B038/20"</f>
        <v>B038/20</v>
      </c>
    </row>
    <row r="182" customHeight="1" spans="1:6">
      <c r="A182" s="6">
        <v>181</v>
      </c>
      <c r="B182" s="7" t="str">
        <f>"978-7-5675-6084-0"</f>
        <v>978-7-5675-6084-0</v>
      </c>
      <c r="C182" s="7" t="str">
        <f>"抄本日知錄校注．上册"</f>
        <v>抄本日知錄校注．上册</v>
      </c>
      <c r="D182" s="7" t="str">
        <f>"(清) 顧炎武著；張京華校注"</f>
        <v>(清) 顧炎武著；張京華校注</v>
      </c>
      <c r="E182" s="7" t="str">
        <f>"華東師範大學出版社"</f>
        <v>華東師範大學出版社</v>
      </c>
      <c r="F182" s="7" t="str">
        <f>"B249/22/1"</f>
        <v>B249/22/1</v>
      </c>
    </row>
    <row r="183" customHeight="1" spans="1:6">
      <c r="A183" s="6">
        <v>182</v>
      </c>
      <c r="B183" s="7" t="str">
        <f>"978-7-5675-6084-0"</f>
        <v>978-7-5675-6084-0</v>
      </c>
      <c r="C183" s="7" t="str">
        <f>"抄本日知錄校注．中册"</f>
        <v>抄本日知錄校注．中册</v>
      </c>
      <c r="D183" s="7" t="str">
        <f>"(清) 顧炎武著；張京華校注"</f>
        <v>(清) 顧炎武著；張京華校注</v>
      </c>
      <c r="E183" s="7" t="str">
        <f>"華東師範大學出版社"</f>
        <v>華東師範大學出版社</v>
      </c>
      <c r="F183" s="7" t="str">
        <f>"B249/22/2"</f>
        <v>B249/22/2</v>
      </c>
    </row>
    <row r="184" customHeight="1" spans="1:6">
      <c r="A184" s="6">
        <v>183</v>
      </c>
      <c r="B184" s="7" t="str">
        <f>"978-7-5675-6084-0"</f>
        <v>978-7-5675-6084-0</v>
      </c>
      <c r="C184" s="7" t="str">
        <f>"抄本日知錄校注．下册"</f>
        <v>抄本日知錄校注．下册</v>
      </c>
      <c r="D184" s="7" t="str">
        <f>"(清) 顧炎武著；張京華校注"</f>
        <v>(清) 顧炎武著；張京華校注</v>
      </c>
      <c r="E184" s="7" t="str">
        <f>"華東師範大學出版社"</f>
        <v>華東師範大學出版社</v>
      </c>
      <c r="F184" s="7" t="str">
        <f>"B249/22/3"</f>
        <v>B249/22/3</v>
      </c>
    </row>
    <row r="185" customHeight="1" spans="1:6">
      <c r="A185" s="6">
        <v>184</v>
      </c>
      <c r="B185" s="7" t="str">
        <f>"978-7-101-14770-4"</f>
        <v>978-7-101-14770-4</v>
      </c>
      <c r="C185" s="7" t="str">
        <f>"先秦汉唐孟学研究"</f>
        <v>先秦汉唐孟学研究</v>
      </c>
      <c r="D185" s="7" t="str">
        <f>"周淑萍著"</f>
        <v>周淑萍著</v>
      </c>
      <c r="E185" s="7" t="str">
        <f>"中华书局"</f>
        <v>中华书局</v>
      </c>
      <c r="F185" s="7" t="str">
        <f>"B222.55/51"</f>
        <v>B222.55/51</v>
      </c>
    </row>
    <row r="186" customHeight="1" spans="1:6">
      <c r="A186" s="6">
        <v>185</v>
      </c>
      <c r="B186" s="7" t="str">
        <f>"978-7-101-14770-4"</f>
        <v>978-7-101-14770-4</v>
      </c>
      <c r="C186" s="7" t="str">
        <f>"先秦汉唐孟学研究"</f>
        <v>先秦汉唐孟学研究</v>
      </c>
      <c r="D186" s="7" t="str">
        <f>"周淑萍著"</f>
        <v>周淑萍著</v>
      </c>
      <c r="E186" s="7" t="str">
        <f>"中华书局"</f>
        <v>中华书局</v>
      </c>
      <c r="F186" s="7" t="str">
        <f>"B222.55/51"</f>
        <v>B222.55/51</v>
      </c>
    </row>
    <row r="187" customHeight="1" spans="1:6">
      <c r="A187" s="6">
        <v>186</v>
      </c>
      <c r="B187" s="7" t="str">
        <f>"978-7-101-14771-1"</f>
        <v>978-7-101-14771-1</v>
      </c>
      <c r="C187" s="7" t="str">
        <f>"陆九渊集"</f>
        <v>陆九渊集</v>
      </c>
      <c r="D187" s="7" t="str">
        <f>"(宋) 陆九渊著；钟哲点校"</f>
        <v>(宋) 陆九渊著；钟哲点校</v>
      </c>
      <c r="E187" s="7" t="str">
        <f>"中华书局"</f>
        <v>中华书局</v>
      </c>
      <c r="F187" s="7" t="str">
        <f>"B244.8/3"</f>
        <v>B244.8/3</v>
      </c>
    </row>
    <row r="188" customHeight="1" spans="1:6">
      <c r="A188" s="6">
        <v>187</v>
      </c>
      <c r="B188" s="7" t="str">
        <f>"978-7-101-14771-1"</f>
        <v>978-7-101-14771-1</v>
      </c>
      <c r="C188" s="7" t="str">
        <f>"陆九渊集"</f>
        <v>陆九渊集</v>
      </c>
      <c r="D188" s="7" t="str">
        <f>"(宋) 陆九渊著；钟哲点校"</f>
        <v>(宋) 陆九渊著；钟哲点校</v>
      </c>
      <c r="E188" s="7" t="str">
        <f>"中华书局"</f>
        <v>中华书局</v>
      </c>
      <c r="F188" s="7" t="str">
        <f>"B244.8/3"</f>
        <v>B244.8/3</v>
      </c>
    </row>
    <row r="189" customHeight="1" spans="1:6">
      <c r="A189" s="6">
        <v>188</v>
      </c>
      <c r="B189" s="7" t="str">
        <f>"978-7-5711-1069-7"</f>
        <v>978-7-5711-1069-7</v>
      </c>
      <c r="C189" s="7" t="str">
        <f>"儒家文艺思想史"</f>
        <v>儒家文艺思想史</v>
      </c>
      <c r="D189" s="7" t="str">
        <f>"张毅著"</f>
        <v>张毅著</v>
      </c>
      <c r="E189" s="7" t="str">
        <f>"大象出版社"</f>
        <v>大象出版社</v>
      </c>
      <c r="F189" s="7" t="str">
        <f>"B222.05/219"</f>
        <v>B222.05/219</v>
      </c>
    </row>
    <row r="190" customHeight="1" spans="1:6">
      <c r="A190" s="6">
        <v>189</v>
      </c>
      <c r="B190" s="7" t="str">
        <f>"978-7-5711-1069-7"</f>
        <v>978-7-5711-1069-7</v>
      </c>
      <c r="C190" s="7" t="str">
        <f>"儒家文艺思想史"</f>
        <v>儒家文艺思想史</v>
      </c>
      <c r="D190" s="7" t="str">
        <f>"张毅著"</f>
        <v>张毅著</v>
      </c>
      <c r="E190" s="7" t="str">
        <f>"大象出版社"</f>
        <v>大象出版社</v>
      </c>
      <c r="F190" s="7" t="str">
        <f>"B222.05/219"</f>
        <v>B222.05/219</v>
      </c>
    </row>
    <row r="191" customHeight="1" spans="1:6">
      <c r="A191" s="6">
        <v>190</v>
      </c>
      <c r="B191" s="7" t="str">
        <f>"978-7-101-07737-7"</f>
        <v>978-7-101-07737-7</v>
      </c>
      <c r="C191" s="7" t="str">
        <f>"周易"</f>
        <v>周易</v>
      </c>
      <c r="D191" s="7" t="str">
        <f>"杨天才， 张善文译注"</f>
        <v>杨天才， 张善文译注</v>
      </c>
      <c r="E191" s="7" t="str">
        <f>"中华书局"</f>
        <v>中华书局</v>
      </c>
      <c r="F191" s="7" t="str">
        <f>"B221.4/27-2"</f>
        <v>B221.4/27-2</v>
      </c>
    </row>
    <row r="192" customHeight="1" spans="1:6">
      <c r="A192" s="6">
        <v>191</v>
      </c>
      <c r="B192" s="7" t="str">
        <f>"978-7-101-07737-7"</f>
        <v>978-7-101-07737-7</v>
      </c>
      <c r="C192" s="7" t="str">
        <f>"周易"</f>
        <v>周易</v>
      </c>
      <c r="D192" s="7" t="str">
        <f>"杨天才， 张善文译注"</f>
        <v>杨天才， 张善文译注</v>
      </c>
      <c r="E192" s="7" t="str">
        <f>"中华书局"</f>
        <v>中华书局</v>
      </c>
      <c r="F192" s="7" t="str">
        <f>"B221.4/27-2"</f>
        <v>B221.4/27-2</v>
      </c>
    </row>
    <row r="193" customHeight="1" spans="1:6">
      <c r="A193" s="6">
        <v>192</v>
      </c>
      <c r="B193" s="7" t="str">
        <f>"978-7-101-14575-5"</f>
        <v>978-7-101-14575-5</v>
      </c>
      <c r="C193" s="7" t="str">
        <f>"周易与中华文化"</f>
        <v>周易与中华文化</v>
      </c>
      <c r="D193" s="7" t="str">
        <f>"王树森著"</f>
        <v>王树森著</v>
      </c>
      <c r="E193" s="7" t="str">
        <f>"中华书局"</f>
        <v>中华书局</v>
      </c>
      <c r="F193" s="7" t="str">
        <f>"B221.5/236"</f>
        <v>B221.5/236</v>
      </c>
    </row>
    <row r="194" customHeight="1" spans="1:6">
      <c r="A194" s="6">
        <v>193</v>
      </c>
      <c r="B194" s="7" t="str">
        <f>"978-7-101-14575-5"</f>
        <v>978-7-101-14575-5</v>
      </c>
      <c r="C194" s="7" t="str">
        <f>"周易与中华文化"</f>
        <v>周易与中华文化</v>
      </c>
      <c r="D194" s="7" t="str">
        <f>"王树森著"</f>
        <v>王树森著</v>
      </c>
      <c r="E194" s="7" t="str">
        <f>"中华书局"</f>
        <v>中华书局</v>
      </c>
      <c r="F194" s="7" t="str">
        <f>"B221.5/236"</f>
        <v>B221.5/236</v>
      </c>
    </row>
    <row r="195" customHeight="1" spans="1:6">
      <c r="A195" s="6">
        <v>194</v>
      </c>
      <c r="B195" s="7" t="str">
        <f>"978-7-5117-3687-1"</f>
        <v>978-7-5117-3687-1</v>
      </c>
      <c r="C195" s="7" t="str">
        <f>"中国思维的根系：研究笔记"</f>
        <v>中国思维的根系：研究笔记</v>
      </c>
      <c r="D195" s="7" t="str">
        <f>"萧延中著"</f>
        <v>萧延中著</v>
      </c>
      <c r="E195" s="7" t="str">
        <f>"中央编译出版社"</f>
        <v>中央编译出版社</v>
      </c>
      <c r="F195" s="7" t="str">
        <f>"B804/221"</f>
        <v>B804/221</v>
      </c>
    </row>
    <row r="196" customHeight="1" spans="1:6">
      <c r="A196" s="6">
        <v>195</v>
      </c>
      <c r="B196" s="7" t="str">
        <f>"978-7-5117-3687-1"</f>
        <v>978-7-5117-3687-1</v>
      </c>
      <c r="C196" s="7" t="str">
        <f>"中国思维的根系：研究笔记"</f>
        <v>中国思维的根系：研究笔记</v>
      </c>
      <c r="D196" s="7" t="str">
        <f>"萧延中著"</f>
        <v>萧延中著</v>
      </c>
      <c r="E196" s="7" t="str">
        <f>"中央编译出版社"</f>
        <v>中央编译出版社</v>
      </c>
      <c r="F196" s="7" t="str">
        <f>"B804/221"</f>
        <v>B804/221</v>
      </c>
    </row>
    <row r="197" customHeight="1" spans="1:6">
      <c r="A197" s="6">
        <v>196</v>
      </c>
      <c r="B197" s="7" t="str">
        <f>"978-7-300-29627-2"</f>
        <v>978-7-300-29627-2</v>
      </c>
      <c r="C197" s="7" t="str">
        <f>"心力"</f>
        <v>心力</v>
      </c>
      <c r="D197" s="7" t="str">
        <f>"邓亚萍著"</f>
        <v>邓亚萍著</v>
      </c>
      <c r="E197" s="7" t="str">
        <f>"中国人民大学出版社"</f>
        <v>中国人民大学出版社</v>
      </c>
      <c r="F197" s="7" t="str">
        <f>"B84-49/251"</f>
        <v>B84-49/251</v>
      </c>
    </row>
    <row r="198" customHeight="1" spans="1:6">
      <c r="A198" s="6">
        <v>197</v>
      </c>
      <c r="B198" s="7" t="str">
        <f>"978-7-300-29627-2"</f>
        <v>978-7-300-29627-2</v>
      </c>
      <c r="C198" s="7" t="str">
        <f>"心力"</f>
        <v>心力</v>
      </c>
      <c r="D198" s="7" t="str">
        <f>"邓亚萍著"</f>
        <v>邓亚萍著</v>
      </c>
      <c r="E198" s="7" t="str">
        <f>"中国人民大学出版社"</f>
        <v>中国人民大学出版社</v>
      </c>
      <c r="F198" s="7" t="str">
        <f>"B84-49/251"</f>
        <v>B84-49/251</v>
      </c>
    </row>
    <row r="199" customHeight="1" spans="1:6">
      <c r="A199" s="6">
        <v>198</v>
      </c>
      <c r="B199" s="7" t="str">
        <f>"978-7-208-16556-4"</f>
        <v>978-7-208-16556-4</v>
      </c>
      <c r="C199" s="7" t="str">
        <f>"叔本华科学随笔"</f>
        <v>叔本华科学随笔</v>
      </c>
      <c r="D199" s="7" t="str">
        <f>"(德) 叔本华著；韦启昌译"</f>
        <v>(德) 叔本华著；韦启昌译</v>
      </c>
      <c r="E199" s="7" t="str">
        <f>"上海人民出版社"</f>
        <v>上海人民出版社</v>
      </c>
      <c r="F199" s="7" t="str">
        <f>"B516.41/53"</f>
        <v>B516.41/53</v>
      </c>
    </row>
    <row r="200" customHeight="1" spans="1:6">
      <c r="A200" s="6">
        <v>199</v>
      </c>
      <c r="B200" s="7" t="str">
        <f>"978-7-208-16556-4"</f>
        <v>978-7-208-16556-4</v>
      </c>
      <c r="C200" s="7" t="str">
        <f>"叔本华科学随笔"</f>
        <v>叔本华科学随笔</v>
      </c>
      <c r="D200" s="7" t="str">
        <f>"(德) 叔本华著；韦启昌译"</f>
        <v>(德) 叔本华著；韦启昌译</v>
      </c>
      <c r="E200" s="7" t="str">
        <f>"上海人民出版社"</f>
        <v>上海人民出版社</v>
      </c>
      <c r="F200" s="7" t="str">
        <f>"B516.41/53"</f>
        <v>B516.41/53</v>
      </c>
    </row>
    <row r="201" customHeight="1" spans="1:6">
      <c r="A201" s="6">
        <v>200</v>
      </c>
      <c r="B201" s="7" t="str">
        <f>"978-7-208-16556-4"</f>
        <v>978-7-208-16556-4</v>
      </c>
      <c r="C201" s="7" t="str">
        <f>"叔本华科学随笔"</f>
        <v>叔本华科学随笔</v>
      </c>
      <c r="D201" s="7" t="str">
        <f>"(德) 叔本华著；韦启昌译"</f>
        <v>(德) 叔本华著；韦启昌译</v>
      </c>
      <c r="E201" s="7" t="str">
        <f>"上海人民出版社"</f>
        <v>上海人民出版社</v>
      </c>
      <c r="F201" s="7" t="str">
        <f>"B516.41/53"</f>
        <v>B516.41/53</v>
      </c>
    </row>
    <row r="202" customHeight="1" spans="1:6">
      <c r="A202" s="6">
        <v>201</v>
      </c>
      <c r="B202" s="7" t="str">
        <f>"978-7-5447-8826-7"</f>
        <v>978-7-5447-8826-7</v>
      </c>
      <c r="C202" s="7" t="str">
        <f>"西方美学史"</f>
        <v>西方美学史</v>
      </c>
      <c r="D202" s="7" t="str">
        <f>"朱光潜著"</f>
        <v>朱光潜著</v>
      </c>
      <c r="E202" s="7" t="str">
        <f>"译林出版社"</f>
        <v>译林出版社</v>
      </c>
      <c r="F202" s="7" t="str">
        <f>"B83/238-2"</f>
        <v>B83/238-2</v>
      </c>
    </row>
    <row r="203" customHeight="1" spans="1:6">
      <c r="A203" s="6">
        <v>202</v>
      </c>
      <c r="B203" s="7" t="str">
        <f>"978-7-5447-8826-7"</f>
        <v>978-7-5447-8826-7</v>
      </c>
      <c r="C203" s="7" t="str">
        <f>"西方美学史"</f>
        <v>西方美学史</v>
      </c>
      <c r="D203" s="7" t="str">
        <f>"朱光潜著"</f>
        <v>朱光潜著</v>
      </c>
      <c r="E203" s="7" t="str">
        <f>"译林出版社"</f>
        <v>译林出版社</v>
      </c>
      <c r="F203" s="7" t="str">
        <f>"B83/238-2"</f>
        <v>B83/238-2</v>
      </c>
    </row>
    <row r="204" customHeight="1" spans="1:6">
      <c r="A204" s="6">
        <v>203</v>
      </c>
      <c r="B204" s="7" t="str">
        <f>"978-7-101-11251-1"</f>
        <v>978-7-101-11251-1</v>
      </c>
      <c r="C204" s="7" t="str">
        <f>"大乘起信论校释"</f>
        <v>大乘起信论校释</v>
      </c>
      <c r="D204" s="7" t="str">
        <f>"(梁) 真谛译；高振农校释"</f>
        <v>(梁) 真谛译；高振农校释</v>
      </c>
      <c r="E204" s="7" t="str">
        <f>"中华书局"</f>
        <v>中华书局</v>
      </c>
      <c r="F204" s="7" t="str">
        <f>"B942.1/93"</f>
        <v>B942.1/93</v>
      </c>
    </row>
    <row r="205" customHeight="1" spans="1:6">
      <c r="A205" s="6">
        <v>204</v>
      </c>
      <c r="B205" s="7" t="str">
        <f>"978-7-101-11251-1"</f>
        <v>978-7-101-11251-1</v>
      </c>
      <c r="C205" s="7" t="str">
        <f>"大乘起信论校释"</f>
        <v>大乘起信论校释</v>
      </c>
      <c r="D205" s="7" t="str">
        <f>"(梁) 真谛译；高振农校释"</f>
        <v>(梁) 真谛译；高振农校释</v>
      </c>
      <c r="E205" s="7" t="str">
        <f>"中华书局"</f>
        <v>中华书局</v>
      </c>
      <c r="F205" s="7" t="str">
        <f>"B942.1/93"</f>
        <v>B942.1/93</v>
      </c>
    </row>
    <row r="206" customHeight="1" spans="1:6">
      <c r="A206" s="6">
        <v>205</v>
      </c>
      <c r="B206" s="7" t="str">
        <f>"978-7-309-14441-3"</f>
        <v>978-7-309-14441-3</v>
      </c>
      <c r="C206" s="7" t="str">
        <f>"中国哲学史十讲"</f>
        <v>中国哲学史十讲</v>
      </c>
      <c r="D206" s="7" t="str">
        <f>"郭齐勇著"</f>
        <v>郭齐勇著</v>
      </c>
      <c r="E206" s="7" t="str">
        <f>"复旦大学出版社"</f>
        <v>复旦大学出版社</v>
      </c>
      <c r="F206" s="7" t="str">
        <f>"B2/219"</f>
        <v>B2/219</v>
      </c>
    </row>
    <row r="207" customHeight="1" spans="1:6">
      <c r="A207" s="6">
        <v>206</v>
      </c>
      <c r="B207" s="7" t="str">
        <f>"978-7-309-14441-3"</f>
        <v>978-7-309-14441-3</v>
      </c>
      <c r="C207" s="7" t="str">
        <f>"中国哲学史十讲"</f>
        <v>中国哲学史十讲</v>
      </c>
      <c r="D207" s="7" t="str">
        <f>"郭齐勇著"</f>
        <v>郭齐勇著</v>
      </c>
      <c r="E207" s="7" t="str">
        <f>"复旦大学出版社"</f>
        <v>复旦大学出版社</v>
      </c>
      <c r="F207" s="7" t="str">
        <f>"B2/219"</f>
        <v>B2/219</v>
      </c>
    </row>
    <row r="208" customHeight="1" spans="1:6">
      <c r="A208" s="6">
        <v>207</v>
      </c>
      <c r="B208" s="7" t="str">
        <f>"978-7-100-19517-1"</f>
        <v>978-7-100-19517-1</v>
      </c>
      <c r="C208" s="7" t="str">
        <f>"康德与形而上学疑难"</f>
        <v>康德与形而上学疑难</v>
      </c>
      <c r="D208" s="7" t="str">
        <f>"(德) 海德格尔著；王庆节译"</f>
        <v>(德) 海德格尔著；王庆节译</v>
      </c>
      <c r="E208" s="7" t="str">
        <f>"商务印书馆"</f>
        <v>商务印书馆</v>
      </c>
      <c r="F208" s="7" t="str">
        <f>"B516.31/36=D"</f>
        <v>B516.31/36=D</v>
      </c>
    </row>
    <row r="209" customHeight="1" spans="1:6">
      <c r="A209" s="6">
        <v>208</v>
      </c>
      <c r="B209" s="7" t="str">
        <f>"978-7-100-19517-1"</f>
        <v>978-7-100-19517-1</v>
      </c>
      <c r="C209" s="7" t="str">
        <f>"康德与形而上学疑难"</f>
        <v>康德与形而上学疑难</v>
      </c>
      <c r="D209" s="7" t="str">
        <f>"(德) 海德格尔著；王庆节译"</f>
        <v>(德) 海德格尔著；王庆节译</v>
      </c>
      <c r="E209" s="7" t="str">
        <f>"商务印书馆"</f>
        <v>商务印书馆</v>
      </c>
      <c r="F209" s="7" t="str">
        <f>"B516.31/36=D"</f>
        <v>B516.31/36=D</v>
      </c>
    </row>
    <row r="210" customHeight="1" spans="1:6">
      <c r="A210" s="6">
        <v>209</v>
      </c>
      <c r="B210" s="7" t="str">
        <f>"978-7-208-16882-4"</f>
        <v>978-7-208-16882-4</v>
      </c>
      <c r="C210" s="7" t="str">
        <f>"人类的情感：认知与历史"</f>
        <v>人类的情感：认知与历史</v>
      </c>
      <c r="D210" s="7" t="str">
        <f>"(德) 扬·普兰佩尔著；马百亮， 夏凡译"</f>
        <v>(德) 扬·普兰佩尔著；马百亮， 夏凡译</v>
      </c>
      <c r="E210" s="7" t="str">
        <f>"上海人民出版社"</f>
        <v>上海人民出版社</v>
      </c>
      <c r="F210" s="7" t="str">
        <f>"B842.6/947"</f>
        <v>B842.6/947</v>
      </c>
    </row>
    <row r="211" customHeight="1" spans="1:6">
      <c r="A211" s="6">
        <v>210</v>
      </c>
      <c r="B211" s="7" t="str">
        <f>"978-7-208-16882-4"</f>
        <v>978-7-208-16882-4</v>
      </c>
      <c r="C211" s="7" t="str">
        <f>"人类的情感：认知与历史"</f>
        <v>人类的情感：认知与历史</v>
      </c>
      <c r="D211" s="7" t="str">
        <f>"(德) 扬·普兰佩尔著；马百亮， 夏凡译"</f>
        <v>(德) 扬·普兰佩尔著；马百亮， 夏凡译</v>
      </c>
      <c r="E211" s="7" t="str">
        <f>"上海人民出版社"</f>
        <v>上海人民出版社</v>
      </c>
      <c r="F211" s="7" t="str">
        <f>"B842.6/947"</f>
        <v>B842.6/947</v>
      </c>
    </row>
    <row r="212" customHeight="1" spans="1:6">
      <c r="A212" s="6">
        <v>211</v>
      </c>
      <c r="B212" s="7" t="str">
        <f>"978-7-5598-2153-9"</f>
        <v>978-7-5598-2153-9</v>
      </c>
      <c r="C212" s="7" t="str">
        <f>"問道：《老子》思想細讀"</f>
        <v>問道：《老子》思想細讀</v>
      </c>
      <c r="D212" s="7" t="str">
        <f>"(日) 池田知久著；王啟發， 曹峰等譯"</f>
        <v>(日) 池田知久著；王啟發， 曹峰等譯</v>
      </c>
      <c r="E212" s="7" t="str">
        <f>"廣西師範大學出版社"</f>
        <v>廣西師範大學出版社</v>
      </c>
      <c r="F212" s="7" t="str">
        <f>"B223.15/150"</f>
        <v>B223.15/150</v>
      </c>
    </row>
    <row r="213" customHeight="1" spans="1:6">
      <c r="A213" s="6">
        <v>212</v>
      </c>
      <c r="B213" s="7" t="str">
        <f>"978-7-218-14633-1"</f>
        <v>978-7-218-14633-1</v>
      </c>
      <c r="C213" s="7" t="str">
        <f>"孔子西游记：中国智慧在西方"</f>
        <v>孔子西游记：中国智慧在西方</v>
      </c>
      <c r="D213" s="7" t="str">
        <f>"武斌著"</f>
        <v>武斌著</v>
      </c>
      <c r="E213" s="7" t="str">
        <f>"广东人民出版社"</f>
        <v>广东人民出版社</v>
      </c>
      <c r="F213" s="7" t="str">
        <f>"B222.25/241"</f>
        <v>B222.25/241</v>
      </c>
    </row>
    <row r="214" customHeight="1" spans="1:6">
      <c r="A214" s="6">
        <v>213</v>
      </c>
      <c r="B214" s="7" t="str">
        <f>"978-7-218-14633-1"</f>
        <v>978-7-218-14633-1</v>
      </c>
      <c r="C214" s="7" t="str">
        <f>"孔子西游记：中国智慧在西方"</f>
        <v>孔子西游记：中国智慧在西方</v>
      </c>
      <c r="D214" s="7" t="str">
        <f>"武斌著"</f>
        <v>武斌著</v>
      </c>
      <c r="E214" s="7" t="str">
        <f>"广东人民出版社"</f>
        <v>广东人民出版社</v>
      </c>
      <c r="F214" s="7" t="str">
        <f>"B222.25/241"</f>
        <v>B222.25/241</v>
      </c>
    </row>
    <row r="215" customHeight="1" spans="1:6">
      <c r="A215" s="6">
        <v>214</v>
      </c>
      <c r="B215" s="7" t="str">
        <f>"978-7-108-06684-8"</f>
        <v>978-7-108-06684-8</v>
      </c>
      <c r="C215" s="7" t="str">
        <f>"成神：早期中国的宇宙论、祭祀与自我神化"</f>
        <v>成神：早期中国的宇宙论、祭祀与自我神化</v>
      </c>
      <c r="D215" s="7" t="str">
        <f>"(美) 普鸣著；张常煊， 李健芸译"</f>
        <v>(美) 普鸣著；张常煊， 李健芸译</v>
      </c>
      <c r="E215" s="7" t="str">
        <f>"三联书店"</f>
        <v>三联书店</v>
      </c>
      <c r="F215" s="7" t="str">
        <f>"B016/19"</f>
        <v>B016/19</v>
      </c>
    </row>
    <row r="216" customHeight="1" spans="1:6">
      <c r="A216" s="6">
        <v>215</v>
      </c>
      <c r="B216" s="7" t="str">
        <f>"978-7-108-06684-8"</f>
        <v>978-7-108-06684-8</v>
      </c>
      <c r="C216" s="7" t="str">
        <f>"成神：早期中国的宇宙论、祭祀与自我神化"</f>
        <v>成神：早期中国的宇宙论、祭祀与自我神化</v>
      </c>
      <c r="D216" s="7" t="str">
        <f>"(美) 普鸣著；张常煊， 李健芸译"</f>
        <v>(美) 普鸣著；张常煊， 李健芸译</v>
      </c>
      <c r="E216" s="7" t="str">
        <f>"三联书店"</f>
        <v>三联书店</v>
      </c>
      <c r="F216" s="7" t="str">
        <f>"B016/19"</f>
        <v>B016/19</v>
      </c>
    </row>
    <row r="217" customHeight="1" spans="1:6">
      <c r="A217" s="6">
        <v>216</v>
      </c>
      <c r="B217" s="7" t="str">
        <f>"978-7-5057-5240-5"</f>
        <v>978-7-5057-5240-5</v>
      </c>
      <c r="C217" s="7" t="str">
        <f>"基层女性"</f>
        <v>基层女性</v>
      </c>
      <c r="D217" s="7" t="str">
        <f>"王慧玲著"</f>
        <v>王慧玲著</v>
      </c>
      <c r="E217" s="7" t="str">
        <f>"中国友谊出版公司"</f>
        <v>中国友谊出版公司</v>
      </c>
      <c r="F217" s="7" t="str">
        <f>"B848.4/4089"</f>
        <v>B848.4/4089</v>
      </c>
    </row>
    <row r="218" customHeight="1" spans="1:6">
      <c r="A218" s="6">
        <v>217</v>
      </c>
      <c r="B218" s="7" t="str">
        <f>"978-7-5057-5240-5"</f>
        <v>978-7-5057-5240-5</v>
      </c>
      <c r="C218" s="7" t="str">
        <f>"基层女性"</f>
        <v>基层女性</v>
      </c>
      <c r="D218" s="7" t="str">
        <f>"王慧玲著"</f>
        <v>王慧玲著</v>
      </c>
      <c r="E218" s="7" t="str">
        <f>"中国友谊出版公司"</f>
        <v>中国友谊出版公司</v>
      </c>
      <c r="F218" s="7" t="str">
        <f>"B848.4/4089"</f>
        <v>B848.4/4089</v>
      </c>
    </row>
    <row r="219" customHeight="1" spans="1:6">
      <c r="A219" s="6">
        <v>218</v>
      </c>
      <c r="B219" s="7" t="str">
        <f>"978-7-100-18533-2"</f>
        <v>978-7-100-18533-2</v>
      </c>
      <c r="C219" s="7" t="str">
        <f>"扶箕迷信的研究"</f>
        <v>扶箕迷信的研究</v>
      </c>
      <c r="D219" s="7" t="str">
        <f>"许地山著"</f>
        <v>许地山著</v>
      </c>
      <c r="E219" s="7" t="str">
        <f>"商务印书馆"</f>
        <v>商务印书馆</v>
      </c>
      <c r="F219" s="7" t="str">
        <f>"B992.2/46"</f>
        <v>B992.2/46</v>
      </c>
    </row>
    <row r="220" customHeight="1" spans="1:6">
      <c r="A220" s="6">
        <v>219</v>
      </c>
      <c r="B220" s="7" t="str">
        <f>"978-7-100-18533-2"</f>
        <v>978-7-100-18533-2</v>
      </c>
      <c r="C220" s="7" t="str">
        <f>"扶箕迷信的研究"</f>
        <v>扶箕迷信的研究</v>
      </c>
      <c r="D220" s="7" t="str">
        <f>"许地山著"</f>
        <v>许地山著</v>
      </c>
      <c r="E220" s="7" t="str">
        <f>"商务印书馆"</f>
        <v>商务印书馆</v>
      </c>
      <c r="F220" s="7" t="str">
        <f>"B992.2/46"</f>
        <v>B992.2/46</v>
      </c>
    </row>
    <row r="221" customHeight="1" spans="1:6">
      <c r="A221" s="6">
        <v>220</v>
      </c>
      <c r="B221" s="7" t="str">
        <f>"978-7-208-17099-5"</f>
        <v>978-7-208-17099-5</v>
      </c>
      <c r="C221" s="7" t="str">
        <f>"变风变雅：清季民初的诗文、学术与政教"</f>
        <v>变风变雅：清季民初的诗文、学术与政教</v>
      </c>
      <c r="D221" s="7" t="str">
        <f>"陆胤著"</f>
        <v>陆胤著</v>
      </c>
      <c r="E221" s="7" t="str">
        <f>"上海人民出版社"</f>
        <v>上海人民出版社</v>
      </c>
      <c r="F221" s="7" t="str">
        <f>"B249.05/36"</f>
        <v>B249.05/36</v>
      </c>
    </row>
    <row r="222" customHeight="1" spans="1:6">
      <c r="A222" s="6">
        <v>221</v>
      </c>
      <c r="B222" s="7" t="str">
        <f>"978-7-208-17099-5"</f>
        <v>978-7-208-17099-5</v>
      </c>
      <c r="C222" s="7" t="str">
        <f>"变风变雅：清季民初的诗文、学术与政教"</f>
        <v>变风变雅：清季民初的诗文、学术与政教</v>
      </c>
      <c r="D222" s="7" t="str">
        <f>"陆胤著"</f>
        <v>陆胤著</v>
      </c>
      <c r="E222" s="7" t="str">
        <f>"上海人民出版社"</f>
        <v>上海人民出版社</v>
      </c>
      <c r="F222" s="7" t="str">
        <f>"B249.05/36"</f>
        <v>B249.05/36</v>
      </c>
    </row>
    <row r="223" customHeight="1" spans="1:6">
      <c r="A223" s="6">
        <v>222</v>
      </c>
      <c r="B223" s="7" t="str">
        <f>"978-7-200-15097-1"</f>
        <v>978-7-200-15097-1</v>
      </c>
      <c r="C223" s="7" t="str">
        <f>"中国哲学与未来世界哲学"</f>
        <v>中国哲学与未来世界哲学</v>
      </c>
      <c r="D223" s="7" t="str">
        <f>"冯友兰著；王碧滢编"</f>
        <v>冯友兰著；王碧滢编</v>
      </c>
      <c r="E223" s="7" t="str">
        <f>"北京出版社"</f>
        <v>北京出版社</v>
      </c>
      <c r="F223" s="7" t="str">
        <f>"B2/220"</f>
        <v>B2/220</v>
      </c>
    </row>
    <row r="224" customHeight="1" spans="1:6">
      <c r="A224" s="6">
        <v>223</v>
      </c>
      <c r="B224" s="7" t="str">
        <f>"978-7-200-15097-1"</f>
        <v>978-7-200-15097-1</v>
      </c>
      <c r="C224" s="7" t="str">
        <f>"中国哲学与未来世界哲学"</f>
        <v>中国哲学与未来世界哲学</v>
      </c>
      <c r="D224" s="7" t="str">
        <f>"冯友兰著；王碧滢编"</f>
        <v>冯友兰著；王碧滢编</v>
      </c>
      <c r="E224" s="7" t="str">
        <f>"北京出版社"</f>
        <v>北京出版社</v>
      </c>
      <c r="F224" s="7" t="str">
        <f>"B2/220"</f>
        <v>B2/220</v>
      </c>
    </row>
    <row r="225" customHeight="1" spans="1:6">
      <c r="A225" s="6">
        <v>224</v>
      </c>
      <c r="B225" s="7" t="str">
        <f>"978-7-200-15097-1"</f>
        <v>978-7-200-15097-1</v>
      </c>
      <c r="C225" s="7" t="str">
        <f>"中国哲学与未来世界哲学"</f>
        <v>中国哲学与未来世界哲学</v>
      </c>
      <c r="D225" s="7" t="str">
        <f>"冯友兰著；王碧滢编"</f>
        <v>冯友兰著；王碧滢编</v>
      </c>
      <c r="E225" s="7" t="str">
        <f>"北京出版社"</f>
        <v>北京出版社</v>
      </c>
      <c r="F225" s="7" t="str">
        <f>"B2/220"</f>
        <v>B2/220</v>
      </c>
    </row>
    <row r="226" customHeight="1" spans="1:6">
      <c r="A226" s="6">
        <v>225</v>
      </c>
      <c r="B226" s="7" t="str">
        <f>"978-7-5520-3583-4"</f>
        <v>978-7-5520-3583-4</v>
      </c>
      <c r="C226" s="7" t="str">
        <f>"老子哲学与现代管理"</f>
        <v>老子哲学与现代管理</v>
      </c>
      <c r="D226" s="7" t="str">
        <f>"隋广义著"</f>
        <v>隋广义著</v>
      </c>
      <c r="E226" s="7" t="str">
        <f>"上海社会科学院出版社"</f>
        <v>上海社会科学院出版社</v>
      </c>
      <c r="F226" s="7" t="str">
        <f>"B223.15/151"</f>
        <v>B223.15/151</v>
      </c>
    </row>
    <row r="227" customHeight="1" spans="1:6">
      <c r="A227" s="6">
        <v>226</v>
      </c>
      <c r="B227" s="7" t="str">
        <f>"978-7-5520-3583-4"</f>
        <v>978-7-5520-3583-4</v>
      </c>
      <c r="C227" s="7" t="str">
        <f>"老子哲学与现代管理"</f>
        <v>老子哲学与现代管理</v>
      </c>
      <c r="D227" s="7" t="str">
        <f>"隋广义著"</f>
        <v>隋广义著</v>
      </c>
      <c r="E227" s="7" t="str">
        <f>"上海社会科学院出版社"</f>
        <v>上海社会科学院出版社</v>
      </c>
      <c r="F227" s="7" t="str">
        <f>"B223.15/151"</f>
        <v>B223.15/151</v>
      </c>
    </row>
    <row r="228" customHeight="1" spans="1:6">
      <c r="A228" s="6">
        <v>227</v>
      </c>
      <c r="B228" s="7" t="str">
        <f>"978-7-300-28787-4"</f>
        <v>978-7-300-28787-4</v>
      </c>
      <c r="C228" s="7" t="str">
        <f>"我们与恶的距离：关于邪恶的哲学思考"</f>
        <v>我们与恶的距离：关于邪恶的哲学思考</v>
      </c>
      <c r="D228" s="7" t="str">
        <f>"(挪) 拉斯·弗雷德里克·H. 史文德森著Lars Fr. H. Svendsen；丁敏译"</f>
        <v>(挪) 拉斯·弗雷德里克·H. 史文德森著Lars Fr. H. Svendsen；丁敏译</v>
      </c>
      <c r="E228" s="7" t="str">
        <f>"中国人民大学出版社"</f>
        <v>中国人民大学出版社</v>
      </c>
      <c r="F228" s="7" t="str">
        <f>"B82/472"</f>
        <v>B82/472</v>
      </c>
    </row>
    <row r="229" customHeight="1" spans="1:6">
      <c r="A229" s="6">
        <v>228</v>
      </c>
      <c r="B229" s="7" t="str">
        <f>"978-7-300-28787-4"</f>
        <v>978-7-300-28787-4</v>
      </c>
      <c r="C229" s="7" t="str">
        <f>"我们与恶的距离：关于邪恶的哲学思考"</f>
        <v>我们与恶的距离：关于邪恶的哲学思考</v>
      </c>
      <c r="D229" s="7" t="str">
        <f>"(挪) 拉斯·弗雷德里克·H. 史文德森著Lars Fr. H. Svendsen；丁敏译"</f>
        <v>(挪) 拉斯·弗雷德里克·H. 史文德森著Lars Fr. H. Svendsen；丁敏译</v>
      </c>
      <c r="E229" s="7" t="str">
        <f>"中国人民大学出版社"</f>
        <v>中国人民大学出版社</v>
      </c>
      <c r="F229" s="7" t="str">
        <f>"B82/472"</f>
        <v>B82/472</v>
      </c>
    </row>
    <row r="230" customHeight="1" spans="1:6">
      <c r="A230" s="6">
        <v>229</v>
      </c>
      <c r="B230" s="7" t="str">
        <f>"978-7-5411-6061-5"</f>
        <v>978-7-5411-6061-5</v>
      </c>
      <c r="C230" s="7" t="str">
        <f>"禅与日本文化"</f>
        <v>禅与日本文化</v>
      </c>
      <c r="D230" s="7" t="str">
        <f>"(日) 铃木大拙著；郑民钦译"</f>
        <v>(日) 铃木大拙著；郑民钦译</v>
      </c>
      <c r="E230" s="7" t="str">
        <f>"四川文艺出版社"</f>
        <v>四川文艺出版社</v>
      </c>
      <c r="F230" s="7" t="str">
        <f>"B946.5/248"</f>
        <v>B946.5/248</v>
      </c>
    </row>
    <row r="231" customHeight="1" spans="1:6">
      <c r="A231" s="6">
        <v>230</v>
      </c>
      <c r="B231" s="7" t="str">
        <f>"978-7-5411-6061-5"</f>
        <v>978-7-5411-6061-5</v>
      </c>
      <c r="C231" s="7" t="str">
        <f>"禅与日本文化"</f>
        <v>禅与日本文化</v>
      </c>
      <c r="D231" s="7" t="str">
        <f>"(日) 铃木大拙著；郑民钦译"</f>
        <v>(日) 铃木大拙著；郑民钦译</v>
      </c>
      <c r="E231" s="7" t="str">
        <f>"四川文艺出版社"</f>
        <v>四川文艺出版社</v>
      </c>
      <c r="F231" s="7" t="str">
        <f>"B946.5/248"</f>
        <v>B946.5/248</v>
      </c>
    </row>
    <row r="232" customHeight="1" spans="1:6">
      <c r="A232" s="6">
        <v>231</v>
      </c>
      <c r="B232" s="7" t="str">
        <f>"978-7-5411-6061-5"</f>
        <v>978-7-5411-6061-5</v>
      </c>
      <c r="C232" s="7" t="str">
        <f>"禅与日本文化"</f>
        <v>禅与日本文化</v>
      </c>
      <c r="D232" s="7" t="str">
        <f>"(日) 铃木大拙著；郑民钦译"</f>
        <v>(日) 铃木大拙著；郑民钦译</v>
      </c>
      <c r="E232" s="7" t="str">
        <f>"四川文艺出版社"</f>
        <v>四川文艺出版社</v>
      </c>
      <c r="F232" s="7" t="str">
        <f>"B946.5/248"</f>
        <v>B946.5/248</v>
      </c>
    </row>
    <row r="233" customHeight="1" spans="1:6">
      <c r="A233" s="6">
        <v>232</v>
      </c>
      <c r="B233" s="7" t="str">
        <f>"978-7-101-08221-0"</f>
        <v>978-7-101-08221-0</v>
      </c>
      <c r="C233" s="7" t="str">
        <f>"宋元學案補遺．一"</f>
        <v>宋元學案補遺．一</v>
      </c>
      <c r="D233" s="7" t="str">
        <f>"(清) 王梓材， 馮雲濠編撰；沈芝盈， 梁連華點校"</f>
        <v>(清) 王梓材， 馮雲濠編撰；沈芝盈， 梁連華點校</v>
      </c>
      <c r="E233" s="7" t="str">
        <f>"中華書局"</f>
        <v>中華書局</v>
      </c>
      <c r="F233" s="7" t="str">
        <f>"B244.05/23-2/1"</f>
        <v>B244.05/23-2/1</v>
      </c>
    </row>
    <row r="234" customHeight="1" spans="1:6">
      <c r="A234" s="6">
        <v>233</v>
      </c>
      <c r="B234" s="7" t="str">
        <f>"978-7-101-08221-0"</f>
        <v>978-7-101-08221-0</v>
      </c>
      <c r="C234" s="7" t="str">
        <f>"宋元學案補遺．二"</f>
        <v>宋元學案補遺．二</v>
      </c>
      <c r="D234" s="7" t="str">
        <f>"(清) 王梓材， 馮雲濠編撰；沈芝盈， 梁連華點校"</f>
        <v>(清) 王梓材， 馮雲濠編撰；沈芝盈， 梁連華點校</v>
      </c>
      <c r="E234" s="7" t="str">
        <f>"中華書局"</f>
        <v>中華書局</v>
      </c>
      <c r="F234" s="7" t="str">
        <f>"B244.05/23-2/2"</f>
        <v>B244.05/23-2/2</v>
      </c>
    </row>
    <row r="235" customHeight="1" spans="1:6">
      <c r="A235" s="6">
        <v>234</v>
      </c>
      <c r="B235" s="7" t="str">
        <f>"978-7-101-08221-0"</f>
        <v>978-7-101-08221-0</v>
      </c>
      <c r="C235" s="7" t="str">
        <f>"宋元學案補遺．三"</f>
        <v>宋元學案補遺．三</v>
      </c>
      <c r="D235" s="7" t="str">
        <f>"(清) 王梓材， 馮雲濠編撰；沈芝盈， 梁連華點校"</f>
        <v>(清) 王梓材， 馮雲濠編撰；沈芝盈， 梁連華點校</v>
      </c>
      <c r="E235" s="7" t="str">
        <f>"中華書局"</f>
        <v>中華書局</v>
      </c>
      <c r="F235" s="7" t="str">
        <f>"B244.05/45-2/3"</f>
        <v>B244.05/45-2/3</v>
      </c>
    </row>
    <row r="236" customHeight="1" spans="1:6">
      <c r="A236" s="6">
        <v>235</v>
      </c>
      <c r="B236" s="7" t="str">
        <f>"978-7-101-08221-0"</f>
        <v>978-7-101-08221-0</v>
      </c>
      <c r="C236" s="7" t="str">
        <f>"宋元學案補遺．四"</f>
        <v>宋元學案補遺．四</v>
      </c>
      <c r="D236" s="7" t="str">
        <f>"(清) 王梓材， 馮雲濠編撰；沈芝盈， 梁連華點校"</f>
        <v>(清) 王梓材， 馮雲濠編撰；沈芝盈， 梁連華點校</v>
      </c>
      <c r="E236" s="7" t="str">
        <f>"中華書局"</f>
        <v>中華書局</v>
      </c>
      <c r="F236" s="7" t="str">
        <f>"B244.05/23-2/4"</f>
        <v>B244.05/23-2/4</v>
      </c>
    </row>
    <row r="237" customHeight="1" spans="1:6">
      <c r="A237" s="6">
        <v>236</v>
      </c>
      <c r="B237" s="7" t="str">
        <f>"978-7-101-08221-0"</f>
        <v>978-7-101-08221-0</v>
      </c>
      <c r="C237" s="7" t="str">
        <f>"宋元學案補遺．五"</f>
        <v>宋元學案補遺．五</v>
      </c>
      <c r="D237" s="7" t="str">
        <f>"(清) 王梓材， 馮雲濠編撰；沈芝盈， 梁連華點校"</f>
        <v>(清) 王梓材， 馮雲濠編撰；沈芝盈， 梁連華點校</v>
      </c>
      <c r="E237" s="7" t="str">
        <f>"中華書局"</f>
        <v>中華書局</v>
      </c>
      <c r="F237" s="7" t="str">
        <f>"B244.05/23-2/5"</f>
        <v>B244.05/23-2/5</v>
      </c>
    </row>
    <row r="238" customHeight="1" spans="1:6">
      <c r="A238" s="6">
        <v>237</v>
      </c>
      <c r="B238" s="7" t="str">
        <f>"978-7-101-08221-0"</f>
        <v>978-7-101-08221-0</v>
      </c>
      <c r="C238" s="7" t="str">
        <f>"宋元學案補遺．六"</f>
        <v>宋元學案補遺．六</v>
      </c>
      <c r="D238" s="7" t="str">
        <f>"(清) 王梓材， 馮雲濠編撰；沈芝盈， 梁連華點校"</f>
        <v>(清) 王梓材， 馮雲濠編撰；沈芝盈， 梁連華點校</v>
      </c>
      <c r="E238" s="7" t="str">
        <f>"中華書局"</f>
        <v>中華書局</v>
      </c>
      <c r="F238" s="7" t="str">
        <f>"B244.05/23-2/6"</f>
        <v>B244.05/23-2/6</v>
      </c>
    </row>
    <row r="239" customHeight="1" spans="1:6">
      <c r="A239" s="6">
        <v>238</v>
      </c>
      <c r="B239" s="7" t="str">
        <f>"978-7-101-08221-0"</f>
        <v>978-7-101-08221-0</v>
      </c>
      <c r="C239" s="7" t="str">
        <f>"宋元學案補遺．七"</f>
        <v>宋元學案補遺．七</v>
      </c>
      <c r="D239" s="7" t="str">
        <f>"(清) 王梓材， 馮雲濠編撰；沈芝盈， 梁連華點校"</f>
        <v>(清) 王梓材， 馮雲濠編撰；沈芝盈， 梁連華點校</v>
      </c>
      <c r="E239" s="7" t="str">
        <f>"中華書局"</f>
        <v>中華書局</v>
      </c>
      <c r="F239" s="7" t="str">
        <f>"B244.05/23-2/7"</f>
        <v>B244.05/23-2/7</v>
      </c>
    </row>
    <row r="240" customHeight="1" spans="1:6">
      <c r="A240" s="6">
        <v>239</v>
      </c>
      <c r="B240" s="7" t="str">
        <f>"978-7-101-08221-0"</f>
        <v>978-7-101-08221-0</v>
      </c>
      <c r="C240" s="7" t="str">
        <f>"宋元學案補遺．八"</f>
        <v>宋元學案補遺．八</v>
      </c>
      <c r="D240" s="7" t="str">
        <f>"(清) 王梓材， 馮雲濠編撰；沈芝盈， 梁連華點校"</f>
        <v>(清) 王梓材， 馮雲濠編撰；沈芝盈， 梁連華點校</v>
      </c>
      <c r="E240" s="7" t="str">
        <f>"中華書局"</f>
        <v>中華書局</v>
      </c>
      <c r="F240" s="7" t="str">
        <f>"B244.05/23-2/8"</f>
        <v>B244.05/23-2/8</v>
      </c>
    </row>
    <row r="241" customHeight="1" spans="1:6">
      <c r="A241" s="6">
        <v>240</v>
      </c>
      <c r="B241" s="7" t="str">
        <f>"978-7-101-08221-0"</f>
        <v>978-7-101-08221-0</v>
      </c>
      <c r="C241" s="7" t="str">
        <f>"宋元學案補遺．九"</f>
        <v>宋元學案補遺．九</v>
      </c>
      <c r="D241" s="7" t="str">
        <f>"(清) 王梓材， 馮雲濠編撰；沈芝盈， 梁連華點校"</f>
        <v>(清) 王梓材， 馮雲濠編撰；沈芝盈， 梁連華點校</v>
      </c>
      <c r="E241" s="7" t="str">
        <f>"中華書局"</f>
        <v>中華書局</v>
      </c>
      <c r="F241" s="7" t="str">
        <f>"B244.05/23-2/9"</f>
        <v>B244.05/23-2/9</v>
      </c>
    </row>
    <row r="242" customHeight="1" spans="1:6">
      <c r="A242" s="6">
        <v>241</v>
      </c>
      <c r="B242" s="7" t="str">
        <f>"978-7-101-08221-0"</f>
        <v>978-7-101-08221-0</v>
      </c>
      <c r="C242" s="7" t="str">
        <f>"宋元學案補遺．十"</f>
        <v>宋元學案補遺．十</v>
      </c>
      <c r="D242" s="7" t="str">
        <f>"(清) 王梓材， 馮雲濠編撰；沈芝盈， 梁連華點校"</f>
        <v>(清) 王梓材， 馮雲濠編撰；沈芝盈， 梁連華點校</v>
      </c>
      <c r="E242" s="7" t="str">
        <f>"中華書局"</f>
        <v>中華書局</v>
      </c>
      <c r="F242" s="7" t="str">
        <f>"B244.05/23-2/10"</f>
        <v>B244.05/23-2/10</v>
      </c>
    </row>
    <row r="243" customHeight="1" spans="1:6">
      <c r="A243" s="6">
        <v>242</v>
      </c>
      <c r="B243" s="7" t="str">
        <f>"978-7-5201-7548-7"</f>
        <v>978-7-5201-7548-7</v>
      </c>
      <c r="C243" s="7" t="str">
        <f>"《中国哲学史》四十年文选．第一卷：中国哲学总论与方法论"</f>
        <v>《中国哲学史》四十年文选．第一卷：中国哲学总论与方法论</v>
      </c>
      <c r="D243" s="7" t="str">
        <f>"总主编陈来， 李存山本卷主高海波编"</f>
        <v>总主编陈来， 李存山本卷主高海波编</v>
      </c>
      <c r="E243" s="7" t="str">
        <f>"社会科学文献出版社"</f>
        <v>社会科学文献出版社</v>
      </c>
      <c r="F243" s="7" t="str">
        <f>"B2-53/16/1"</f>
        <v>B2-53/16/1</v>
      </c>
    </row>
    <row r="244" customHeight="1" spans="1:6">
      <c r="A244" s="6">
        <v>243</v>
      </c>
      <c r="B244" s="7" t="str">
        <f>"978-7-5201-7548-7"</f>
        <v>978-7-5201-7548-7</v>
      </c>
      <c r="C244" s="7" t="str">
        <f>"《中国哲学史》四十年文选．第二卷：儒释道与中国哲学"</f>
        <v>《中国哲学史》四十年文选．第二卷：儒释道与中国哲学</v>
      </c>
      <c r="D244" s="7" t="str">
        <f>"总主编陈来， 李存山本卷主编章伟文"</f>
        <v>总主编陈来， 李存山本卷主编章伟文</v>
      </c>
      <c r="E244" s="7" t="str">
        <f>"社会科学文献出版社"</f>
        <v>社会科学文献出版社</v>
      </c>
      <c r="F244" s="7" t="str">
        <f>"B2-53/16/2"</f>
        <v>B2-53/16/2</v>
      </c>
    </row>
    <row r="245" customHeight="1" spans="1:6">
      <c r="A245" s="6">
        <v>244</v>
      </c>
      <c r="B245" s="7" t="str">
        <f>"978-7-5201-7548-7"</f>
        <v>978-7-5201-7548-7</v>
      </c>
      <c r="C245" s="7" t="str">
        <f>"《中国哲学史》四十年文选．第三卷：新出简帛与早期哲学史研究"</f>
        <v>《中国哲学史》四十年文选．第三卷：新出简帛与早期哲学史研究</v>
      </c>
      <c r="D245" s="7" t="str">
        <f>"总主编陈来， 李存山本卷主编刘丰"</f>
        <v>总主编陈来， 李存山本卷主编刘丰</v>
      </c>
      <c r="E245" s="7" t="str">
        <f>"社会科学文献出版社"</f>
        <v>社会科学文献出版社</v>
      </c>
      <c r="F245" s="7" t="str">
        <f>"B2-53/16/3"</f>
        <v>B2-53/16/3</v>
      </c>
    </row>
    <row r="246" customHeight="1" spans="1:6">
      <c r="A246" s="6">
        <v>245</v>
      </c>
      <c r="B246" s="7" t="str">
        <f>"978-7-5201-7548-7"</f>
        <v>978-7-5201-7548-7</v>
      </c>
      <c r="C246" s="7" t="str">
        <f>"《中国哲学史》四十年文选．第四卷：经典诠释与哲学史新探"</f>
        <v>《中国哲学史》四十年文选．第四卷：经典诠释与哲学史新探</v>
      </c>
      <c r="D246" s="7" t="str">
        <f>"总主编陈来， 李存山本卷主编赵金刚"</f>
        <v>总主编陈来， 李存山本卷主编赵金刚</v>
      </c>
      <c r="E246" s="7" t="str">
        <f>"社会科学文献出版社"</f>
        <v>社会科学文献出版社</v>
      </c>
      <c r="F246" s="7" t="str">
        <f>"B2-53/16/4"</f>
        <v>B2-53/16/4</v>
      </c>
    </row>
    <row r="247" customHeight="1" spans="1:6">
      <c r="A247" s="6">
        <v>246</v>
      </c>
      <c r="B247" s="7" t="str">
        <f>"978-7-5201-7548-7"</f>
        <v>978-7-5201-7548-7</v>
      </c>
      <c r="C247" s="7" t="str">
        <f>"《中国哲学史》四十年文选．第五卷：中国哲学的近现代转型"</f>
        <v>《中国哲学史》四十年文选．第五卷：中国哲学的近现代转型</v>
      </c>
      <c r="D247" s="7" t="str">
        <f>"总主编陈来， 李存山本卷主编陈鹏"</f>
        <v>总主编陈来， 李存山本卷主编陈鹏</v>
      </c>
      <c r="E247" s="7" t="str">
        <f>"社会科学文献出版社"</f>
        <v>社会科学文献出版社</v>
      </c>
      <c r="F247" s="7" t="str">
        <f>"B2-53/16/5"</f>
        <v>B2-53/16/5</v>
      </c>
    </row>
    <row r="248" customHeight="1" spans="1:6">
      <c r="A248" s="6">
        <v>247</v>
      </c>
      <c r="B248" s="7" t="str">
        <f>"978-7-211-08203-2"</f>
        <v>978-7-211-08203-2</v>
      </c>
      <c r="C248" s="7" t="str">
        <f>"朱熹文集編年評註．第一册"</f>
        <v>朱熹文集編年評註．第一册</v>
      </c>
      <c r="D248" s="7" t="str">
        <f>"(宋) 朱熹著；郭齊， 尹波編註；福建省政協文化文史和學習委員會編"</f>
        <v>(宋) 朱熹著；郭齊， 尹波編註；福建省政協文化文史和學習委員會編</v>
      </c>
      <c r="E248" s="7" t="str">
        <f>"福建人民出版社"</f>
        <v>福建人民出版社</v>
      </c>
      <c r="F248" s="7" t="str">
        <f>"B244.75/37/1"</f>
        <v>B244.75/37/1</v>
      </c>
    </row>
    <row r="249" customHeight="1" spans="1:6">
      <c r="A249" s="6">
        <v>248</v>
      </c>
      <c r="B249" s="7" t="str">
        <f>"978-7-211-08203-2"</f>
        <v>978-7-211-08203-2</v>
      </c>
      <c r="C249" s="7" t="str">
        <f>"朱熹文集編年評註．第二册"</f>
        <v>朱熹文集編年評註．第二册</v>
      </c>
      <c r="D249" s="7" t="str">
        <f>"(宋) 朱熹著；郭齊， 尹波編註；福建省政協文化文史和學習委員會編"</f>
        <v>(宋) 朱熹著；郭齊， 尹波編註；福建省政協文化文史和學習委員會編</v>
      </c>
      <c r="E249" s="7" t="str">
        <f>"福建人民出版社"</f>
        <v>福建人民出版社</v>
      </c>
      <c r="F249" s="7" t="str">
        <f>"B244.75/37/2"</f>
        <v>B244.75/37/2</v>
      </c>
    </row>
    <row r="250" customHeight="1" spans="1:6">
      <c r="A250" s="6">
        <v>249</v>
      </c>
      <c r="B250" s="7" t="str">
        <f>"978-7-211-08203-2"</f>
        <v>978-7-211-08203-2</v>
      </c>
      <c r="C250" s="7" t="str">
        <f>"朱熹文集編年評註．第三册"</f>
        <v>朱熹文集編年評註．第三册</v>
      </c>
      <c r="D250" s="7" t="str">
        <f>"(宋) 朱熹著；郭齊， 尹波編註；福建省政協文化文史和學習委員會編"</f>
        <v>(宋) 朱熹著；郭齊， 尹波編註；福建省政協文化文史和學習委員會編</v>
      </c>
      <c r="E250" s="7" t="str">
        <f>"福建人民出版社"</f>
        <v>福建人民出版社</v>
      </c>
      <c r="F250" s="7" t="str">
        <f>"B244.75/37/3"</f>
        <v>B244.75/37/3</v>
      </c>
    </row>
    <row r="251" customHeight="1" spans="1:6">
      <c r="A251" s="6">
        <v>250</v>
      </c>
      <c r="B251" s="7" t="str">
        <f>"978-7-211-08203-2"</f>
        <v>978-7-211-08203-2</v>
      </c>
      <c r="C251" s="7" t="str">
        <f>"朱熹文集編年評註．第四册"</f>
        <v>朱熹文集編年評註．第四册</v>
      </c>
      <c r="D251" s="7" t="str">
        <f>"(宋) 朱熹著；郭齊， 尹波編註；福建省政協文化文史和學習委員會編"</f>
        <v>(宋) 朱熹著；郭齊， 尹波編註；福建省政協文化文史和學習委員會編</v>
      </c>
      <c r="E251" s="7" t="str">
        <f>"福建人民出版社"</f>
        <v>福建人民出版社</v>
      </c>
      <c r="F251" s="7" t="str">
        <f>"B244.75/37/4"</f>
        <v>B244.75/37/4</v>
      </c>
    </row>
    <row r="252" customHeight="1" spans="1:6">
      <c r="A252" s="6">
        <v>251</v>
      </c>
      <c r="B252" s="7" t="str">
        <f>"978-7-211-08203-2"</f>
        <v>978-7-211-08203-2</v>
      </c>
      <c r="C252" s="7" t="str">
        <f>"朱熹文集編年評註．第五册"</f>
        <v>朱熹文集編年評註．第五册</v>
      </c>
      <c r="D252" s="7" t="str">
        <f>"(宋) 朱熹著；郭齊， 尹波編註；福建省政協文化文史和學習委員會編"</f>
        <v>(宋) 朱熹著；郭齊， 尹波編註；福建省政協文化文史和學習委員會編</v>
      </c>
      <c r="E252" s="7" t="str">
        <f>"福建人民出版社"</f>
        <v>福建人民出版社</v>
      </c>
      <c r="F252" s="7" t="str">
        <f>"B244.75/37/5"</f>
        <v>B244.75/37/5</v>
      </c>
    </row>
    <row r="253" customHeight="1" spans="1:6">
      <c r="A253" s="6">
        <v>252</v>
      </c>
      <c r="B253" s="7" t="str">
        <f>"978-7-211-08203-2"</f>
        <v>978-7-211-08203-2</v>
      </c>
      <c r="C253" s="7" t="str">
        <f>"朱熹文集編年評註．第六册"</f>
        <v>朱熹文集編年評註．第六册</v>
      </c>
      <c r="D253" s="7" t="str">
        <f>"(宋) 朱熹著；郭齊， 尹波編註；福建省政協文化文史和學習委員會編"</f>
        <v>(宋) 朱熹著；郭齊， 尹波編註；福建省政協文化文史和學習委員會編</v>
      </c>
      <c r="E253" s="7" t="str">
        <f>"福建人民出版社"</f>
        <v>福建人民出版社</v>
      </c>
      <c r="F253" s="7" t="str">
        <f>"B244.75/37/6"</f>
        <v>B244.75/37/6</v>
      </c>
    </row>
    <row r="254" customHeight="1" spans="1:6">
      <c r="A254" s="6">
        <v>253</v>
      </c>
      <c r="B254" s="7" t="str">
        <f>"978-7-211-08203-2"</f>
        <v>978-7-211-08203-2</v>
      </c>
      <c r="C254" s="7" t="str">
        <f>"朱熹文集編年評註．第七册"</f>
        <v>朱熹文集編年評註．第七册</v>
      </c>
      <c r="D254" s="7" t="str">
        <f>"(宋) 朱熹著；郭齊， 尹波編註；福建省政協文化文史和學習委員會編"</f>
        <v>(宋) 朱熹著；郭齊， 尹波編註；福建省政協文化文史和學習委員會編</v>
      </c>
      <c r="E254" s="7" t="str">
        <f>"福建人民出版社"</f>
        <v>福建人民出版社</v>
      </c>
      <c r="F254" s="7" t="str">
        <f>"B244.75/37/7"</f>
        <v>B244.75/37/7</v>
      </c>
    </row>
    <row r="255" customHeight="1" spans="1:6">
      <c r="A255" s="6">
        <v>254</v>
      </c>
      <c r="B255" s="7" t="str">
        <f>"978-7-211-08203-2"</f>
        <v>978-7-211-08203-2</v>
      </c>
      <c r="C255" s="7" t="str">
        <f>"朱熹文集編年評註．第八册"</f>
        <v>朱熹文集編年評註．第八册</v>
      </c>
      <c r="D255" s="7" t="str">
        <f>"(宋) 朱熹著；郭齊， 尹波編註；福建省政協文化文史和學習委員會編"</f>
        <v>(宋) 朱熹著；郭齊， 尹波編註；福建省政協文化文史和學習委員會編</v>
      </c>
      <c r="E255" s="7" t="str">
        <f>"福建人民出版社"</f>
        <v>福建人民出版社</v>
      </c>
      <c r="F255" s="7" t="str">
        <f>"B244.75/37/8"</f>
        <v>B244.75/37/8</v>
      </c>
    </row>
    <row r="256" customHeight="1" spans="1:6">
      <c r="A256" s="6">
        <v>255</v>
      </c>
      <c r="B256" s="7" t="str">
        <f>"978-7-211-08203-2"</f>
        <v>978-7-211-08203-2</v>
      </c>
      <c r="C256" s="7" t="str">
        <f>"朱熹文集編年評註．第九册"</f>
        <v>朱熹文集編年評註．第九册</v>
      </c>
      <c r="D256" s="7" t="str">
        <f>"(宋) 朱熹著；郭齊， 尹波編註；福建省政協文化文史和學習委員會編"</f>
        <v>(宋) 朱熹著；郭齊， 尹波編註；福建省政協文化文史和學習委員會編</v>
      </c>
      <c r="E256" s="7" t="str">
        <f>"福建人民出版社"</f>
        <v>福建人民出版社</v>
      </c>
      <c r="F256" s="7" t="str">
        <f>"B244.75/37/9"</f>
        <v>B244.75/37/9</v>
      </c>
    </row>
    <row r="257" customHeight="1" spans="1:6">
      <c r="A257" s="6">
        <v>256</v>
      </c>
      <c r="B257" s="7" t="str">
        <f>"978-7-211-08203-2"</f>
        <v>978-7-211-08203-2</v>
      </c>
      <c r="C257" s="7" t="str">
        <f>"朱熹文集編年評註．第十册"</f>
        <v>朱熹文集編年評註．第十册</v>
      </c>
      <c r="D257" s="7" t="str">
        <f>"(宋) 朱熹著；郭齊， 尹波編註；福建省政協文化文史和學習委員會編"</f>
        <v>(宋) 朱熹著；郭齊， 尹波編註；福建省政協文化文史和學習委員會編</v>
      </c>
      <c r="E257" s="7" t="str">
        <f>"福建人民出版社"</f>
        <v>福建人民出版社</v>
      </c>
      <c r="F257" s="7" t="str">
        <f>"B244.75/37/10"</f>
        <v>B244.75/37/10</v>
      </c>
    </row>
    <row r="258" customHeight="1" spans="1:6">
      <c r="A258" s="6">
        <v>257</v>
      </c>
      <c r="B258" s="7" t="str">
        <f>"978-7-211-08203-2"</f>
        <v>978-7-211-08203-2</v>
      </c>
      <c r="C258" s="7" t="str">
        <f>"朱熹文集編年評註．第十一册"</f>
        <v>朱熹文集編年評註．第十一册</v>
      </c>
      <c r="D258" s="7" t="str">
        <f>"(宋) 朱熹著；郭齊， 尹波編註；福建省政協文化文史和學習委員會編"</f>
        <v>(宋) 朱熹著；郭齊， 尹波編註；福建省政協文化文史和學習委員會編</v>
      </c>
      <c r="E258" s="7" t="str">
        <f>"福建人民出版社"</f>
        <v>福建人民出版社</v>
      </c>
      <c r="F258" s="7" t="str">
        <f>"B244.75/37/11"</f>
        <v>B244.75/37/11</v>
      </c>
    </row>
    <row r="259" customHeight="1" spans="1:6">
      <c r="A259" s="6">
        <v>258</v>
      </c>
      <c r="B259" s="7" t="str">
        <f>"978-7-211-08203-2"</f>
        <v>978-7-211-08203-2</v>
      </c>
      <c r="C259" s="7" t="str">
        <f>"朱熹文集編年評註．第十二册"</f>
        <v>朱熹文集編年評註．第十二册</v>
      </c>
      <c r="D259" s="7" t="str">
        <f>"(宋) 朱熹著；郭齊， 尹波編註；福建省政協文化文史和學習委員會編"</f>
        <v>(宋) 朱熹著；郭齊， 尹波編註；福建省政協文化文史和學習委員會編</v>
      </c>
      <c r="E259" s="7" t="str">
        <f>"福建人民出版社"</f>
        <v>福建人民出版社</v>
      </c>
      <c r="F259" s="7" t="str">
        <f>"B244.75/37/12"</f>
        <v>B244.75/37/12</v>
      </c>
    </row>
    <row r="260" customHeight="1" spans="1:6">
      <c r="A260" s="6">
        <v>259</v>
      </c>
      <c r="B260" s="7" t="str">
        <f>"978-7-211-08203-2"</f>
        <v>978-7-211-08203-2</v>
      </c>
      <c r="C260" s="7" t="str">
        <f>"朱熹文集編年評註．第十三册"</f>
        <v>朱熹文集編年評註．第十三册</v>
      </c>
      <c r="D260" s="7" t="str">
        <f>"(宋) 朱熹著；郭齊， 尹波編註；福建省政協文化文史和學習委員會編"</f>
        <v>(宋) 朱熹著；郭齊， 尹波編註；福建省政協文化文史和學習委員會編</v>
      </c>
      <c r="E260" s="7" t="str">
        <f>"福建人民出版社"</f>
        <v>福建人民出版社</v>
      </c>
      <c r="F260" s="7" t="str">
        <f>"B244.75/37/13"</f>
        <v>B244.75/37/13</v>
      </c>
    </row>
    <row r="261" customHeight="1" spans="1:6">
      <c r="A261" s="6">
        <v>260</v>
      </c>
      <c r="B261" s="7" t="str">
        <f>"978-7-100-19745-8"</f>
        <v>978-7-100-19745-8</v>
      </c>
      <c r="C261" s="7" t="str">
        <f>"纯粹理性批判"</f>
        <v>纯粹理性批判</v>
      </c>
      <c r="D261" s="7" t="str">
        <f>"(德) 康德著；蓝公武译"</f>
        <v>(德) 康德著；蓝公武译</v>
      </c>
      <c r="E261" s="7" t="str">
        <f>"商务印书馆"</f>
        <v>商务印书馆</v>
      </c>
      <c r="F261" s="7" t="str">
        <f>"B081.2/3-2"</f>
        <v>B081.2/3-2</v>
      </c>
    </row>
    <row r="262" customHeight="1" spans="1:6">
      <c r="A262" s="6">
        <v>261</v>
      </c>
      <c r="B262" s="7" t="str">
        <f>"978-7-100-19745-8"</f>
        <v>978-7-100-19745-8</v>
      </c>
      <c r="C262" s="7" t="str">
        <f>"小逻辑"</f>
        <v>小逻辑</v>
      </c>
      <c r="D262" s="7" t="str">
        <f>"(德) 黑格尔著；贺麟著"</f>
        <v>(德) 黑格尔著；贺麟著</v>
      </c>
      <c r="E262" s="7" t="str">
        <f>"商务印书馆"</f>
        <v>商务印书馆</v>
      </c>
      <c r="F262" s="7" t="str">
        <f>"B811.01/6-2"</f>
        <v>B811.01/6-2</v>
      </c>
    </row>
    <row r="263" customHeight="1" spans="1:6">
      <c r="A263" s="6">
        <v>262</v>
      </c>
      <c r="B263" s="7" t="str">
        <f>"978-7-100-19745-8"</f>
        <v>978-7-100-19745-8</v>
      </c>
      <c r="C263" s="7" t="str">
        <f>"基督教的本质"</f>
        <v>基督教的本质</v>
      </c>
      <c r="D263" s="7" t="str">
        <f>"(德) 费尔巴哈著；荣震华译"</f>
        <v>(德) 费尔巴哈著；荣震华译</v>
      </c>
      <c r="E263" s="7" t="str">
        <f>"商务印书馆"</f>
        <v>商务印书馆</v>
      </c>
      <c r="F263" s="7" t="str">
        <f>"B978/38"</f>
        <v>B978/38</v>
      </c>
    </row>
    <row r="264" customHeight="1" spans="1:6">
      <c r="A264" s="6">
        <v>263</v>
      </c>
      <c r="B264" s="7" t="str">
        <f>"978-7-100-19745-8"</f>
        <v>978-7-100-19745-8</v>
      </c>
      <c r="C264" s="7" t="str">
        <f>"宗教的本质"</f>
        <v>宗教的本质</v>
      </c>
      <c r="D264" s="7" t="str">
        <f>"(德) 费尔巴哈著；王太庆译"</f>
        <v>(德) 费尔巴哈著；王太庆译</v>
      </c>
      <c r="E264" s="7" t="str">
        <f>"商务印书馆"</f>
        <v>商务印书馆</v>
      </c>
      <c r="F264" s="7" t="str">
        <f>"B920/58"</f>
        <v>B920/58</v>
      </c>
    </row>
    <row r="265" customHeight="1" spans="1:6">
      <c r="A265" s="6">
        <v>264</v>
      </c>
      <c r="B265" s="7" t="str">
        <f>"978-7-100-19745-8"</f>
        <v>978-7-100-19745-8</v>
      </c>
      <c r="C265" s="7" t="str">
        <f>"法哲学原理， 或， 自然法和国家学纲要"</f>
        <v>法哲学原理， 或， 自然法和国家学纲要</v>
      </c>
      <c r="D265" s="7" t="str">
        <f>"(德) 黑格尔著；范扬， 张企泰译"</f>
        <v>(德) 黑格尔著；范扬， 张企泰译</v>
      </c>
      <c r="E265" s="7" t="str">
        <f>"商务印书馆"</f>
        <v>商务印书馆</v>
      </c>
      <c r="F265" s="7" t="str">
        <f>"B516.35/52"</f>
        <v>B516.35/52</v>
      </c>
    </row>
    <row r="266" customHeight="1" spans="1:6">
      <c r="A266" s="6">
        <v>265</v>
      </c>
      <c r="B266" s="7" t="str">
        <f>"978-7-100-19745-8"</f>
        <v>978-7-100-19745-8</v>
      </c>
      <c r="C266" s="7" t="str">
        <f>"论学者的使命"</f>
        <v>论学者的使命</v>
      </c>
      <c r="D266" s="7" t="str">
        <f>"(德) 费希特著；梁志学， 沈真译"</f>
        <v>(德) 费希特著；梁志学， 沈真译</v>
      </c>
      <c r="E266" s="7" t="str">
        <f>"商务印书馆"</f>
        <v>商务印书馆</v>
      </c>
      <c r="F266" s="7" t="str">
        <f>"B516.33/13"</f>
        <v>B516.33/13</v>
      </c>
    </row>
    <row r="267" customHeight="1" spans="1:6">
      <c r="A267" s="6">
        <v>266</v>
      </c>
      <c r="B267" s="7" t="str">
        <f>"978-7-100-19745-8"</f>
        <v>978-7-100-19745-8</v>
      </c>
      <c r="C267" s="7" t="str">
        <f>"人的使命"</f>
        <v>人的使命</v>
      </c>
      <c r="D267" s="7" t="str">
        <f>"(德) 费希特著；梁志学， 沈真译"</f>
        <v>(德) 费希特著；梁志学， 沈真译</v>
      </c>
      <c r="E267" s="7" t="str">
        <f>"商务印书馆"</f>
        <v>商务印书馆</v>
      </c>
      <c r="F267" s="7" t="str">
        <f>"B516.33/5.2"</f>
        <v>B516.33/5.2</v>
      </c>
    </row>
    <row r="268" customHeight="1" spans="1:6">
      <c r="A268" s="6">
        <v>267</v>
      </c>
      <c r="B268" s="7" t="str">
        <f>"978-7-100-19745-8"</f>
        <v>978-7-100-19745-8</v>
      </c>
      <c r="C268" s="7" t="str">
        <f>"实践理性批判"</f>
        <v>实践理性批判</v>
      </c>
      <c r="D268" s="7" t="str">
        <f>"(德) 康德著；韩水法译"</f>
        <v>(德) 康德著；韩水法译</v>
      </c>
      <c r="E268" s="7" t="str">
        <f>"商务印书馆"</f>
        <v>商务印书馆</v>
      </c>
      <c r="F268" s="7" t="str">
        <f>"B516.31/70-2"</f>
        <v>B516.31/70-2</v>
      </c>
    </row>
    <row r="269" customHeight="1" spans="1:6">
      <c r="A269" s="6">
        <v>268</v>
      </c>
      <c r="B269" s="7" t="str">
        <f>"978-7-100-19745-8"</f>
        <v>978-7-100-19745-8</v>
      </c>
      <c r="C269" s="7" t="str">
        <f>"精神现象学．上卷"</f>
        <v>精神现象学．上卷</v>
      </c>
      <c r="D269" s="7" t="str">
        <f>"(德) 黑格尔著；贺麟， 王玖兴译"</f>
        <v>(德) 黑格尔著；贺麟， 王玖兴译</v>
      </c>
      <c r="E269" s="7" t="str">
        <f>"商务印书馆"</f>
        <v>商务印书馆</v>
      </c>
      <c r="F269" s="7" t="str">
        <f>"B516.35/9-1/1"</f>
        <v>B516.35/9-1/1</v>
      </c>
    </row>
    <row r="270" customHeight="1" spans="1:6">
      <c r="A270" s="6">
        <v>269</v>
      </c>
      <c r="B270" s="7" t="str">
        <f>"978-7-100-19745-8"</f>
        <v>978-7-100-19745-8</v>
      </c>
      <c r="C270" s="7" t="str">
        <f>"精神现象学．下卷"</f>
        <v>精神现象学．下卷</v>
      </c>
      <c r="D270" s="7" t="str">
        <f>"(德) 黑格尔著；贺麟， 王玖兴译"</f>
        <v>(德) 黑格尔著；贺麟， 王玖兴译</v>
      </c>
      <c r="E270" s="7" t="str">
        <f>"商务印书馆"</f>
        <v>商务印书馆</v>
      </c>
      <c r="F270" s="7" t="str">
        <f>"B516.35/9-2/2"</f>
        <v>B516.35/9-2/2</v>
      </c>
    </row>
    <row r="271" customHeight="1" spans="1:6">
      <c r="A271" s="6">
        <v>270</v>
      </c>
      <c r="B271" s="7" t="str">
        <f>"978-7-100-19745-8"</f>
        <v>978-7-100-19745-8</v>
      </c>
      <c r="C271" s="7" t="str">
        <f>"逻辑学．上卷"</f>
        <v>逻辑学．上卷</v>
      </c>
      <c r="D271" s="7" t="str">
        <f>"(德) 黑格尔著；杨一之译"</f>
        <v>(德) 黑格尔著；杨一之译</v>
      </c>
      <c r="E271" s="7" t="str">
        <f>"商务印书馆"</f>
        <v>商务印书馆</v>
      </c>
      <c r="F271" s="7" t="str">
        <f>"B811.01/7/1"</f>
        <v>B811.01/7/1</v>
      </c>
    </row>
    <row r="272" customHeight="1" spans="1:6">
      <c r="A272" s="6">
        <v>271</v>
      </c>
      <c r="B272" s="7" t="str">
        <f>"978-7-100-19745-8"</f>
        <v>978-7-100-19745-8</v>
      </c>
      <c r="C272" s="7" t="str">
        <f>"逻辑学．下卷"</f>
        <v>逻辑学．下卷</v>
      </c>
      <c r="D272" s="7" t="str">
        <f>"(德) 黑格尔著；杨一之译"</f>
        <v>(德) 黑格尔著；杨一之译</v>
      </c>
      <c r="E272" s="7" t="str">
        <f>"商务印书馆"</f>
        <v>商务印书馆</v>
      </c>
      <c r="F272" s="7" t="str">
        <f>"B811.01/7/2"</f>
        <v>B811.01/7/2</v>
      </c>
    </row>
    <row r="273" customHeight="1" spans="1:6">
      <c r="A273" s="6">
        <v>272</v>
      </c>
      <c r="B273" s="7" t="str">
        <f>"978-7-100-19745-8"</f>
        <v>978-7-100-19745-8</v>
      </c>
      <c r="C273" s="7" t="str">
        <f>"哲学史讲演录．第一卷"</f>
        <v>哲学史讲演录．第一卷</v>
      </c>
      <c r="D273" s="7" t="str">
        <f>"(德) 黑格尔著；贺麟， 王太庆等译"</f>
        <v>(德) 黑格尔著；贺麟， 王太庆等译</v>
      </c>
      <c r="E273" s="7" t="str">
        <f>"商务印书馆"</f>
        <v>商务印书馆</v>
      </c>
      <c r="F273" s="7" t="str">
        <f>"B1/51-2/1"</f>
        <v>B1/51-2/1</v>
      </c>
    </row>
    <row r="274" customHeight="1" spans="1:6">
      <c r="A274" s="6">
        <v>273</v>
      </c>
      <c r="B274" s="7" t="str">
        <f>"978-7-100-19745-8"</f>
        <v>978-7-100-19745-8</v>
      </c>
      <c r="C274" s="7" t="str">
        <f>"哲学史讲演录．第二卷"</f>
        <v>哲学史讲演录．第二卷</v>
      </c>
      <c r="D274" s="7" t="str">
        <f>"(德) 黑格尔著；贺麟， 王太庆等译"</f>
        <v>(德) 黑格尔著；贺麟， 王太庆等译</v>
      </c>
      <c r="E274" s="7" t="str">
        <f>"商务印书馆"</f>
        <v>商务印书馆</v>
      </c>
      <c r="F274" s="7" t="str">
        <f>"B1/51-2/2"</f>
        <v>B1/51-2/2</v>
      </c>
    </row>
    <row r="275" customHeight="1" spans="1:6">
      <c r="A275" s="6">
        <v>274</v>
      </c>
      <c r="B275" s="7" t="str">
        <f>"978-7-100-19745-8"</f>
        <v>978-7-100-19745-8</v>
      </c>
      <c r="C275" s="7" t="str">
        <f>"哲学史讲演录．第三卷"</f>
        <v>哲学史讲演录．第三卷</v>
      </c>
      <c r="D275" s="7" t="str">
        <f>"(德) 黑格尔著；贺麟， 王太庆等译"</f>
        <v>(德) 黑格尔著；贺麟， 王太庆等译</v>
      </c>
      <c r="E275" s="7" t="str">
        <f>"商务印书馆"</f>
        <v>商务印书馆</v>
      </c>
      <c r="F275" s="7" t="str">
        <f>"B1/51-2/3"</f>
        <v>B1/51-2/3</v>
      </c>
    </row>
    <row r="276" customHeight="1" spans="1:6">
      <c r="A276" s="6">
        <v>275</v>
      </c>
      <c r="B276" s="7" t="str">
        <f>"978-7-100-19745-8"</f>
        <v>978-7-100-19745-8</v>
      </c>
      <c r="C276" s="7" t="str">
        <f>"哲学史讲演录．第四卷"</f>
        <v>哲学史讲演录．第四卷</v>
      </c>
      <c r="D276" s="7" t="str">
        <f>"(德) 黑格尔著；贺麟， 王太庆等译"</f>
        <v>(德) 黑格尔著；贺麟， 王太庆等译</v>
      </c>
      <c r="E276" s="7" t="str">
        <f>"商务印书馆"</f>
        <v>商务印书馆</v>
      </c>
      <c r="F276" s="7" t="str">
        <f>"B1/51-2/4"</f>
        <v>B1/51-2/4</v>
      </c>
    </row>
    <row r="277" customHeight="1" spans="1:6">
      <c r="A277" s="6">
        <v>276</v>
      </c>
      <c r="B277" s="7" t="str">
        <f>"978-7-100-19745-8"</f>
        <v>978-7-100-19745-8</v>
      </c>
      <c r="C277" s="7" t="str">
        <f>"先验唯心论体系"</f>
        <v>先验唯心论体系</v>
      </c>
      <c r="D277" s="7" t="str">
        <f>"(德) 谢林著；梁志学， 石泉译"</f>
        <v>(德) 谢林著；梁志学， 石泉译</v>
      </c>
      <c r="E277" s="7" t="str">
        <f>"商务印书馆"</f>
        <v>商务印书馆</v>
      </c>
      <c r="F277" s="7" t="str">
        <f>"B081.2/5"</f>
        <v>B081.2/5</v>
      </c>
    </row>
    <row r="278" customHeight="1" spans="1:6">
      <c r="A278" s="6">
        <v>277</v>
      </c>
      <c r="B278" s="7" t="str">
        <f>"978-7-5531-1412-5"</f>
        <v>978-7-5531-1412-5</v>
      </c>
      <c r="C278" s="7" t="str">
        <f>"孝經文獻全編．第一册"</f>
        <v>孝經文獻全編．第一册</v>
      </c>
      <c r="D278" s="7" t="str">
        <f>"劉欣主編"</f>
        <v>劉欣主編</v>
      </c>
      <c r="E278" s="7" t="str">
        <f>"巴蜀書社"</f>
        <v>巴蜀書社</v>
      </c>
      <c r="F278" s="7" t="str">
        <f>"B823.1/188/1"</f>
        <v>B823.1/188/1</v>
      </c>
    </row>
    <row r="279" customHeight="1" spans="1:6">
      <c r="A279" s="6">
        <v>278</v>
      </c>
      <c r="B279" s="7" t="str">
        <f>"978-7-5531-1412-5"</f>
        <v>978-7-5531-1412-5</v>
      </c>
      <c r="C279" s="7" t="str">
        <f>"孝經文獻全編．第二册"</f>
        <v>孝經文獻全編．第二册</v>
      </c>
      <c r="D279" s="7" t="str">
        <f>"劉欣主編"</f>
        <v>劉欣主編</v>
      </c>
      <c r="E279" s="7" t="str">
        <f>"巴蜀書社"</f>
        <v>巴蜀書社</v>
      </c>
      <c r="F279" s="7" t="str">
        <f>"B823.1/188/2"</f>
        <v>B823.1/188/2</v>
      </c>
    </row>
    <row r="280" customHeight="1" spans="1:6">
      <c r="A280" s="6">
        <v>279</v>
      </c>
      <c r="B280" s="7" t="str">
        <f>"978-7-5531-1412-5"</f>
        <v>978-7-5531-1412-5</v>
      </c>
      <c r="C280" s="7" t="str">
        <f>"孝經文獻全編．第三册"</f>
        <v>孝經文獻全編．第三册</v>
      </c>
      <c r="D280" s="7" t="str">
        <f>"劉欣主編"</f>
        <v>劉欣主編</v>
      </c>
      <c r="E280" s="7" t="str">
        <f>"巴蜀書社"</f>
        <v>巴蜀書社</v>
      </c>
      <c r="F280" s="7" t="str">
        <f>"B823.1/188/3"</f>
        <v>B823.1/188/3</v>
      </c>
    </row>
    <row r="281" customHeight="1" spans="1:6">
      <c r="A281" s="6">
        <v>280</v>
      </c>
      <c r="B281" s="7" t="str">
        <f>"978-7-5531-1412-5"</f>
        <v>978-7-5531-1412-5</v>
      </c>
      <c r="C281" s="7" t="str">
        <f>"孝經文獻全編．第四册"</f>
        <v>孝經文獻全編．第四册</v>
      </c>
      <c r="D281" s="7" t="str">
        <f>"劉欣主編"</f>
        <v>劉欣主編</v>
      </c>
      <c r="E281" s="7" t="str">
        <f>"巴蜀書社"</f>
        <v>巴蜀書社</v>
      </c>
      <c r="F281" s="7" t="str">
        <f>"B823.1/188/4"</f>
        <v>B823.1/188/4</v>
      </c>
    </row>
    <row r="282" customHeight="1" spans="1:6">
      <c r="A282" s="6">
        <v>281</v>
      </c>
      <c r="B282" s="7" t="str">
        <f>"978-7-5531-1412-5"</f>
        <v>978-7-5531-1412-5</v>
      </c>
      <c r="C282" s="7" t="str">
        <f>"孝經文獻全編．第五册"</f>
        <v>孝經文獻全編．第五册</v>
      </c>
      <c r="D282" s="7" t="str">
        <f>"劉欣主編"</f>
        <v>劉欣主編</v>
      </c>
      <c r="E282" s="7" t="str">
        <f>"巴蜀書社"</f>
        <v>巴蜀書社</v>
      </c>
      <c r="F282" s="7" t="str">
        <f>"B823.1/188/5"</f>
        <v>B823.1/188/5</v>
      </c>
    </row>
    <row r="283" customHeight="1" spans="1:6">
      <c r="A283" s="6">
        <v>282</v>
      </c>
      <c r="B283" s="7" t="str">
        <f>"978-7-5531-1412-5"</f>
        <v>978-7-5531-1412-5</v>
      </c>
      <c r="C283" s="7" t="str">
        <f>"孝經文獻全編．第六册"</f>
        <v>孝經文獻全編．第六册</v>
      </c>
      <c r="D283" s="7" t="str">
        <f>"劉欣主編"</f>
        <v>劉欣主編</v>
      </c>
      <c r="E283" s="7" t="str">
        <f>"巴蜀書社"</f>
        <v>巴蜀書社</v>
      </c>
      <c r="F283" s="7" t="str">
        <f>"B823.1/188/6"</f>
        <v>B823.1/188/6</v>
      </c>
    </row>
    <row r="284" customHeight="1" spans="1:6">
      <c r="A284" s="6">
        <v>283</v>
      </c>
      <c r="B284" s="7" t="str">
        <f>"978-7-5531-1412-5"</f>
        <v>978-7-5531-1412-5</v>
      </c>
      <c r="C284" s="7" t="str">
        <f>"孝經文獻全編．第七册"</f>
        <v>孝經文獻全編．第七册</v>
      </c>
      <c r="D284" s="7" t="str">
        <f>"劉欣主編"</f>
        <v>劉欣主編</v>
      </c>
      <c r="E284" s="7" t="str">
        <f>"巴蜀書社"</f>
        <v>巴蜀書社</v>
      </c>
      <c r="F284" s="7" t="str">
        <f>"B823.1/188/7"</f>
        <v>B823.1/188/7</v>
      </c>
    </row>
    <row r="285" customHeight="1" spans="1:6">
      <c r="A285" s="6">
        <v>284</v>
      </c>
      <c r="B285" s="7" t="str">
        <f>"978-7-5531-1412-5"</f>
        <v>978-7-5531-1412-5</v>
      </c>
      <c r="C285" s="7" t="str">
        <f>"孝經文獻全編．第八册"</f>
        <v>孝經文獻全編．第八册</v>
      </c>
      <c r="D285" s="7" t="str">
        <f>"劉欣主編"</f>
        <v>劉欣主編</v>
      </c>
      <c r="E285" s="7" t="str">
        <f>"巴蜀書社"</f>
        <v>巴蜀書社</v>
      </c>
      <c r="F285" s="7" t="str">
        <f>"B823.1/188/8"</f>
        <v>B823.1/188/8</v>
      </c>
    </row>
    <row r="286" customHeight="1" spans="1:6">
      <c r="A286" s="6">
        <v>285</v>
      </c>
      <c r="B286" s="7" t="str">
        <f>"978-7-5531-1412-5"</f>
        <v>978-7-5531-1412-5</v>
      </c>
      <c r="C286" s="7" t="str">
        <f>"孝經文獻全編．第九册"</f>
        <v>孝經文獻全編．第九册</v>
      </c>
      <c r="D286" s="7" t="str">
        <f>"劉欣主編"</f>
        <v>劉欣主編</v>
      </c>
      <c r="E286" s="7" t="str">
        <f>"巴蜀書社"</f>
        <v>巴蜀書社</v>
      </c>
      <c r="F286" s="7" t="str">
        <f>"B823.1/188/9"</f>
        <v>B823.1/188/9</v>
      </c>
    </row>
    <row r="287" customHeight="1" spans="1:6">
      <c r="A287" s="6">
        <v>286</v>
      </c>
      <c r="B287" s="7" t="str">
        <f>"978-7-5531-1412-5"</f>
        <v>978-7-5531-1412-5</v>
      </c>
      <c r="C287" s="7" t="str">
        <f>"孝經文獻全編．第一〇册"</f>
        <v>孝經文獻全編．第一〇册</v>
      </c>
      <c r="D287" s="7" t="str">
        <f>"劉欣主編"</f>
        <v>劉欣主編</v>
      </c>
      <c r="E287" s="7" t="str">
        <f>"巴蜀書社"</f>
        <v>巴蜀書社</v>
      </c>
      <c r="F287" s="7" t="str">
        <f>"B823.1/188/10"</f>
        <v>B823.1/188/10</v>
      </c>
    </row>
    <row r="288" customHeight="1" spans="1:6">
      <c r="A288" s="6">
        <v>287</v>
      </c>
      <c r="B288" s="7" t="str">
        <f>"978-7-5531-1412-5"</f>
        <v>978-7-5531-1412-5</v>
      </c>
      <c r="C288" s="7" t="str">
        <f>"孝經文獻全編．第一一册"</f>
        <v>孝經文獻全編．第一一册</v>
      </c>
      <c r="D288" s="7" t="str">
        <f>"劉欣主編"</f>
        <v>劉欣主編</v>
      </c>
      <c r="E288" s="7" t="str">
        <f>"巴蜀書社"</f>
        <v>巴蜀書社</v>
      </c>
      <c r="F288" s="7" t="str">
        <f>"B823.1/188/11"</f>
        <v>B823.1/188/11</v>
      </c>
    </row>
    <row r="289" customHeight="1" spans="1:6">
      <c r="A289" s="6">
        <v>288</v>
      </c>
      <c r="B289" s="7" t="str">
        <f>"978-7-5531-1412-5"</f>
        <v>978-7-5531-1412-5</v>
      </c>
      <c r="C289" s="7" t="str">
        <f>"孝經文獻全編．第一二册"</f>
        <v>孝經文獻全編．第一二册</v>
      </c>
      <c r="D289" s="7" t="str">
        <f>"劉欣主編"</f>
        <v>劉欣主編</v>
      </c>
      <c r="E289" s="7" t="str">
        <f>"巴蜀書社"</f>
        <v>巴蜀書社</v>
      </c>
      <c r="F289" s="7" t="str">
        <f>"B823.1/188/12"</f>
        <v>B823.1/188/12</v>
      </c>
    </row>
    <row r="290" customHeight="1" spans="1:6">
      <c r="A290" s="6">
        <v>289</v>
      </c>
      <c r="B290" s="7" t="str">
        <f>"978-7-5531-1412-5"</f>
        <v>978-7-5531-1412-5</v>
      </c>
      <c r="C290" s="7" t="str">
        <f>"孝經文獻全編．第一三册"</f>
        <v>孝經文獻全編．第一三册</v>
      </c>
      <c r="D290" s="7" t="str">
        <f>"劉欣主編"</f>
        <v>劉欣主編</v>
      </c>
      <c r="E290" s="7" t="str">
        <f>"巴蜀書社"</f>
        <v>巴蜀書社</v>
      </c>
      <c r="F290" s="7" t="str">
        <f>"B823.1/188/13"</f>
        <v>B823.1/188/13</v>
      </c>
    </row>
    <row r="291" customHeight="1" spans="1:6">
      <c r="A291" s="6">
        <v>290</v>
      </c>
      <c r="B291" s="7" t="str">
        <f>"978-7-5531-1412-5"</f>
        <v>978-7-5531-1412-5</v>
      </c>
      <c r="C291" s="7" t="str">
        <f>"孝經文獻全編．第一四册"</f>
        <v>孝經文獻全編．第一四册</v>
      </c>
      <c r="D291" s="7" t="str">
        <f>"劉欣主編"</f>
        <v>劉欣主編</v>
      </c>
      <c r="E291" s="7" t="str">
        <f>"巴蜀書社"</f>
        <v>巴蜀書社</v>
      </c>
      <c r="F291" s="7" t="str">
        <f>"B823.1/188/14"</f>
        <v>B823.1/188/14</v>
      </c>
    </row>
    <row r="292" customHeight="1" spans="1:6">
      <c r="A292" s="6">
        <v>291</v>
      </c>
      <c r="B292" s="7" t="str">
        <f>"978-7-5531-1412-5"</f>
        <v>978-7-5531-1412-5</v>
      </c>
      <c r="C292" s="7" t="str">
        <f>"孝經文獻全編．第一五册"</f>
        <v>孝經文獻全編．第一五册</v>
      </c>
      <c r="D292" s="7" t="str">
        <f>"劉欣主編"</f>
        <v>劉欣主編</v>
      </c>
      <c r="E292" s="7" t="str">
        <f>"巴蜀書社"</f>
        <v>巴蜀書社</v>
      </c>
      <c r="F292" s="7" t="str">
        <f>"B823.1/188/15"</f>
        <v>B823.1/188/15</v>
      </c>
    </row>
    <row r="293" customHeight="1" spans="1:6">
      <c r="A293" s="6">
        <v>292</v>
      </c>
      <c r="B293" s="7" t="str">
        <f>"978-7-5531-1412-5"</f>
        <v>978-7-5531-1412-5</v>
      </c>
      <c r="C293" s="7" t="str">
        <f>"孝經文獻全編．第一六册"</f>
        <v>孝經文獻全編．第一六册</v>
      </c>
      <c r="D293" s="7" t="str">
        <f>"劉欣主編"</f>
        <v>劉欣主編</v>
      </c>
      <c r="E293" s="7" t="str">
        <f>"巴蜀書社"</f>
        <v>巴蜀書社</v>
      </c>
      <c r="F293" s="7" t="str">
        <f>"B823.1/188/16"</f>
        <v>B823.1/188/16</v>
      </c>
    </row>
    <row r="294" customHeight="1" spans="1:6">
      <c r="A294" s="6">
        <v>293</v>
      </c>
      <c r="B294" s="7" t="str">
        <f>"978-7-5531-1412-5"</f>
        <v>978-7-5531-1412-5</v>
      </c>
      <c r="C294" s="7" t="str">
        <f>"孝經文獻全編．第一七册"</f>
        <v>孝經文獻全編．第一七册</v>
      </c>
      <c r="D294" s="7" t="str">
        <f>"劉欣主編"</f>
        <v>劉欣主編</v>
      </c>
      <c r="E294" s="7" t="str">
        <f>"巴蜀書社"</f>
        <v>巴蜀書社</v>
      </c>
      <c r="F294" s="7" t="str">
        <f>"B823.1/188/17"</f>
        <v>B823.1/188/17</v>
      </c>
    </row>
    <row r="295" customHeight="1" spans="1:6">
      <c r="A295" s="6">
        <v>294</v>
      </c>
      <c r="B295" s="7" t="str">
        <f>"978-7-5531-1412-5"</f>
        <v>978-7-5531-1412-5</v>
      </c>
      <c r="C295" s="7" t="str">
        <f>"孝經文獻全編．第一八册"</f>
        <v>孝經文獻全編．第一八册</v>
      </c>
      <c r="D295" s="7" t="str">
        <f>"劉欣主編"</f>
        <v>劉欣主編</v>
      </c>
      <c r="E295" s="7" t="str">
        <f>"巴蜀書社"</f>
        <v>巴蜀書社</v>
      </c>
      <c r="F295" s="7" t="str">
        <f>"B823.1/188/18"</f>
        <v>B823.1/188/18</v>
      </c>
    </row>
    <row r="296" customHeight="1" spans="1:6">
      <c r="A296" s="6">
        <v>295</v>
      </c>
      <c r="B296" s="7" t="str">
        <f>"978-7-5531-1412-5"</f>
        <v>978-7-5531-1412-5</v>
      </c>
      <c r="C296" s="7" t="str">
        <f>"孝經文獻全編．第一九册"</f>
        <v>孝經文獻全編．第一九册</v>
      </c>
      <c r="D296" s="7" t="str">
        <f>"劉欣主編"</f>
        <v>劉欣主編</v>
      </c>
      <c r="E296" s="7" t="str">
        <f>"巴蜀書社"</f>
        <v>巴蜀書社</v>
      </c>
      <c r="F296" s="7" t="str">
        <f>"B823.1/188/19"</f>
        <v>B823.1/188/19</v>
      </c>
    </row>
    <row r="297" customHeight="1" spans="1:6">
      <c r="A297" s="6">
        <v>296</v>
      </c>
      <c r="B297" s="7" t="str">
        <f>"978-7-5531-1412-5"</f>
        <v>978-7-5531-1412-5</v>
      </c>
      <c r="C297" s="7" t="str">
        <f>"孝經文獻全編．第二〇册"</f>
        <v>孝經文獻全編．第二〇册</v>
      </c>
      <c r="D297" s="7" t="str">
        <f>"劉欣主編"</f>
        <v>劉欣主編</v>
      </c>
      <c r="E297" s="7" t="str">
        <f>"巴蜀書社"</f>
        <v>巴蜀書社</v>
      </c>
      <c r="F297" s="7" t="str">
        <f>"B823.1/188/20"</f>
        <v>B823.1/188/20</v>
      </c>
    </row>
    <row r="298" customHeight="1" spans="1:6">
      <c r="A298" s="6">
        <v>297</v>
      </c>
      <c r="B298" s="7" t="str">
        <f>"978-7-5531-1412-5"</f>
        <v>978-7-5531-1412-5</v>
      </c>
      <c r="C298" s="7" t="str">
        <f>"孝經文獻全編．第二一册"</f>
        <v>孝經文獻全編．第二一册</v>
      </c>
      <c r="D298" s="7" t="str">
        <f>"劉欣主編"</f>
        <v>劉欣主編</v>
      </c>
      <c r="E298" s="7" t="str">
        <f>"巴蜀書社"</f>
        <v>巴蜀書社</v>
      </c>
      <c r="F298" s="7" t="str">
        <f>"B823.1/188/21"</f>
        <v>B823.1/188/21</v>
      </c>
    </row>
    <row r="299" customHeight="1" spans="1:6">
      <c r="A299" s="6">
        <v>298</v>
      </c>
      <c r="B299" s="7" t="str">
        <f>"978-7-5531-1412-5"</f>
        <v>978-7-5531-1412-5</v>
      </c>
      <c r="C299" s="7" t="str">
        <f>"孝經文獻全編．第二二册"</f>
        <v>孝經文獻全編．第二二册</v>
      </c>
      <c r="D299" s="7" t="str">
        <f>"劉欣主編"</f>
        <v>劉欣主編</v>
      </c>
      <c r="E299" s="7" t="str">
        <f>"巴蜀書社"</f>
        <v>巴蜀書社</v>
      </c>
      <c r="F299" s="7" t="str">
        <f>"B823.1/188/22"</f>
        <v>B823.1/188/22</v>
      </c>
    </row>
    <row r="300" customHeight="1" spans="1:6">
      <c r="A300" s="6">
        <v>299</v>
      </c>
      <c r="B300" s="7" t="str">
        <f>"978-7-5531-1412-5"</f>
        <v>978-7-5531-1412-5</v>
      </c>
      <c r="C300" s="7" t="str">
        <f>"孝經文獻全編．第二三册"</f>
        <v>孝經文獻全編．第二三册</v>
      </c>
      <c r="D300" s="7" t="str">
        <f>"劉欣主編"</f>
        <v>劉欣主編</v>
      </c>
      <c r="E300" s="7" t="str">
        <f>"巴蜀書社"</f>
        <v>巴蜀書社</v>
      </c>
      <c r="F300" s="7" t="str">
        <f>"B823.1/188/23"</f>
        <v>B823.1/188/23</v>
      </c>
    </row>
    <row r="301" customHeight="1" spans="1:6">
      <c r="A301" s="6">
        <v>300</v>
      </c>
      <c r="B301" s="7" t="str">
        <f>"978-7-5531-1412-5"</f>
        <v>978-7-5531-1412-5</v>
      </c>
      <c r="C301" s="7" t="str">
        <f>"孝經文獻全編．第二四册"</f>
        <v>孝經文獻全編．第二四册</v>
      </c>
      <c r="D301" s="7" t="str">
        <f>"劉欣主編"</f>
        <v>劉欣主編</v>
      </c>
      <c r="E301" s="7" t="str">
        <f>"巴蜀書社"</f>
        <v>巴蜀書社</v>
      </c>
      <c r="F301" s="7" t="str">
        <f>"B823.1/188/24"</f>
        <v>B823.1/188/24</v>
      </c>
    </row>
    <row r="302" customHeight="1" spans="1:6">
      <c r="A302" s="6">
        <v>301</v>
      </c>
      <c r="B302" s="7" t="str">
        <f>"978-7-5531-1412-5"</f>
        <v>978-7-5531-1412-5</v>
      </c>
      <c r="C302" s="7" t="str">
        <f>"孝經文獻全編．第二五册"</f>
        <v>孝經文獻全編．第二五册</v>
      </c>
      <c r="D302" s="7" t="str">
        <f>"劉欣主編"</f>
        <v>劉欣主編</v>
      </c>
      <c r="E302" s="7" t="str">
        <f>"巴蜀書社"</f>
        <v>巴蜀書社</v>
      </c>
      <c r="F302" s="7" t="str">
        <f>"B823.1/188/25"</f>
        <v>B823.1/188/25</v>
      </c>
    </row>
    <row r="303" customHeight="1" spans="1:6">
      <c r="A303" s="6">
        <v>302</v>
      </c>
      <c r="B303" s="7" t="str">
        <f>"978-7-5531-1412-5"</f>
        <v>978-7-5531-1412-5</v>
      </c>
      <c r="C303" s="7" t="str">
        <f>"孝經文獻全編．第二六册"</f>
        <v>孝經文獻全編．第二六册</v>
      </c>
      <c r="D303" s="7" t="str">
        <f>"劉欣主編"</f>
        <v>劉欣主編</v>
      </c>
      <c r="E303" s="7" t="str">
        <f>"巴蜀書社"</f>
        <v>巴蜀書社</v>
      </c>
      <c r="F303" s="7" t="str">
        <f>"B823.1/188/26"</f>
        <v>B823.1/188/26</v>
      </c>
    </row>
    <row r="304" customHeight="1" spans="1:6">
      <c r="A304" s="6">
        <v>303</v>
      </c>
      <c r="B304" s="9" t="str">
        <f>"978-7-5531-1412-5"</f>
        <v>978-7-5531-1412-5</v>
      </c>
      <c r="C304" s="9" t="str">
        <f>"孝經文獻全編．第二七册"</f>
        <v>孝經文獻全編．第二七册</v>
      </c>
      <c r="D304" s="9" t="str">
        <f>"劉欣主編"</f>
        <v>劉欣主編</v>
      </c>
      <c r="E304" s="9" t="str">
        <f>"巴蜀書社"</f>
        <v>巴蜀書社</v>
      </c>
      <c r="F304" s="9" t="str">
        <f>"B823.1/188/27"</f>
        <v>B823.1/188/27</v>
      </c>
    </row>
    <row r="305" customHeight="1" spans="1:6">
      <c r="A305" s="6">
        <v>304</v>
      </c>
      <c r="B305" s="7" t="str">
        <f>"978-7-5531-1412-5"</f>
        <v>978-7-5531-1412-5</v>
      </c>
      <c r="C305" s="7" t="str">
        <f>"孝經文獻全編．第二八册"</f>
        <v>孝經文獻全編．第二八册</v>
      </c>
      <c r="D305" s="7" t="str">
        <f>"劉欣主編"</f>
        <v>劉欣主編</v>
      </c>
      <c r="E305" s="7" t="str">
        <f>"巴蜀書社"</f>
        <v>巴蜀書社</v>
      </c>
      <c r="F305" s="7" t="str">
        <f>"B823.1/188/28"</f>
        <v>B823.1/188/28</v>
      </c>
    </row>
    <row r="306" customHeight="1" spans="1:6">
      <c r="A306" s="6">
        <v>305</v>
      </c>
      <c r="B306" s="7" t="str">
        <f>"978-7-5531-1412-5"</f>
        <v>978-7-5531-1412-5</v>
      </c>
      <c r="C306" s="7" t="str">
        <f>"孝經文獻全編．第二九册"</f>
        <v>孝經文獻全編．第二九册</v>
      </c>
      <c r="D306" s="7" t="str">
        <f>"劉欣主編"</f>
        <v>劉欣主編</v>
      </c>
      <c r="E306" s="7" t="str">
        <f>"巴蜀書社"</f>
        <v>巴蜀書社</v>
      </c>
      <c r="F306" s="7" t="str">
        <f>"B823.1/188/29"</f>
        <v>B823.1/188/29</v>
      </c>
    </row>
    <row r="307" customHeight="1" spans="1:6">
      <c r="A307" s="6">
        <v>306</v>
      </c>
      <c r="B307" s="7" t="str">
        <f>"978-7-5531-1412-5"</f>
        <v>978-7-5531-1412-5</v>
      </c>
      <c r="C307" s="7" t="str">
        <f>"孝經文獻全編．第三〇册"</f>
        <v>孝經文獻全編．第三〇册</v>
      </c>
      <c r="D307" s="7" t="str">
        <f>"劉欣主編"</f>
        <v>劉欣主編</v>
      </c>
      <c r="E307" s="7" t="str">
        <f>"巴蜀書社"</f>
        <v>巴蜀書社</v>
      </c>
      <c r="F307" s="7" t="str">
        <f>"B823.1/188/30"</f>
        <v>B823.1/188/30</v>
      </c>
    </row>
    <row r="308" customHeight="1" spans="1:6">
      <c r="A308" s="6">
        <v>307</v>
      </c>
      <c r="B308" s="7" t="str">
        <f>"978-7-5531-1412-5"</f>
        <v>978-7-5531-1412-5</v>
      </c>
      <c r="C308" s="7" t="str">
        <f>"孝經文獻全編．第三一册"</f>
        <v>孝經文獻全編．第三一册</v>
      </c>
      <c r="D308" s="7" t="str">
        <f>"劉欣主編"</f>
        <v>劉欣主編</v>
      </c>
      <c r="E308" s="7" t="str">
        <f>"巴蜀書社"</f>
        <v>巴蜀書社</v>
      </c>
      <c r="F308" s="7" t="str">
        <f>"B823.1/188/31"</f>
        <v>B823.1/188/31</v>
      </c>
    </row>
    <row r="309" customHeight="1" spans="1:6">
      <c r="A309" s="6">
        <v>308</v>
      </c>
      <c r="B309" s="7" t="str">
        <f>"978-7-5531-1412-5"</f>
        <v>978-7-5531-1412-5</v>
      </c>
      <c r="C309" s="7" t="str">
        <f>"孝經文獻全編．第三二册"</f>
        <v>孝經文獻全編．第三二册</v>
      </c>
      <c r="D309" s="7" t="str">
        <f>"劉欣主編"</f>
        <v>劉欣主編</v>
      </c>
      <c r="E309" s="7" t="str">
        <f>"巴蜀書社"</f>
        <v>巴蜀書社</v>
      </c>
      <c r="F309" s="7" t="str">
        <f>"B823.1/188/32"</f>
        <v>B823.1/188/32</v>
      </c>
    </row>
    <row r="310" customHeight="1" spans="1:6">
      <c r="A310" s="6">
        <v>309</v>
      </c>
      <c r="B310" s="7" t="str">
        <f>"978-7-5531-1412-5"</f>
        <v>978-7-5531-1412-5</v>
      </c>
      <c r="C310" s="7" t="str">
        <f>"孝經文獻全編．第三三册"</f>
        <v>孝經文獻全編．第三三册</v>
      </c>
      <c r="D310" s="7" t="str">
        <f>"劉欣主編"</f>
        <v>劉欣主編</v>
      </c>
      <c r="E310" s="7" t="str">
        <f>"巴蜀書社"</f>
        <v>巴蜀書社</v>
      </c>
      <c r="F310" s="7" t="str">
        <f>"B823.1/188/33"</f>
        <v>B823.1/188/33</v>
      </c>
    </row>
    <row r="311" customHeight="1" spans="1:6">
      <c r="A311" s="6">
        <v>310</v>
      </c>
      <c r="B311" s="7" t="str">
        <f>"978-7-5531-1412-5"</f>
        <v>978-7-5531-1412-5</v>
      </c>
      <c r="C311" s="7" t="str">
        <f>"孝經文獻全編．第三四册"</f>
        <v>孝經文獻全編．第三四册</v>
      </c>
      <c r="D311" s="7" t="str">
        <f>"劉欣主編"</f>
        <v>劉欣主編</v>
      </c>
      <c r="E311" s="7" t="str">
        <f>"巴蜀書社"</f>
        <v>巴蜀書社</v>
      </c>
      <c r="F311" s="7" t="str">
        <f>"B823.1/188/34"</f>
        <v>B823.1/188/34</v>
      </c>
    </row>
    <row r="312" customHeight="1" spans="1:6">
      <c r="A312" s="6">
        <v>311</v>
      </c>
      <c r="B312" s="7" t="str">
        <f>"978-7-5531-1412-5"</f>
        <v>978-7-5531-1412-5</v>
      </c>
      <c r="C312" s="7" t="str">
        <f>"孝經文獻全編．第三五册"</f>
        <v>孝經文獻全編．第三五册</v>
      </c>
      <c r="D312" s="7" t="str">
        <f>"劉欣主編"</f>
        <v>劉欣主編</v>
      </c>
      <c r="E312" s="7" t="str">
        <f>"巴蜀書社"</f>
        <v>巴蜀書社</v>
      </c>
      <c r="F312" s="7" t="str">
        <f>"B823.1/188/35"</f>
        <v>B823.1/188/35</v>
      </c>
    </row>
    <row r="313" customHeight="1" spans="1:6">
      <c r="A313" s="6">
        <v>312</v>
      </c>
      <c r="B313" s="7" t="str">
        <f>"978-7-5531-1412-5"</f>
        <v>978-7-5531-1412-5</v>
      </c>
      <c r="C313" s="7" t="str">
        <f>"孝經文獻全編．第三六册"</f>
        <v>孝經文獻全編．第三六册</v>
      </c>
      <c r="D313" s="7" t="str">
        <f>"劉欣主編"</f>
        <v>劉欣主編</v>
      </c>
      <c r="E313" s="7" t="str">
        <f>"巴蜀書社"</f>
        <v>巴蜀書社</v>
      </c>
      <c r="F313" s="7" t="str">
        <f>"B823.1/188/36"</f>
        <v>B823.1/188/36</v>
      </c>
    </row>
    <row r="314" customHeight="1" spans="1:6">
      <c r="A314" s="6">
        <v>313</v>
      </c>
      <c r="B314" s="7" t="str">
        <f>"978-7-5531-1412-5"</f>
        <v>978-7-5531-1412-5</v>
      </c>
      <c r="C314" s="7" t="str">
        <f>"孝經文獻全編．第三七册"</f>
        <v>孝經文獻全編．第三七册</v>
      </c>
      <c r="D314" s="7" t="str">
        <f>"劉欣主編"</f>
        <v>劉欣主編</v>
      </c>
      <c r="E314" s="7" t="str">
        <f>"巴蜀書社"</f>
        <v>巴蜀書社</v>
      </c>
      <c r="F314" s="7" t="str">
        <f>"B823.1/188/37"</f>
        <v>B823.1/188/37</v>
      </c>
    </row>
    <row r="315" customHeight="1" spans="1:6">
      <c r="A315" s="6">
        <v>314</v>
      </c>
      <c r="B315" s="7" t="str">
        <f>"978-7-5531-1412-5"</f>
        <v>978-7-5531-1412-5</v>
      </c>
      <c r="C315" s="7" t="str">
        <f>"孝經文獻全編．第三八册"</f>
        <v>孝經文獻全編．第三八册</v>
      </c>
      <c r="D315" s="7" t="str">
        <f>"劉欣主編"</f>
        <v>劉欣主編</v>
      </c>
      <c r="E315" s="7" t="str">
        <f>"巴蜀書社"</f>
        <v>巴蜀書社</v>
      </c>
      <c r="F315" s="7" t="str">
        <f>"B823.1/188/38"</f>
        <v>B823.1/188/38</v>
      </c>
    </row>
    <row r="316" customHeight="1" spans="1:6">
      <c r="A316" s="6">
        <v>315</v>
      </c>
      <c r="B316" s="7" t="str">
        <f>"978-7-5531-1412-5"</f>
        <v>978-7-5531-1412-5</v>
      </c>
      <c r="C316" s="7" t="str">
        <f>"孝經文獻全編．第三九册"</f>
        <v>孝經文獻全編．第三九册</v>
      </c>
      <c r="D316" s="7" t="str">
        <f>"劉欣主編"</f>
        <v>劉欣主編</v>
      </c>
      <c r="E316" s="7" t="str">
        <f>"巴蜀書社"</f>
        <v>巴蜀書社</v>
      </c>
      <c r="F316" s="7" t="str">
        <f>"B823.1/188/39"</f>
        <v>B823.1/188/39</v>
      </c>
    </row>
    <row r="317" customHeight="1" spans="1:6">
      <c r="A317" s="6">
        <v>316</v>
      </c>
      <c r="B317" s="7" t="str">
        <f>"978-7-5531-1412-5"</f>
        <v>978-7-5531-1412-5</v>
      </c>
      <c r="C317" s="7" t="str">
        <f>"孝經文獻全編．第四〇册"</f>
        <v>孝經文獻全編．第四〇册</v>
      </c>
      <c r="D317" s="7" t="str">
        <f>"劉欣主編"</f>
        <v>劉欣主編</v>
      </c>
      <c r="E317" s="7" t="str">
        <f>"巴蜀書社"</f>
        <v>巴蜀書社</v>
      </c>
      <c r="F317" s="7" t="str">
        <f>"B823.1/188/40"</f>
        <v>B823.1/188/40</v>
      </c>
    </row>
    <row r="318" customHeight="1" spans="1:6">
      <c r="A318" s="6">
        <v>317</v>
      </c>
      <c r="B318" s="7" t="str">
        <f>"978-7-5531-1412-5"</f>
        <v>978-7-5531-1412-5</v>
      </c>
      <c r="C318" s="7" t="str">
        <f>"孝經文獻全編．第四一册"</f>
        <v>孝經文獻全編．第四一册</v>
      </c>
      <c r="D318" s="7" t="str">
        <f>"劉欣主編"</f>
        <v>劉欣主編</v>
      </c>
      <c r="E318" s="7" t="str">
        <f>"巴蜀書社"</f>
        <v>巴蜀書社</v>
      </c>
      <c r="F318" s="7" t="str">
        <f>"B823.1/188/41"</f>
        <v>B823.1/188/41</v>
      </c>
    </row>
    <row r="319" customHeight="1" spans="1:6">
      <c r="A319" s="6">
        <v>318</v>
      </c>
      <c r="B319" s="7" t="str">
        <f>"978-7-5531-1412-5"</f>
        <v>978-7-5531-1412-5</v>
      </c>
      <c r="C319" s="7" t="str">
        <f>"孝經文獻全編．第四二册"</f>
        <v>孝經文獻全編．第四二册</v>
      </c>
      <c r="D319" s="7" t="str">
        <f>"劉欣主編"</f>
        <v>劉欣主編</v>
      </c>
      <c r="E319" s="7" t="str">
        <f>"巴蜀書社"</f>
        <v>巴蜀書社</v>
      </c>
      <c r="F319" s="7" t="str">
        <f>"B823.1/188/42"</f>
        <v>B823.1/188/42</v>
      </c>
    </row>
    <row r="320" customHeight="1" spans="1:6">
      <c r="A320" s="6">
        <v>319</v>
      </c>
      <c r="B320" s="7" t="str">
        <f>"978-7-5531-1412-5"</f>
        <v>978-7-5531-1412-5</v>
      </c>
      <c r="C320" s="7" t="str">
        <f>"孝經文獻全編．第四三册"</f>
        <v>孝經文獻全編．第四三册</v>
      </c>
      <c r="D320" s="7" t="str">
        <f>"劉欣主編"</f>
        <v>劉欣主編</v>
      </c>
      <c r="E320" s="7" t="str">
        <f>"巴蜀書社"</f>
        <v>巴蜀書社</v>
      </c>
      <c r="F320" s="7" t="str">
        <f>"B823.1/188/43"</f>
        <v>B823.1/188/43</v>
      </c>
    </row>
    <row r="321" customHeight="1" spans="1:6">
      <c r="A321" s="6">
        <v>320</v>
      </c>
      <c r="B321" s="7" t="str">
        <f>"978-7-5531-1412-5"</f>
        <v>978-7-5531-1412-5</v>
      </c>
      <c r="C321" s="7" t="str">
        <f>"孝經文獻全編．第四四册"</f>
        <v>孝經文獻全編．第四四册</v>
      </c>
      <c r="D321" s="7" t="str">
        <f>"劉欣主編"</f>
        <v>劉欣主編</v>
      </c>
      <c r="E321" s="7" t="str">
        <f>"巴蜀書社"</f>
        <v>巴蜀書社</v>
      </c>
      <c r="F321" s="7" t="str">
        <f>"B823.1/188/44"</f>
        <v>B823.1/188/44</v>
      </c>
    </row>
    <row r="322" customHeight="1" spans="1:6">
      <c r="A322" s="6">
        <v>321</v>
      </c>
      <c r="B322" s="7" t="str">
        <f>"978-7-5531-1412-5"</f>
        <v>978-7-5531-1412-5</v>
      </c>
      <c r="C322" s="7" t="str">
        <f>"孝經文獻全編．第四五册"</f>
        <v>孝經文獻全編．第四五册</v>
      </c>
      <c r="D322" s="7" t="str">
        <f>"劉欣主編"</f>
        <v>劉欣主編</v>
      </c>
      <c r="E322" s="7" t="str">
        <f>"巴蜀書社"</f>
        <v>巴蜀書社</v>
      </c>
      <c r="F322" s="7" t="str">
        <f>"B823.1/188/45"</f>
        <v>B823.1/188/45</v>
      </c>
    </row>
    <row r="323" customHeight="1" spans="1:6">
      <c r="A323" s="6">
        <v>322</v>
      </c>
      <c r="B323" s="7" t="str">
        <f>"978-7-5531-1412-5"</f>
        <v>978-7-5531-1412-5</v>
      </c>
      <c r="C323" s="7" t="str">
        <f>"孝經文獻全編．第四六册"</f>
        <v>孝經文獻全編．第四六册</v>
      </c>
      <c r="D323" s="7" t="str">
        <f>"劉欣主編"</f>
        <v>劉欣主編</v>
      </c>
      <c r="E323" s="7" t="str">
        <f>"巴蜀書社"</f>
        <v>巴蜀書社</v>
      </c>
      <c r="F323" s="7" t="str">
        <f>"B823.1/188/46"</f>
        <v>B823.1/188/46</v>
      </c>
    </row>
    <row r="324" customHeight="1" spans="1:6">
      <c r="A324" s="6">
        <v>323</v>
      </c>
      <c r="B324" s="7" t="str">
        <f>"978-7-5531-1412-5"</f>
        <v>978-7-5531-1412-5</v>
      </c>
      <c r="C324" s="7" t="str">
        <f>"孝經文獻全編．第四七册"</f>
        <v>孝經文獻全編．第四七册</v>
      </c>
      <c r="D324" s="7" t="str">
        <f>"劉欣主編"</f>
        <v>劉欣主編</v>
      </c>
      <c r="E324" s="7" t="str">
        <f>"巴蜀書社"</f>
        <v>巴蜀書社</v>
      </c>
      <c r="F324" s="7" t="str">
        <f>"B823.1/188/47"</f>
        <v>B823.1/188/47</v>
      </c>
    </row>
    <row r="325" customHeight="1" spans="1:6">
      <c r="A325" s="6">
        <v>324</v>
      </c>
      <c r="B325" s="7" t="str">
        <f>"978-7-5531-1412-5"</f>
        <v>978-7-5531-1412-5</v>
      </c>
      <c r="C325" s="7" t="str">
        <f>"孝經文獻全編．第四八册"</f>
        <v>孝經文獻全編．第四八册</v>
      </c>
      <c r="D325" s="7" t="str">
        <f>"劉欣主編"</f>
        <v>劉欣主編</v>
      </c>
      <c r="E325" s="7" t="str">
        <f>"巴蜀書社"</f>
        <v>巴蜀書社</v>
      </c>
      <c r="F325" s="7" t="str">
        <f>"B823.1/188/48"</f>
        <v>B823.1/188/48</v>
      </c>
    </row>
    <row r="326" customHeight="1" spans="1:6">
      <c r="A326" s="6">
        <v>325</v>
      </c>
      <c r="B326" s="7" t="str">
        <f>"978-7-5531-1412-5"</f>
        <v>978-7-5531-1412-5</v>
      </c>
      <c r="C326" s="7" t="str">
        <f>"孝經文獻全編．第四九册"</f>
        <v>孝經文獻全編．第四九册</v>
      </c>
      <c r="D326" s="7" t="str">
        <f>"劉欣主編"</f>
        <v>劉欣主編</v>
      </c>
      <c r="E326" s="7" t="str">
        <f>"巴蜀書社"</f>
        <v>巴蜀書社</v>
      </c>
      <c r="F326" s="7" t="str">
        <f>"B823.1/188/49"</f>
        <v>B823.1/188/49</v>
      </c>
    </row>
    <row r="327" customHeight="1" spans="1:6">
      <c r="A327" s="6">
        <v>326</v>
      </c>
      <c r="B327" s="7" t="str">
        <f>"978-7-5531-1412-5"</f>
        <v>978-7-5531-1412-5</v>
      </c>
      <c r="C327" s="7" t="str">
        <f>"孝經文獻全編．第五〇册"</f>
        <v>孝經文獻全編．第五〇册</v>
      </c>
      <c r="D327" s="7" t="str">
        <f>"劉欣主編"</f>
        <v>劉欣主編</v>
      </c>
      <c r="E327" s="7" t="str">
        <f>"巴蜀書社"</f>
        <v>巴蜀書社</v>
      </c>
      <c r="F327" s="7" t="str">
        <f>"B823.1/188/50"</f>
        <v>B823.1/188/50</v>
      </c>
    </row>
    <row r="328" customHeight="1" spans="1:6">
      <c r="A328" s="6">
        <v>327</v>
      </c>
      <c r="B328" s="7" t="str">
        <f>"978-7-5531-1412-5"</f>
        <v>978-7-5531-1412-5</v>
      </c>
      <c r="C328" s="7" t="str">
        <f>"孝經文獻全編．第五一册"</f>
        <v>孝經文獻全編．第五一册</v>
      </c>
      <c r="D328" s="7" t="str">
        <f>"劉欣主編"</f>
        <v>劉欣主編</v>
      </c>
      <c r="E328" s="7" t="str">
        <f>"巴蜀書社"</f>
        <v>巴蜀書社</v>
      </c>
      <c r="F328" s="7" t="str">
        <f>"B823.1/188/51"</f>
        <v>B823.1/188/51</v>
      </c>
    </row>
    <row r="329" customHeight="1" spans="1:6">
      <c r="A329" s="6">
        <v>328</v>
      </c>
      <c r="B329" s="7" t="str">
        <f>"978-7-5531-1412-5"</f>
        <v>978-7-5531-1412-5</v>
      </c>
      <c r="C329" s="7" t="str">
        <f>"孝經文獻全編．第五二册"</f>
        <v>孝經文獻全編．第五二册</v>
      </c>
      <c r="D329" s="7" t="str">
        <f>"劉欣主編"</f>
        <v>劉欣主編</v>
      </c>
      <c r="E329" s="7" t="str">
        <f>"巴蜀書社"</f>
        <v>巴蜀書社</v>
      </c>
      <c r="F329" s="7" t="str">
        <f>"B823.1/188/52"</f>
        <v>B823.1/188/52</v>
      </c>
    </row>
    <row r="330" customHeight="1" spans="1:6">
      <c r="A330" s="6">
        <v>329</v>
      </c>
      <c r="B330" s="7" t="str">
        <f>"978-7-5531-1412-5"</f>
        <v>978-7-5531-1412-5</v>
      </c>
      <c r="C330" s="7" t="str">
        <f>"孝經文獻全編．第五三册"</f>
        <v>孝經文獻全編．第五三册</v>
      </c>
      <c r="D330" s="7" t="str">
        <f>"劉欣主編"</f>
        <v>劉欣主編</v>
      </c>
      <c r="E330" s="7" t="str">
        <f>"巴蜀書社"</f>
        <v>巴蜀書社</v>
      </c>
      <c r="F330" s="7" t="str">
        <f>"B823.1/188/53"</f>
        <v>B823.1/188/53</v>
      </c>
    </row>
    <row r="331" customHeight="1" spans="1:6">
      <c r="A331" s="6">
        <v>330</v>
      </c>
      <c r="B331" s="7" t="str">
        <f>"978-7-5531-1412-5"</f>
        <v>978-7-5531-1412-5</v>
      </c>
      <c r="C331" s="7" t="str">
        <f>"孝經文獻全編．第五四册"</f>
        <v>孝經文獻全編．第五四册</v>
      </c>
      <c r="D331" s="7" t="str">
        <f>"劉欣主編"</f>
        <v>劉欣主編</v>
      </c>
      <c r="E331" s="7" t="str">
        <f>"巴蜀書社"</f>
        <v>巴蜀書社</v>
      </c>
      <c r="F331" s="7" t="str">
        <f>"B823.1/188/54"</f>
        <v>B823.1/188/54</v>
      </c>
    </row>
    <row r="332" customHeight="1" spans="1:6">
      <c r="A332" s="6">
        <v>331</v>
      </c>
      <c r="B332" s="7" t="str">
        <f>"978-7-5531-1412-5"</f>
        <v>978-7-5531-1412-5</v>
      </c>
      <c r="C332" s="7" t="str">
        <f>"孝經文獻全編．第五五册"</f>
        <v>孝經文獻全編．第五五册</v>
      </c>
      <c r="D332" s="7" t="str">
        <f>"劉欣主編"</f>
        <v>劉欣主編</v>
      </c>
      <c r="E332" s="7" t="str">
        <f>"巴蜀書社"</f>
        <v>巴蜀書社</v>
      </c>
      <c r="F332" s="7" t="str">
        <f>"B823.1/188/55"</f>
        <v>B823.1/188/55</v>
      </c>
    </row>
    <row r="333" customHeight="1" spans="1:6">
      <c r="A333" s="6">
        <v>332</v>
      </c>
      <c r="B333" s="7" t="str">
        <f>"978-7-5531-1412-5"</f>
        <v>978-7-5531-1412-5</v>
      </c>
      <c r="C333" s="7" t="str">
        <f>"孝經文獻全編．第五六册"</f>
        <v>孝經文獻全編．第五六册</v>
      </c>
      <c r="D333" s="7" t="str">
        <f>"劉欣主編"</f>
        <v>劉欣主編</v>
      </c>
      <c r="E333" s="7" t="str">
        <f>"巴蜀書社"</f>
        <v>巴蜀書社</v>
      </c>
      <c r="F333" s="7" t="str">
        <f>"B823.1/188/56"</f>
        <v>B823.1/188/56</v>
      </c>
    </row>
    <row r="334" customHeight="1" spans="1:6">
      <c r="A334" s="6">
        <v>333</v>
      </c>
      <c r="B334" s="7" t="str">
        <f>"978-7-5531-1412-5"</f>
        <v>978-7-5531-1412-5</v>
      </c>
      <c r="C334" s="7" t="str">
        <f>"孝經文獻全編．第五七册"</f>
        <v>孝經文獻全編．第五七册</v>
      </c>
      <c r="D334" s="7" t="str">
        <f>"劉欣主編"</f>
        <v>劉欣主編</v>
      </c>
      <c r="E334" s="7" t="str">
        <f>"巴蜀書社"</f>
        <v>巴蜀書社</v>
      </c>
      <c r="F334" s="7" t="str">
        <f>"B823.1/188/57"</f>
        <v>B823.1/188/57</v>
      </c>
    </row>
    <row r="335" customHeight="1" spans="1:6">
      <c r="A335" s="6">
        <v>334</v>
      </c>
      <c r="B335" s="7" t="str">
        <f>"978-7-5531-1412-5"</f>
        <v>978-7-5531-1412-5</v>
      </c>
      <c r="C335" s="7" t="str">
        <f>"孝經文獻全編．第五八册"</f>
        <v>孝經文獻全編．第五八册</v>
      </c>
      <c r="D335" s="7" t="str">
        <f>"劉欣主編"</f>
        <v>劉欣主編</v>
      </c>
      <c r="E335" s="7" t="str">
        <f>"巴蜀書社"</f>
        <v>巴蜀書社</v>
      </c>
      <c r="F335" s="7" t="str">
        <f>"B823.1/188/58"</f>
        <v>B823.1/188/58</v>
      </c>
    </row>
    <row r="336" customHeight="1" spans="1:6">
      <c r="A336" s="6">
        <v>335</v>
      </c>
      <c r="B336" s="7" t="str">
        <f>"978-7-5531-1412-5"</f>
        <v>978-7-5531-1412-5</v>
      </c>
      <c r="C336" s="7" t="str">
        <f>"孝經文獻全編．第五九册"</f>
        <v>孝經文獻全編．第五九册</v>
      </c>
      <c r="D336" s="7" t="str">
        <f>"劉欣主編"</f>
        <v>劉欣主編</v>
      </c>
      <c r="E336" s="7" t="str">
        <f>"巴蜀書社"</f>
        <v>巴蜀書社</v>
      </c>
      <c r="F336" s="7" t="str">
        <f>"B823.1/188/59"</f>
        <v>B823.1/188/59</v>
      </c>
    </row>
    <row r="337" customHeight="1" spans="1:6">
      <c r="A337" s="6">
        <v>336</v>
      </c>
      <c r="B337" s="7" t="str">
        <f>"978-7-5531-1412-5"</f>
        <v>978-7-5531-1412-5</v>
      </c>
      <c r="C337" s="7" t="str">
        <f>"孝經文獻全編．第六〇册"</f>
        <v>孝經文獻全編．第六〇册</v>
      </c>
      <c r="D337" s="7" t="str">
        <f>"劉欣主編"</f>
        <v>劉欣主編</v>
      </c>
      <c r="E337" s="7" t="str">
        <f>"巴蜀書社"</f>
        <v>巴蜀書社</v>
      </c>
      <c r="F337" s="7" t="str">
        <f>"B823.1/188/60"</f>
        <v>B823.1/188/60</v>
      </c>
    </row>
    <row r="338" customHeight="1" spans="1:6">
      <c r="A338" s="6">
        <v>337</v>
      </c>
      <c r="B338" s="7" t="str">
        <f>"978-7-5531-1412-5"</f>
        <v>978-7-5531-1412-5</v>
      </c>
      <c r="C338" s="7" t="str">
        <f>"孝經文獻全編．第六一册"</f>
        <v>孝經文獻全編．第六一册</v>
      </c>
      <c r="D338" s="7" t="str">
        <f>"劉欣主編"</f>
        <v>劉欣主編</v>
      </c>
      <c r="E338" s="7" t="str">
        <f>"巴蜀書社"</f>
        <v>巴蜀書社</v>
      </c>
      <c r="F338" s="7" t="str">
        <f>"B823.1/188/61"</f>
        <v>B823.1/188/61</v>
      </c>
    </row>
    <row r="339" customHeight="1" spans="1:6">
      <c r="A339" s="6">
        <v>338</v>
      </c>
      <c r="B339" s="7" t="str">
        <f>"978-7-5531-1412-5"</f>
        <v>978-7-5531-1412-5</v>
      </c>
      <c r="C339" s="7" t="str">
        <f>"孝經文獻全編．第六二册"</f>
        <v>孝經文獻全編．第六二册</v>
      </c>
      <c r="D339" s="7" t="str">
        <f>"劉欣主編"</f>
        <v>劉欣主編</v>
      </c>
      <c r="E339" s="7" t="str">
        <f>"巴蜀書社"</f>
        <v>巴蜀書社</v>
      </c>
      <c r="F339" s="7" t="str">
        <f>"B823.1/188/62"</f>
        <v>B823.1/188/62</v>
      </c>
    </row>
    <row r="340" customHeight="1" spans="1:6">
      <c r="A340" s="6">
        <v>339</v>
      </c>
      <c r="B340" s="7" t="str">
        <f>"978-7-5531-1412-5"</f>
        <v>978-7-5531-1412-5</v>
      </c>
      <c r="C340" s="7" t="str">
        <f>"孝經文獻全編．第六三册"</f>
        <v>孝經文獻全編．第六三册</v>
      </c>
      <c r="D340" s="7" t="str">
        <f>"劉欣主編"</f>
        <v>劉欣主編</v>
      </c>
      <c r="E340" s="7" t="str">
        <f>"巴蜀書社"</f>
        <v>巴蜀書社</v>
      </c>
      <c r="F340" s="7" t="str">
        <f>"B823.1/188/63"</f>
        <v>B823.1/188/63</v>
      </c>
    </row>
    <row r="341" customHeight="1" spans="1:6">
      <c r="A341" s="6">
        <v>340</v>
      </c>
      <c r="B341" s="7" t="str">
        <f>"978-7-5531-1412-5"</f>
        <v>978-7-5531-1412-5</v>
      </c>
      <c r="C341" s="7" t="str">
        <f>"孝經文獻全編．第六四册"</f>
        <v>孝經文獻全編．第六四册</v>
      </c>
      <c r="D341" s="7" t="str">
        <f>"劉欣主編"</f>
        <v>劉欣主編</v>
      </c>
      <c r="E341" s="7" t="str">
        <f>"巴蜀書社"</f>
        <v>巴蜀書社</v>
      </c>
      <c r="F341" s="7" t="str">
        <f>"B823.1/188/64"</f>
        <v>B823.1/188/64</v>
      </c>
    </row>
    <row r="342" customHeight="1" spans="1:6">
      <c r="A342" s="6">
        <v>341</v>
      </c>
      <c r="B342" s="7" t="str">
        <f>"978-7-5531-1412-5"</f>
        <v>978-7-5531-1412-5</v>
      </c>
      <c r="C342" s="7" t="str">
        <f>"孝經文獻全編．第六五册"</f>
        <v>孝經文獻全編．第六五册</v>
      </c>
      <c r="D342" s="7" t="str">
        <f>"劉欣主編"</f>
        <v>劉欣主編</v>
      </c>
      <c r="E342" s="7" t="str">
        <f>"巴蜀書社"</f>
        <v>巴蜀書社</v>
      </c>
      <c r="F342" s="7" t="str">
        <f>"B823.1/188/65"</f>
        <v>B823.1/188/65</v>
      </c>
    </row>
    <row r="343" customHeight="1" spans="1:6">
      <c r="A343" s="6">
        <v>342</v>
      </c>
      <c r="B343" s="7" t="str">
        <f>"978-7-5531-1412-5"</f>
        <v>978-7-5531-1412-5</v>
      </c>
      <c r="C343" s="7" t="str">
        <f>"孝經文獻全編．第六六册"</f>
        <v>孝經文獻全編．第六六册</v>
      </c>
      <c r="D343" s="7" t="str">
        <f>"劉欣主編"</f>
        <v>劉欣主編</v>
      </c>
      <c r="E343" s="7" t="str">
        <f>"巴蜀書社"</f>
        <v>巴蜀書社</v>
      </c>
      <c r="F343" s="7" t="str">
        <f>"B823.1/188/66"</f>
        <v>B823.1/188/66</v>
      </c>
    </row>
  </sheetData>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7030A0"/>
  </sheetPr>
  <dimension ref="A1:F307"/>
  <sheetViews>
    <sheetView workbookViewId="0">
      <selection activeCell="D29" sqref="D29"/>
    </sheetView>
  </sheetViews>
  <sheetFormatPr defaultColWidth="9" defaultRowHeight="18" customHeight="1" outlineLevelCol="5"/>
  <cols>
    <col min="1" max="1" width="6.375" customWidth="1"/>
    <col min="2" max="2" width="19.375" customWidth="1"/>
    <col min="3" max="3" width="40.875" customWidth="1"/>
    <col min="4" max="4" width="24.375" customWidth="1"/>
    <col min="5" max="5" width="29.375" customWidth="1"/>
    <col min="6" max="6" width="18.25" customWidth="1"/>
  </cols>
  <sheetData>
    <row r="1" s="2" customFormat="1" customHeight="1" spans="1:6">
      <c r="A1" s="15" t="str">
        <f>"序号"</f>
        <v>序号</v>
      </c>
      <c r="B1" s="15" t="str">
        <f>"ISBN"</f>
        <v>ISBN</v>
      </c>
      <c r="C1" s="15" t="str">
        <f>"题名"</f>
        <v>题名</v>
      </c>
      <c r="D1" s="15" t="str">
        <f>"责任者"</f>
        <v>责任者</v>
      </c>
      <c r="E1" s="15" t="str">
        <f>"出版社"</f>
        <v>出版社</v>
      </c>
      <c r="F1" s="15" t="str">
        <f>"索取号"</f>
        <v>索取号</v>
      </c>
    </row>
    <row r="2" customHeight="1" spans="1:6">
      <c r="A2" s="6">
        <v>1</v>
      </c>
      <c r="B2" s="7" t="str">
        <f>"978-7-5596-5355-0"</f>
        <v>978-7-5596-5355-0</v>
      </c>
      <c r="C2" s="7" t="str">
        <f>"如何做研究：社会科学研究指南"</f>
        <v>如何做研究：社会科学研究指南</v>
      </c>
      <c r="D2" s="7" t="str">
        <f>"(英) 洛兰·布拉克斯特， 克里斯蒂娜·休斯， 马尔克姆·泰特著Loraine Blaxter， Christina Hughes， Malcolm Tight；符隆文译"</f>
        <v>(英) 洛兰·布拉克斯特， 克里斯蒂娜·休斯， 马尔克姆·泰特著Loraine Blaxter， Christina Hughes， Malcolm Tight；符隆文译</v>
      </c>
      <c r="E2" s="7" t="str">
        <f>"北京联合出版公司"</f>
        <v>北京联合出版公司</v>
      </c>
      <c r="F2" s="7" t="str">
        <f>"C3/40"</f>
        <v>C3/40</v>
      </c>
    </row>
    <row r="3" customHeight="1" spans="1:6">
      <c r="A3" s="6">
        <v>2</v>
      </c>
      <c r="B3" s="7" t="str">
        <f>"978-7-5596-5355-0"</f>
        <v>978-7-5596-5355-0</v>
      </c>
      <c r="C3" s="7" t="str">
        <f>"如何做研究：社会科学研究指南"</f>
        <v>如何做研究：社会科学研究指南</v>
      </c>
      <c r="D3" s="7" t="str">
        <f>"(英) 洛兰·布拉克斯特， 克里斯蒂娜·休斯， 马尔克姆·泰特著Loraine Blaxter， Christina Hughes， Malcolm Tight；符隆文译"</f>
        <v>(英) 洛兰·布拉克斯特， 克里斯蒂娜·休斯， 马尔克姆·泰特著Loraine Blaxter， Christina Hughes， Malcolm Tight；符隆文译</v>
      </c>
      <c r="E3" s="7" t="str">
        <f>"北京联合出版公司"</f>
        <v>北京联合出版公司</v>
      </c>
      <c r="F3" s="7" t="str">
        <f>"C3/40"</f>
        <v>C3/40</v>
      </c>
    </row>
    <row r="4" customHeight="1" spans="1:6">
      <c r="A4" s="6">
        <v>3</v>
      </c>
      <c r="B4" s="7" t="str">
        <f>"978-7-5586-1771-3"</f>
        <v>978-7-5586-1771-3</v>
      </c>
      <c r="C4" s="7" t="str">
        <f>"设计调研怎么做?：了解客户真实需求的方法、战略、流程与案例"</f>
        <v>设计调研怎么做?：了解客户真实需求的方法、战略、流程与案例</v>
      </c>
      <c r="D4" s="7" t="str">
        <f>"(美) 詹妮弗·韦索基·欧格雷迪， 肯尼斯·韦索基·欧格雷迪著；陆美辰译"</f>
        <v>(美) 詹妮弗·韦索基·欧格雷迪， 肯尼斯·韦索基·欧格雷迪著；陆美辰译</v>
      </c>
      <c r="E4" s="7" t="str">
        <f>"上海人民美术出版社"</f>
        <v>上海人民美术出版社</v>
      </c>
      <c r="F4" s="7" t="str">
        <f>"C31/60"</f>
        <v>C31/60</v>
      </c>
    </row>
    <row r="5" customHeight="1" spans="1:6">
      <c r="A5" s="6">
        <v>4</v>
      </c>
      <c r="B5" s="7" t="str">
        <f>"978-7-5586-1771-3"</f>
        <v>978-7-5586-1771-3</v>
      </c>
      <c r="C5" s="7" t="str">
        <f>"设计调研怎么做?：了解客户真实需求的方法、战略、流程与案例"</f>
        <v>设计调研怎么做?：了解客户真实需求的方法、战略、流程与案例</v>
      </c>
      <c r="D5" s="7" t="str">
        <f>"(美) 詹妮弗·韦索基·欧格雷迪， 肯尼斯·韦索基·欧格雷迪著；陆美辰译"</f>
        <v>(美) 詹妮弗·韦索基·欧格雷迪， 肯尼斯·韦索基·欧格雷迪著；陆美辰译</v>
      </c>
      <c r="E5" s="7" t="str">
        <f>"上海人民美术出版社"</f>
        <v>上海人民美术出版社</v>
      </c>
      <c r="F5" s="7" t="str">
        <f>"C31/60"</f>
        <v>C31/60</v>
      </c>
    </row>
    <row r="6" customHeight="1" spans="1:6">
      <c r="A6" s="6">
        <v>5</v>
      </c>
      <c r="B6" s="8" t="s">
        <v>285</v>
      </c>
      <c r="C6" s="8" t="s">
        <v>286</v>
      </c>
      <c r="D6" s="8" t="s">
        <v>287</v>
      </c>
      <c r="E6" s="8" t="s">
        <v>288</v>
      </c>
      <c r="F6" s="8" t="s">
        <v>289</v>
      </c>
    </row>
    <row r="7" customHeight="1" spans="1:6">
      <c r="A7" s="6">
        <v>6</v>
      </c>
      <c r="B7" s="8" t="s">
        <v>285</v>
      </c>
      <c r="C7" s="8" t="s">
        <v>286</v>
      </c>
      <c r="D7" s="8" t="s">
        <v>287</v>
      </c>
      <c r="E7" s="8" t="s">
        <v>288</v>
      </c>
      <c r="F7" s="8" t="s">
        <v>289</v>
      </c>
    </row>
    <row r="8" customHeight="1" spans="1:6">
      <c r="A8" s="6">
        <v>7</v>
      </c>
      <c r="B8" s="7" t="str">
        <f>"978-7-5225-0162-8"</f>
        <v>978-7-5225-0162-8</v>
      </c>
      <c r="C8" s="7" t="str">
        <f>"中国比较文学百年史"</f>
        <v>中国比较文学百年史</v>
      </c>
      <c r="D8" s="7" t="str">
        <f>"王向远著"</f>
        <v>王向远著</v>
      </c>
      <c r="E8" s="7" t="str">
        <f>"九州出版社"</f>
        <v>九州出版社</v>
      </c>
      <c r="F8" s="7" t="str">
        <f>"C52/342-2"</f>
        <v>C52/342-2</v>
      </c>
    </row>
    <row r="9" customHeight="1" spans="1:6">
      <c r="A9" s="6">
        <v>8</v>
      </c>
      <c r="B9" s="7" t="str">
        <f>"978-7-5225-0162-8"</f>
        <v>978-7-5225-0162-8</v>
      </c>
      <c r="C9" s="7" t="str">
        <f>"中国比较文学百年史"</f>
        <v>中国比较文学百年史</v>
      </c>
      <c r="D9" s="7" t="str">
        <f>"王向远著"</f>
        <v>王向远著</v>
      </c>
      <c r="E9" s="7" t="str">
        <f>"九州出版社"</f>
        <v>九州出版社</v>
      </c>
      <c r="F9" s="7" t="str">
        <f>"C52/342-2"</f>
        <v>C52/342-2</v>
      </c>
    </row>
    <row r="10" customHeight="1" spans="1:6">
      <c r="A10" s="6">
        <v>9</v>
      </c>
      <c r="B10" s="7" t="str">
        <f t="shared" ref="B10:B25" si="0">"978-7-5325-9691-1"</f>
        <v>978-7-5325-9691-1</v>
      </c>
      <c r="C10" s="7" t="str">
        <f>"羅振玉學術論著集．第一集"</f>
        <v>羅振玉學術論著集．第一集</v>
      </c>
      <c r="D10" s="7" t="str">
        <f t="shared" ref="D10:D25" si="1">"羅振玉著"</f>
        <v>羅振玉著</v>
      </c>
      <c r="E10" s="7" t="str">
        <f t="shared" ref="E10:E25" si="2">"上海古籍出版社"</f>
        <v>上海古籍出版社</v>
      </c>
      <c r="F10" s="7" t="str">
        <f>"C52/472/1"</f>
        <v>C52/472/1</v>
      </c>
    </row>
    <row r="11" customHeight="1" spans="1:6">
      <c r="A11" s="6">
        <v>10</v>
      </c>
      <c r="B11" s="7" t="str">
        <f t="shared" si="0"/>
        <v>978-7-5325-9691-1</v>
      </c>
      <c r="C11" s="7" t="str">
        <f>"羅振玉學術論著集．第十集/上"</f>
        <v>羅振玉學術論著集．第十集/上</v>
      </c>
      <c r="D11" s="7" t="str">
        <f t="shared" si="1"/>
        <v>羅振玉著</v>
      </c>
      <c r="E11" s="7" t="str">
        <f t="shared" si="2"/>
        <v>上海古籍出版社</v>
      </c>
      <c r="F11" s="7" t="str">
        <f>"C52/472/10:1"</f>
        <v>C52/472/10:1</v>
      </c>
    </row>
    <row r="12" customHeight="1" spans="1:6">
      <c r="A12" s="6">
        <v>11</v>
      </c>
      <c r="B12" s="7" t="str">
        <f t="shared" si="0"/>
        <v>978-7-5325-9691-1</v>
      </c>
      <c r="C12" s="7" t="str">
        <f>"羅振玉學術論著集．第十集/下"</f>
        <v>羅振玉學術論著集．第十集/下</v>
      </c>
      <c r="D12" s="7" t="str">
        <f t="shared" si="1"/>
        <v>羅振玉著</v>
      </c>
      <c r="E12" s="7" t="str">
        <f t="shared" si="2"/>
        <v>上海古籍出版社</v>
      </c>
      <c r="F12" s="7" t="str">
        <f>"C52/472/10:2"</f>
        <v>C52/472/10:2</v>
      </c>
    </row>
    <row r="13" customHeight="1" spans="1:6">
      <c r="A13" s="6">
        <v>12</v>
      </c>
      <c r="B13" s="7" t="str">
        <f t="shared" si="0"/>
        <v>978-7-5325-9691-1</v>
      </c>
      <c r="C13" s="7" t="str">
        <f>"羅振玉學術論著集．第十一集"</f>
        <v>羅振玉學術論著集．第十一集</v>
      </c>
      <c r="D13" s="7" t="str">
        <f t="shared" si="1"/>
        <v>羅振玉著</v>
      </c>
      <c r="E13" s="7" t="str">
        <f t="shared" si="2"/>
        <v>上海古籍出版社</v>
      </c>
      <c r="F13" s="7" t="str">
        <f>"C52/472/11"</f>
        <v>C52/472/11</v>
      </c>
    </row>
    <row r="14" customHeight="1" spans="1:6">
      <c r="A14" s="6">
        <v>13</v>
      </c>
      <c r="B14" s="7" t="str">
        <f t="shared" si="0"/>
        <v>978-7-5325-9691-1</v>
      </c>
      <c r="C14" s="7" t="str">
        <f>"羅振玉學術論著集．第十二集"</f>
        <v>羅振玉學術論著集．第十二集</v>
      </c>
      <c r="D14" s="7" t="str">
        <f t="shared" si="1"/>
        <v>羅振玉著</v>
      </c>
      <c r="E14" s="7" t="str">
        <f t="shared" si="2"/>
        <v>上海古籍出版社</v>
      </c>
      <c r="F14" s="7" t="str">
        <f>"C52/472/12"</f>
        <v>C52/472/12</v>
      </c>
    </row>
    <row r="15" customHeight="1" spans="1:6">
      <c r="A15" s="6">
        <v>14</v>
      </c>
      <c r="B15" s="7" t="str">
        <f t="shared" si="0"/>
        <v>978-7-5325-9691-1</v>
      </c>
      <c r="C15" s="7" t="str">
        <f>"羅振玉學術論著集．第二集/上"</f>
        <v>羅振玉學術論著集．第二集/上</v>
      </c>
      <c r="D15" s="7" t="str">
        <f t="shared" si="1"/>
        <v>羅振玉著</v>
      </c>
      <c r="E15" s="7" t="str">
        <f t="shared" si="2"/>
        <v>上海古籍出版社</v>
      </c>
      <c r="F15" s="7" t="str">
        <f>"C52/472/2:1"</f>
        <v>C52/472/2:1</v>
      </c>
    </row>
    <row r="16" customHeight="1" spans="1:6">
      <c r="A16" s="6">
        <v>15</v>
      </c>
      <c r="B16" s="7" t="str">
        <f t="shared" si="0"/>
        <v>978-7-5325-9691-1</v>
      </c>
      <c r="C16" s="7" t="str">
        <f>"羅振玉學術論著集．第二集/下"</f>
        <v>羅振玉學術論著集．第二集/下</v>
      </c>
      <c r="D16" s="7" t="str">
        <f t="shared" si="1"/>
        <v>羅振玉著</v>
      </c>
      <c r="E16" s="7" t="str">
        <f t="shared" si="2"/>
        <v>上海古籍出版社</v>
      </c>
      <c r="F16" s="7" t="str">
        <f>"C52/472/2:2"</f>
        <v>C52/472/2:2</v>
      </c>
    </row>
    <row r="17" customHeight="1" spans="1:6">
      <c r="A17" s="6">
        <v>16</v>
      </c>
      <c r="B17" s="7" t="str">
        <f t="shared" si="0"/>
        <v>978-7-5325-9691-1</v>
      </c>
      <c r="C17" s="7" t="str">
        <f>"羅振玉學術論著集．第三集"</f>
        <v>羅振玉學術論著集．第三集</v>
      </c>
      <c r="D17" s="7" t="str">
        <f t="shared" si="1"/>
        <v>羅振玉著</v>
      </c>
      <c r="E17" s="7" t="str">
        <f t="shared" si="2"/>
        <v>上海古籍出版社</v>
      </c>
      <c r="F17" s="7" t="str">
        <f>"C52/472/3"</f>
        <v>C52/472/3</v>
      </c>
    </row>
    <row r="18" customHeight="1" spans="1:6">
      <c r="A18" s="6">
        <v>17</v>
      </c>
      <c r="B18" s="7" t="str">
        <f t="shared" si="0"/>
        <v>978-7-5325-9691-1</v>
      </c>
      <c r="C18" s="7" t="str">
        <f>"羅振玉學術論著集．第四集"</f>
        <v>羅振玉學術論著集．第四集</v>
      </c>
      <c r="D18" s="7" t="str">
        <f t="shared" si="1"/>
        <v>羅振玉著</v>
      </c>
      <c r="E18" s="7" t="str">
        <f t="shared" si="2"/>
        <v>上海古籍出版社</v>
      </c>
      <c r="F18" s="7" t="str">
        <f>"C52/472/4"</f>
        <v>C52/472/4</v>
      </c>
    </row>
    <row r="19" customHeight="1" spans="1:6">
      <c r="A19" s="6">
        <v>18</v>
      </c>
      <c r="B19" s="7" t="str">
        <f t="shared" si="0"/>
        <v>978-7-5325-9691-1</v>
      </c>
      <c r="C19" s="7" t="str">
        <f>"羅振玉學術論著集．第五集/上"</f>
        <v>羅振玉學術論著集．第五集/上</v>
      </c>
      <c r="D19" s="7" t="str">
        <f t="shared" si="1"/>
        <v>羅振玉著</v>
      </c>
      <c r="E19" s="7" t="str">
        <f t="shared" si="2"/>
        <v>上海古籍出版社</v>
      </c>
      <c r="F19" s="7" t="str">
        <f>"C52/472/5:1"</f>
        <v>C52/472/5:1</v>
      </c>
    </row>
    <row r="20" customHeight="1" spans="1:6">
      <c r="A20" s="6">
        <v>19</v>
      </c>
      <c r="B20" s="7" t="str">
        <f t="shared" si="0"/>
        <v>978-7-5325-9691-1</v>
      </c>
      <c r="C20" s="7" t="str">
        <f>"羅振玉學術論著集．第五集/下"</f>
        <v>羅振玉學術論著集．第五集/下</v>
      </c>
      <c r="D20" s="7" t="str">
        <f t="shared" si="1"/>
        <v>羅振玉著</v>
      </c>
      <c r="E20" s="7" t="str">
        <f t="shared" si="2"/>
        <v>上海古籍出版社</v>
      </c>
      <c r="F20" s="7" t="str">
        <f>"C52/472/5:2"</f>
        <v>C52/472/5:2</v>
      </c>
    </row>
    <row r="21" customHeight="1" spans="1:6">
      <c r="A21" s="6">
        <v>20</v>
      </c>
      <c r="B21" s="7" t="str">
        <f t="shared" si="0"/>
        <v>978-7-5325-9691-1</v>
      </c>
      <c r="C21" s="7" t="str">
        <f>"羅振玉學術論著集．第六集"</f>
        <v>羅振玉學術論著集．第六集</v>
      </c>
      <c r="D21" s="7" t="str">
        <f t="shared" si="1"/>
        <v>羅振玉著</v>
      </c>
      <c r="E21" s="7" t="str">
        <f t="shared" si="2"/>
        <v>上海古籍出版社</v>
      </c>
      <c r="F21" s="7" t="str">
        <f>"C52/472/6"</f>
        <v>C52/472/6</v>
      </c>
    </row>
    <row r="22" customHeight="1" spans="1:6">
      <c r="A22" s="6">
        <v>21</v>
      </c>
      <c r="B22" s="7" t="str">
        <f t="shared" si="0"/>
        <v>978-7-5325-9691-1</v>
      </c>
      <c r="C22" s="7" t="str">
        <f>"羅振玉學術論著集．第七集"</f>
        <v>羅振玉學術論著集．第七集</v>
      </c>
      <c r="D22" s="7" t="str">
        <f t="shared" si="1"/>
        <v>羅振玉著</v>
      </c>
      <c r="E22" s="7" t="str">
        <f t="shared" si="2"/>
        <v>上海古籍出版社</v>
      </c>
      <c r="F22" s="7" t="str">
        <f>"C52/472/7"</f>
        <v>C52/472/7</v>
      </c>
    </row>
    <row r="23" customHeight="1" spans="1:6">
      <c r="A23" s="6">
        <v>22</v>
      </c>
      <c r="B23" s="7" t="str">
        <f t="shared" si="0"/>
        <v>978-7-5325-9691-1</v>
      </c>
      <c r="C23" s="7" t="str">
        <f>"羅振玉學術論著集．第八集/上"</f>
        <v>羅振玉學術論著集．第八集/上</v>
      </c>
      <c r="D23" s="7" t="str">
        <f t="shared" si="1"/>
        <v>羅振玉著</v>
      </c>
      <c r="E23" s="7" t="str">
        <f t="shared" si="2"/>
        <v>上海古籍出版社</v>
      </c>
      <c r="F23" s="7" t="str">
        <f>"C52/472/8:1"</f>
        <v>C52/472/8:1</v>
      </c>
    </row>
    <row r="24" customHeight="1" spans="1:6">
      <c r="A24" s="6">
        <v>23</v>
      </c>
      <c r="B24" s="7" t="str">
        <f t="shared" si="0"/>
        <v>978-7-5325-9691-1</v>
      </c>
      <c r="C24" s="7" t="str">
        <f>"羅振玉學術論著集．第八集/下"</f>
        <v>羅振玉學術論著集．第八集/下</v>
      </c>
      <c r="D24" s="7" t="str">
        <f t="shared" si="1"/>
        <v>羅振玉著</v>
      </c>
      <c r="E24" s="7" t="str">
        <f t="shared" si="2"/>
        <v>上海古籍出版社</v>
      </c>
      <c r="F24" s="7" t="str">
        <f>"C52/472/8:2"</f>
        <v>C52/472/8:2</v>
      </c>
    </row>
    <row r="25" customHeight="1" spans="1:6">
      <c r="A25" s="6">
        <v>24</v>
      </c>
      <c r="B25" s="7" t="str">
        <f t="shared" si="0"/>
        <v>978-7-5325-9691-1</v>
      </c>
      <c r="C25" s="7" t="str">
        <f>"羅振玉學術論著集．第九集"</f>
        <v>羅振玉學術論著集．第九集</v>
      </c>
      <c r="D25" s="7" t="str">
        <f t="shared" si="1"/>
        <v>羅振玉著</v>
      </c>
      <c r="E25" s="7" t="str">
        <f t="shared" si="2"/>
        <v>上海古籍出版社</v>
      </c>
      <c r="F25" s="7" t="str">
        <f>"C52/472/9"</f>
        <v>C52/472/9</v>
      </c>
    </row>
    <row r="26" customHeight="1" spans="1:6">
      <c r="A26" s="6">
        <v>25</v>
      </c>
      <c r="B26" s="9" t="str">
        <f t="shared" ref="B26:B64" si="3">"978-7-5108-4103-3"</f>
        <v>978-7-5108-4103-3</v>
      </c>
      <c r="C26" s="9" t="str">
        <f>"唐君毅全集．第一卷：早期文稿"</f>
        <v>唐君毅全集．第一卷：早期文稿</v>
      </c>
      <c r="D26" s="9" t="str">
        <f t="shared" ref="D26:D52" si="4">"唐君毅著"</f>
        <v>唐君毅著</v>
      </c>
      <c r="E26" s="9" t="str">
        <f t="shared" ref="E26:E64" si="5">"九州出版社"</f>
        <v>九州出版社</v>
      </c>
      <c r="F26" s="9" t="str">
        <f>"C52/473/1"</f>
        <v>C52/473/1</v>
      </c>
    </row>
    <row r="27" customHeight="1" spans="1:6">
      <c r="A27" s="6">
        <v>26</v>
      </c>
      <c r="B27" s="9" t="str">
        <f t="shared" si="3"/>
        <v>978-7-5108-4103-3</v>
      </c>
      <c r="C27" s="9" t="str">
        <f>"唐君毅全集．第十卷：人文精神之重建"</f>
        <v>唐君毅全集．第十卷：人文精神之重建</v>
      </c>
      <c r="D27" s="9" t="str">
        <f t="shared" si="4"/>
        <v>唐君毅著</v>
      </c>
      <c r="E27" s="9" t="str">
        <f t="shared" si="5"/>
        <v>九州出版社</v>
      </c>
      <c r="F27" s="9" t="str">
        <f>"C52/473/10"</f>
        <v>C52/473/10</v>
      </c>
    </row>
    <row r="28" customHeight="1" spans="1:6">
      <c r="A28" s="6">
        <v>27</v>
      </c>
      <c r="B28" s="9" t="str">
        <f t="shared" si="3"/>
        <v>978-7-5108-4103-3</v>
      </c>
      <c r="C28" s="9" t="str">
        <f>"唐君毅全集．第十一卷：中国人文精神之发展"</f>
        <v>唐君毅全集．第十一卷：中国人文精神之发展</v>
      </c>
      <c r="D28" s="9" t="str">
        <f t="shared" si="4"/>
        <v>唐君毅著</v>
      </c>
      <c r="E28" s="9" t="str">
        <f t="shared" si="5"/>
        <v>九州出版社</v>
      </c>
      <c r="F28" s="9" t="str">
        <f>"C52/473/11"</f>
        <v>C52/473/11</v>
      </c>
    </row>
    <row r="29" customHeight="1" spans="1:6">
      <c r="A29" s="6">
        <v>28</v>
      </c>
      <c r="B29" s="9" t="str">
        <f t="shared" si="3"/>
        <v>978-7-5108-4103-3</v>
      </c>
      <c r="C29" s="9" t="str">
        <f>"唐君毅全集．第十二卷：文化意识与道德理性"</f>
        <v>唐君毅全集．第十二卷：文化意识与道德理性</v>
      </c>
      <c r="D29" s="9" t="str">
        <f t="shared" si="4"/>
        <v>唐君毅著</v>
      </c>
      <c r="E29" s="9" t="str">
        <f t="shared" si="5"/>
        <v>九州出版社</v>
      </c>
      <c r="F29" s="9" t="str">
        <f>"C52/473/12"</f>
        <v>C52/473/12</v>
      </c>
    </row>
    <row r="30" customHeight="1" spans="1:6">
      <c r="A30" s="6">
        <v>29</v>
      </c>
      <c r="B30" s="9" t="str">
        <f t="shared" si="3"/>
        <v>978-7-5108-4103-3</v>
      </c>
      <c r="C30" s="9" t="str">
        <f>"唐君毅全集．第十三卷：中华人文与当今世界．上"</f>
        <v>唐君毅全集．第十三卷：中华人文与当今世界．上</v>
      </c>
      <c r="D30" s="9" t="str">
        <f t="shared" si="4"/>
        <v>唐君毅著</v>
      </c>
      <c r="E30" s="9" t="str">
        <f t="shared" si="5"/>
        <v>九州出版社</v>
      </c>
      <c r="F30" s="9" t="str">
        <f>"C52/473/13"</f>
        <v>C52/473/13</v>
      </c>
    </row>
    <row r="31" customHeight="1" spans="1:6">
      <c r="A31" s="6">
        <v>30</v>
      </c>
      <c r="B31" s="9" t="str">
        <f t="shared" si="3"/>
        <v>978-7-5108-4103-3</v>
      </c>
      <c r="C31" s="9" t="str">
        <f>"唐君毅全集．第十四卷：中华人文与当今世界．下"</f>
        <v>唐君毅全集．第十四卷：中华人文与当今世界．下</v>
      </c>
      <c r="D31" s="9" t="str">
        <f t="shared" si="4"/>
        <v>唐君毅著</v>
      </c>
      <c r="E31" s="9" t="str">
        <f t="shared" si="5"/>
        <v>九州出版社</v>
      </c>
      <c r="F31" s="9" t="str">
        <f>"C52/473/14"</f>
        <v>C52/473/14</v>
      </c>
    </row>
    <row r="32" customHeight="1" spans="1:6">
      <c r="A32" s="6">
        <v>31</v>
      </c>
      <c r="B32" s="9" t="str">
        <f t="shared" si="3"/>
        <v>978-7-5108-4103-3</v>
      </c>
      <c r="C32" s="9" t="str">
        <f>"唐君毅全集．第十五卷：东西文化与当今世界"</f>
        <v>唐君毅全集．第十五卷：东西文化与当今世界</v>
      </c>
      <c r="D32" s="9" t="str">
        <f t="shared" si="4"/>
        <v>唐君毅著</v>
      </c>
      <c r="E32" s="9" t="str">
        <f t="shared" si="5"/>
        <v>九州出版社</v>
      </c>
      <c r="F32" s="9" t="str">
        <f>"C52/473/15"</f>
        <v>C52/473/15</v>
      </c>
    </row>
    <row r="33" customHeight="1" spans="1:6">
      <c r="A33" s="6">
        <v>32</v>
      </c>
      <c r="B33" s="9" t="str">
        <f t="shared" si="3"/>
        <v>978-7-5108-4103-3</v>
      </c>
      <c r="C33" s="9" t="str">
        <f>"唐君毅全集．第十六卷：新亚精神与人文教育．宗教精神与人文学术"</f>
        <v>唐君毅全集．第十六卷：新亚精神与人文教育．宗教精神与人文学术</v>
      </c>
      <c r="D33" s="9" t="str">
        <f t="shared" si="4"/>
        <v>唐君毅著</v>
      </c>
      <c r="E33" s="9" t="str">
        <f t="shared" si="5"/>
        <v>九州出版社</v>
      </c>
      <c r="F33" s="9" t="str">
        <f>"C52/473/16"</f>
        <v>C52/473/16</v>
      </c>
    </row>
    <row r="34" customHeight="1" spans="1:6">
      <c r="A34" s="6">
        <v>33</v>
      </c>
      <c r="B34" s="9" t="str">
        <f t="shared" si="3"/>
        <v>978-7-5108-4103-3</v>
      </c>
      <c r="C34" s="9" t="str">
        <f>"唐君毅全集．第十七卷：中国哲学原论．导论篇"</f>
        <v>唐君毅全集．第十七卷：中国哲学原论．导论篇</v>
      </c>
      <c r="D34" s="9" t="str">
        <f t="shared" si="4"/>
        <v>唐君毅著</v>
      </c>
      <c r="E34" s="9" t="str">
        <f t="shared" si="5"/>
        <v>九州出版社</v>
      </c>
      <c r="F34" s="9" t="str">
        <f>"C52/473/17"</f>
        <v>C52/473/17</v>
      </c>
    </row>
    <row r="35" customHeight="1" spans="1:6">
      <c r="A35" s="6">
        <v>34</v>
      </c>
      <c r="B35" s="9" t="str">
        <f t="shared" si="3"/>
        <v>978-7-5108-4103-3</v>
      </c>
      <c r="C35" s="9" t="str">
        <f>"唐君毅全集．第十八卷：中国哲学原论．原性篇：中国哲学中人性思想之发展"</f>
        <v>唐君毅全集．第十八卷：中国哲学原论．原性篇：中国哲学中人性思想之发展</v>
      </c>
      <c r="D35" s="9" t="str">
        <f t="shared" si="4"/>
        <v>唐君毅著</v>
      </c>
      <c r="E35" s="9" t="str">
        <f t="shared" si="5"/>
        <v>九州出版社</v>
      </c>
      <c r="F35" s="9" t="str">
        <f>"C52/473/18"</f>
        <v>C52/473/18</v>
      </c>
    </row>
    <row r="36" customHeight="1" spans="1:6">
      <c r="A36" s="6">
        <v>35</v>
      </c>
      <c r="B36" s="9" t="str">
        <f t="shared" si="3"/>
        <v>978-7-5108-4103-3</v>
      </c>
      <c r="C36" s="9" t="str">
        <f>"唐君毅全集．第十九卷：中国哲学原论．原道篇．一：中国哲学中之“道”之建立及其发展"</f>
        <v>唐君毅全集．第十九卷：中国哲学原论．原道篇．一：中国哲学中之“道”之建立及其发展</v>
      </c>
      <c r="D36" s="9" t="str">
        <f t="shared" si="4"/>
        <v>唐君毅著</v>
      </c>
      <c r="E36" s="9" t="str">
        <f t="shared" si="5"/>
        <v>九州出版社</v>
      </c>
      <c r="F36" s="9" t="str">
        <f>"C52/473/19"</f>
        <v>C52/473/19</v>
      </c>
    </row>
    <row r="37" customHeight="1" spans="1:6">
      <c r="A37" s="6">
        <v>36</v>
      </c>
      <c r="B37" s="9" t="str">
        <f t="shared" si="3"/>
        <v>978-7-5108-4103-3</v>
      </c>
      <c r="C37" s="9" t="str">
        <f>"唐君毅全集．第二卷：中西哲学思想之比较论文集"</f>
        <v>唐君毅全集．第二卷：中西哲学思想之比较论文集</v>
      </c>
      <c r="D37" s="9" t="str">
        <f t="shared" si="4"/>
        <v>唐君毅著</v>
      </c>
      <c r="E37" s="9" t="str">
        <f t="shared" si="5"/>
        <v>九州出版社</v>
      </c>
      <c r="F37" s="9" t="str">
        <f>"C52/473/2"</f>
        <v>C52/473/2</v>
      </c>
    </row>
    <row r="38" customHeight="1" spans="1:6">
      <c r="A38" s="6">
        <v>37</v>
      </c>
      <c r="B38" s="9" t="str">
        <f t="shared" si="3"/>
        <v>978-7-5108-4103-3</v>
      </c>
      <c r="C38" s="9" t="str">
        <f>"唐君毅全集．第二十卷：中国哲学原论．原道篇．二：中国哲学中之“道”之建立及其发展"</f>
        <v>唐君毅全集．第二十卷：中国哲学原论．原道篇．二：中国哲学中之“道”之建立及其发展</v>
      </c>
      <c r="D38" s="9" t="str">
        <f t="shared" si="4"/>
        <v>唐君毅著</v>
      </c>
      <c r="E38" s="9" t="str">
        <f t="shared" si="5"/>
        <v>九州出版社</v>
      </c>
      <c r="F38" s="9" t="str">
        <f>"C52/473/20"</f>
        <v>C52/473/20</v>
      </c>
    </row>
    <row r="39" customHeight="1" spans="1:6">
      <c r="A39" s="6">
        <v>38</v>
      </c>
      <c r="B39" s="9" t="str">
        <f t="shared" si="3"/>
        <v>978-7-5108-4103-3</v>
      </c>
      <c r="C39" s="9" t="str">
        <f>"唐君毅全集．第二十一卷：中国哲学原论．原道篇．三：中国哲学中之“道”之建立及其发展"</f>
        <v>唐君毅全集．第二十一卷：中国哲学原论．原道篇．三：中国哲学中之“道”之建立及其发展</v>
      </c>
      <c r="D39" s="9" t="str">
        <f t="shared" si="4"/>
        <v>唐君毅著</v>
      </c>
      <c r="E39" s="9" t="str">
        <f t="shared" si="5"/>
        <v>九州出版社</v>
      </c>
      <c r="F39" s="9" t="str">
        <f>"C52/473/21"</f>
        <v>C52/473/21</v>
      </c>
    </row>
    <row r="40" customHeight="1" spans="1:6">
      <c r="A40" s="6">
        <v>39</v>
      </c>
      <c r="B40" s="9" t="str">
        <f t="shared" si="3"/>
        <v>978-7-5108-4103-3</v>
      </c>
      <c r="C40" s="9" t="str">
        <f>"唐君毅全集．第二十二卷：中国哲学原论．原教篇：宋明儒学思想之发展"</f>
        <v>唐君毅全集．第二十二卷：中国哲学原论．原教篇：宋明儒学思想之发展</v>
      </c>
      <c r="D40" s="9" t="str">
        <f t="shared" si="4"/>
        <v>唐君毅著</v>
      </c>
      <c r="E40" s="9" t="str">
        <f t="shared" si="5"/>
        <v>九州出版社</v>
      </c>
      <c r="F40" s="9" t="str">
        <f>"C52/473/22"</f>
        <v>C52/473/22</v>
      </c>
    </row>
    <row r="41" customHeight="1" spans="1:6">
      <c r="A41" s="6">
        <v>40</v>
      </c>
      <c r="B41" s="9" t="str">
        <f t="shared" si="3"/>
        <v>978-7-5108-4103-3</v>
      </c>
      <c r="C41" s="9" t="str">
        <f>"唐君毅全集．第二十三卷：哲学概论．上：哲学总论、知识论"</f>
        <v>唐君毅全集．第二十三卷：哲学概论．上：哲学总论、知识论</v>
      </c>
      <c r="D41" s="9" t="str">
        <f t="shared" si="4"/>
        <v>唐君毅著</v>
      </c>
      <c r="E41" s="9" t="str">
        <f t="shared" si="5"/>
        <v>九州出版社</v>
      </c>
      <c r="F41" s="9" t="str">
        <f>"C52/473/23"</f>
        <v>C52/473/23</v>
      </c>
    </row>
    <row r="42" customHeight="1" spans="1:6">
      <c r="A42" s="6">
        <v>41</v>
      </c>
      <c r="B42" s="9" t="str">
        <f t="shared" si="3"/>
        <v>978-7-5108-4103-3</v>
      </c>
      <c r="C42" s="9" t="str">
        <f>"唐君毅全集．第二十四卷：哲学概论．下：形而上学、价值论"</f>
        <v>唐君毅全集．第二十四卷：哲学概论．下：形而上学、价值论</v>
      </c>
      <c r="D42" s="9" t="str">
        <f t="shared" si="4"/>
        <v>唐君毅著</v>
      </c>
      <c r="E42" s="9" t="str">
        <f t="shared" si="5"/>
        <v>九州出版社</v>
      </c>
      <c r="F42" s="9" t="str">
        <f>"C52/473/24"</f>
        <v>C52/473/24</v>
      </c>
    </row>
    <row r="43" customHeight="1" spans="1:6">
      <c r="A43" s="6">
        <v>42</v>
      </c>
      <c r="B43" s="9" t="str">
        <f t="shared" si="3"/>
        <v>978-7-5108-4103-3</v>
      </c>
      <c r="C43" s="9" t="str">
        <f>"唐君毅全集．第二十五卷：生命存在与心灵境界．上：生命存在之三向与心灵九境"</f>
        <v>唐君毅全集．第二十五卷：生命存在与心灵境界．上：生命存在之三向与心灵九境</v>
      </c>
      <c r="D43" s="9" t="str">
        <f t="shared" si="4"/>
        <v>唐君毅著</v>
      </c>
      <c r="E43" s="9" t="str">
        <f t="shared" si="5"/>
        <v>九州出版社</v>
      </c>
      <c r="F43" s="9" t="str">
        <f>"C52/473/25"</f>
        <v>C52/473/25</v>
      </c>
    </row>
    <row r="44" customHeight="1" spans="1:6">
      <c r="A44" s="6">
        <v>43</v>
      </c>
      <c r="B44" s="9" t="str">
        <f t="shared" si="3"/>
        <v>978-7-5108-4103-3</v>
      </c>
      <c r="C44" s="9" t="str">
        <f>"唐君毅全集．第二十六卷：生命存在与心灵境界．下：生命存在之三向与心灵九境"</f>
        <v>唐君毅全集．第二十六卷：生命存在与心灵境界．下：生命存在之三向与心灵九境</v>
      </c>
      <c r="D44" s="9" t="str">
        <f t="shared" si="4"/>
        <v>唐君毅著</v>
      </c>
      <c r="E44" s="9" t="str">
        <f t="shared" si="5"/>
        <v>九州出版社</v>
      </c>
      <c r="F44" s="9" t="str">
        <f>"C52/473/26"</f>
        <v>C52/473/26</v>
      </c>
    </row>
    <row r="45" customHeight="1" spans="1:6">
      <c r="A45" s="6">
        <v>44</v>
      </c>
      <c r="B45" s="9" t="str">
        <f t="shared" si="3"/>
        <v>978-7-5108-4103-3</v>
      </c>
      <c r="C45" s="9" t="str">
        <f>"唐君毅全集．第二十七卷：中国古代哲学精神"</f>
        <v>唐君毅全集．第二十七卷：中国古代哲学精神</v>
      </c>
      <c r="D45" s="9" t="str">
        <f t="shared" si="4"/>
        <v>唐君毅著</v>
      </c>
      <c r="E45" s="9" t="str">
        <f t="shared" si="5"/>
        <v>九州出版社</v>
      </c>
      <c r="F45" s="9" t="str">
        <f>"C52/473/27"</f>
        <v>C52/473/27</v>
      </c>
    </row>
    <row r="46" customHeight="1" spans="1:6">
      <c r="A46" s="6">
        <v>45</v>
      </c>
      <c r="B46" s="9" t="str">
        <f t="shared" si="3"/>
        <v>978-7-5108-4103-3</v>
      </c>
      <c r="C46" s="9" t="str">
        <f>"唐君毅全集．第二十八卷：中西哲学与理想主义"</f>
        <v>唐君毅全集．第二十八卷：中西哲学与理想主义</v>
      </c>
      <c r="D46" s="9" t="str">
        <f t="shared" si="4"/>
        <v>唐君毅著</v>
      </c>
      <c r="E46" s="9" t="str">
        <f t="shared" si="5"/>
        <v>九州出版社</v>
      </c>
      <c r="F46" s="9" t="str">
        <f>"C52/473/28"</f>
        <v>C52/473/28</v>
      </c>
    </row>
    <row r="47" customHeight="1" spans="1:6">
      <c r="A47" s="6">
        <v>46</v>
      </c>
      <c r="B47" s="9" t="str">
        <f t="shared" si="3"/>
        <v>978-7-5108-4103-3</v>
      </c>
      <c r="C47" s="9" t="str">
        <f>"唐君毅全集．第二十九卷：英文论著汇编"</f>
        <v>唐君毅全集．第二十九卷：英文论著汇编</v>
      </c>
      <c r="D47" s="9" t="str">
        <f t="shared" si="4"/>
        <v>唐君毅著</v>
      </c>
      <c r="E47" s="9" t="str">
        <f t="shared" si="5"/>
        <v>九州出版社</v>
      </c>
      <c r="F47" s="9" t="str">
        <f>"C52/473/29"</f>
        <v>C52/473/29</v>
      </c>
    </row>
    <row r="48" customHeight="1" spans="1:6">
      <c r="A48" s="6">
        <v>47</v>
      </c>
      <c r="B48" s="9" t="str">
        <f t="shared" si="3"/>
        <v>978-7-5108-4103-3</v>
      </c>
      <c r="C48" s="9" t="str">
        <f>"唐君毅全集．第三卷：人生之体验"</f>
        <v>唐君毅全集．第三卷：人生之体验</v>
      </c>
      <c r="D48" s="9" t="str">
        <f t="shared" si="4"/>
        <v>唐君毅著</v>
      </c>
      <c r="E48" s="9" t="str">
        <f t="shared" si="5"/>
        <v>九州出版社</v>
      </c>
      <c r="F48" s="9" t="str">
        <f>"C52/473/3"</f>
        <v>C52/473/3</v>
      </c>
    </row>
    <row r="49" customHeight="1" spans="1:6">
      <c r="A49" s="6">
        <v>48</v>
      </c>
      <c r="B49" s="9" t="str">
        <f t="shared" si="3"/>
        <v>978-7-5108-4103-3</v>
      </c>
      <c r="C49" s="9" t="str">
        <f>"唐君毅全集．第三十卷：致廷光书"</f>
        <v>唐君毅全集．第三十卷：致廷光书</v>
      </c>
      <c r="D49" s="9" t="str">
        <f t="shared" si="4"/>
        <v>唐君毅著</v>
      </c>
      <c r="E49" s="9" t="str">
        <f t="shared" si="5"/>
        <v>九州出版社</v>
      </c>
      <c r="F49" s="9" t="str">
        <f>"C52/473/30"</f>
        <v>C52/473/30</v>
      </c>
    </row>
    <row r="50" customHeight="1" spans="1:6">
      <c r="A50" s="6">
        <v>49</v>
      </c>
      <c r="B50" s="9" t="str">
        <f t="shared" si="3"/>
        <v>978-7-5108-4103-3</v>
      </c>
      <c r="C50" s="9" t="str">
        <f>"唐君毅全集．第三十一卷：书简"</f>
        <v>唐君毅全集．第三十一卷：书简</v>
      </c>
      <c r="D50" s="9" t="str">
        <f t="shared" si="4"/>
        <v>唐君毅著</v>
      </c>
      <c r="E50" s="9" t="str">
        <f t="shared" si="5"/>
        <v>九州出版社</v>
      </c>
      <c r="F50" s="9" t="str">
        <f>"C52/473/31"</f>
        <v>C52/473/31</v>
      </c>
    </row>
    <row r="51" customHeight="1" spans="1:6">
      <c r="A51" s="6">
        <v>50</v>
      </c>
      <c r="B51" s="9" t="str">
        <f t="shared" si="3"/>
        <v>978-7-5108-4103-3</v>
      </c>
      <c r="C51" s="9" t="str">
        <f>"唐君毅全集．第三十二卷：日记．上"</f>
        <v>唐君毅全集．第三十二卷：日记．上</v>
      </c>
      <c r="D51" s="9" t="str">
        <f t="shared" si="4"/>
        <v>唐君毅著</v>
      </c>
      <c r="E51" s="9" t="str">
        <f t="shared" si="5"/>
        <v>九州出版社</v>
      </c>
      <c r="F51" s="9" t="str">
        <f>"C52/473/32"</f>
        <v>C52/473/32</v>
      </c>
    </row>
    <row r="52" customHeight="1" spans="1:6">
      <c r="A52" s="6">
        <v>51</v>
      </c>
      <c r="B52" s="9" t="str">
        <f t="shared" si="3"/>
        <v>978-7-5108-4103-3</v>
      </c>
      <c r="C52" s="9" t="str">
        <f>"唐君毅全集．第三十三卷：日记．下"</f>
        <v>唐君毅全集．第三十三卷：日记．下</v>
      </c>
      <c r="D52" s="9" t="str">
        <f t="shared" si="4"/>
        <v>唐君毅著</v>
      </c>
      <c r="E52" s="9" t="str">
        <f t="shared" si="5"/>
        <v>九州出版社</v>
      </c>
      <c r="F52" s="9" t="str">
        <f>"C52/473/33"</f>
        <v>C52/473/33</v>
      </c>
    </row>
    <row r="53" customHeight="1" spans="1:6">
      <c r="A53" s="6">
        <v>52</v>
      </c>
      <c r="B53" s="9" t="str">
        <f t="shared" si="3"/>
        <v>978-7-5108-4103-3</v>
      </c>
      <c r="C53" s="9" t="str">
        <f>"唐君毅全集．第三十四卷：年谱"</f>
        <v>唐君毅全集．第三十四卷：年谱</v>
      </c>
      <c r="D53" s="9" t="str">
        <f>"何仁富， 汪丽华著"</f>
        <v>何仁富， 汪丽华著</v>
      </c>
      <c r="E53" s="9" t="str">
        <f t="shared" si="5"/>
        <v>九州出版社</v>
      </c>
      <c r="F53" s="9" t="str">
        <f>"C52/473/34"</f>
        <v>C52/473/34</v>
      </c>
    </row>
    <row r="54" customHeight="1" spans="1:6">
      <c r="A54" s="6">
        <v>53</v>
      </c>
      <c r="B54" s="9" t="str">
        <f t="shared" si="3"/>
        <v>978-7-5108-4103-3</v>
      </c>
      <c r="C54" s="9" t="str">
        <f>"唐君毅全集．第三十五卷：图传"</f>
        <v>唐君毅全集．第三十五卷：图传</v>
      </c>
      <c r="D54" s="9" t="str">
        <f>"何仁富编"</f>
        <v>何仁富编</v>
      </c>
      <c r="E54" s="9" t="str">
        <f t="shared" si="5"/>
        <v>九州出版社</v>
      </c>
      <c r="F54" s="9" t="str">
        <f>"C52/473/35"</f>
        <v>C52/473/35</v>
      </c>
    </row>
    <row r="55" customHeight="1" spans="1:6">
      <c r="A55" s="6">
        <v>54</v>
      </c>
      <c r="B55" s="9" t="str">
        <f t="shared" si="3"/>
        <v>978-7-5108-4103-3</v>
      </c>
      <c r="C55" s="9" t="str">
        <f>"唐君毅全集．第三十六卷：亲人著述"</f>
        <v>唐君毅全集．第三十六卷：亲人著述</v>
      </c>
      <c r="D55" s="9" t="str">
        <f>"唐迪风， 陈卓仙， 谢廷光著"</f>
        <v>唐迪风， 陈卓仙， 谢廷光著</v>
      </c>
      <c r="E55" s="9" t="str">
        <f t="shared" si="5"/>
        <v>九州出版社</v>
      </c>
      <c r="F55" s="9" t="str">
        <f>"C52/473/36"</f>
        <v>C52/473/36</v>
      </c>
    </row>
    <row r="56" customHeight="1" spans="1:6">
      <c r="A56" s="6">
        <v>55</v>
      </c>
      <c r="B56" s="9" t="str">
        <f t="shared" si="3"/>
        <v>978-7-5108-4103-3</v>
      </c>
      <c r="C56" s="9" t="str">
        <f>"唐君毅全集．第三十七卷：纪念集．上"</f>
        <v>唐君毅全集．第三十七卷：纪念集．上</v>
      </c>
      <c r="D56" s="9" t="str">
        <f>"谢廷光等著"</f>
        <v>谢廷光等著</v>
      </c>
      <c r="E56" s="9" t="str">
        <f t="shared" si="5"/>
        <v>九州出版社</v>
      </c>
      <c r="F56" s="9" t="str">
        <f>"C52/473/37"</f>
        <v>C52/473/37</v>
      </c>
    </row>
    <row r="57" customHeight="1" spans="1:6">
      <c r="A57" s="6">
        <v>56</v>
      </c>
      <c r="B57" s="9" t="str">
        <f t="shared" si="3"/>
        <v>978-7-5108-4103-3</v>
      </c>
      <c r="C57" s="9" t="str">
        <f>"唐君毅全集．第三十八卷：纪念集．下"</f>
        <v>唐君毅全集．第三十八卷：纪念集．下</v>
      </c>
      <c r="D57" s="9" t="str">
        <f>"谢廷光等著"</f>
        <v>谢廷光等著</v>
      </c>
      <c r="E57" s="9" t="str">
        <f t="shared" si="5"/>
        <v>九州出版社</v>
      </c>
      <c r="F57" s="9" t="str">
        <f>"C52/473/38"</f>
        <v>C52/473/38</v>
      </c>
    </row>
    <row r="58" customHeight="1" spans="1:6">
      <c r="A58" s="6">
        <v>57</v>
      </c>
      <c r="B58" s="9" t="str">
        <f t="shared" si="3"/>
        <v>978-7-5108-4103-3</v>
      </c>
      <c r="C58" s="9" t="str">
        <f>"唐君毅全集．第三十九卷：著述年表．唐学研究文献索引"</f>
        <v>唐君毅全集．第三十九卷：著述年表．唐学研究文献索引</v>
      </c>
      <c r="D58" s="9" t="str">
        <f>"何仁富， 杨永明， 李蕾编"</f>
        <v>何仁富， 杨永明， 李蕾编</v>
      </c>
      <c r="E58" s="9" t="str">
        <f t="shared" si="5"/>
        <v>九州出版社</v>
      </c>
      <c r="F58" s="9" t="str">
        <f>"C52/473/39"</f>
        <v>C52/473/39</v>
      </c>
    </row>
    <row r="59" customHeight="1" spans="1:6">
      <c r="A59" s="6">
        <v>58</v>
      </c>
      <c r="B59" s="9" t="str">
        <f t="shared" si="3"/>
        <v>978-7-5108-4103-3</v>
      </c>
      <c r="C59" s="9" t="str">
        <f>"唐君毅全集．第四卷：道德自我之建立．智慧与道德"</f>
        <v>唐君毅全集．第四卷：道德自我之建立．智慧与道德</v>
      </c>
      <c r="D59" s="9" t="str">
        <f t="shared" ref="D59:D64" si="6">"唐君毅著"</f>
        <v>唐君毅著</v>
      </c>
      <c r="E59" s="9" t="str">
        <f t="shared" si="5"/>
        <v>九州出版社</v>
      </c>
      <c r="F59" s="9" t="str">
        <f>"C52/473/4"</f>
        <v>C52/473/4</v>
      </c>
    </row>
    <row r="60" customHeight="1" spans="1:6">
      <c r="A60" s="6">
        <v>59</v>
      </c>
      <c r="B60" s="9" t="str">
        <f t="shared" si="3"/>
        <v>978-7-5108-4103-3</v>
      </c>
      <c r="C60" s="9" t="str">
        <f>"唐君毅全集．第五卷：心物与人生"</f>
        <v>唐君毅全集．第五卷：心物与人生</v>
      </c>
      <c r="D60" s="9" t="str">
        <f t="shared" si="6"/>
        <v>唐君毅著</v>
      </c>
      <c r="E60" s="9" t="str">
        <f t="shared" si="5"/>
        <v>九州出版社</v>
      </c>
      <c r="F60" s="9" t="str">
        <f>"C52/473/5"</f>
        <v>C52/473/5</v>
      </c>
    </row>
    <row r="61" customHeight="1" spans="1:6">
      <c r="A61" s="6">
        <v>60</v>
      </c>
      <c r="B61" s="9" t="str">
        <f t="shared" si="3"/>
        <v>978-7-5108-4103-3</v>
      </c>
      <c r="C61" s="9" t="str">
        <f>"唐君毅全集．第六卷：爱情之福音．青年与学问"</f>
        <v>唐君毅全集．第六卷：爱情之福音．青年与学问</v>
      </c>
      <c r="D61" s="9" t="str">
        <f t="shared" si="6"/>
        <v>唐君毅著</v>
      </c>
      <c r="E61" s="9" t="str">
        <f t="shared" si="5"/>
        <v>九州出版社</v>
      </c>
      <c r="F61" s="9" t="str">
        <f>"C52/473/6"</f>
        <v>C52/473/6</v>
      </c>
    </row>
    <row r="62" customHeight="1" spans="1:6">
      <c r="A62" s="6">
        <v>61</v>
      </c>
      <c r="B62" s="9" t="str">
        <f t="shared" si="3"/>
        <v>978-7-5108-4103-3</v>
      </c>
      <c r="C62" s="9" t="str">
        <f>"唐君毅全集．第七卷：人生之体验续编．病里乾坤"</f>
        <v>唐君毅全集．第七卷：人生之体验续编．病里乾坤</v>
      </c>
      <c r="D62" s="9" t="str">
        <f t="shared" si="6"/>
        <v>唐君毅著</v>
      </c>
      <c r="E62" s="9" t="str">
        <f t="shared" si="5"/>
        <v>九州出版社</v>
      </c>
      <c r="F62" s="9" t="str">
        <f>"C52/473/7"</f>
        <v>C52/473/7</v>
      </c>
    </row>
    <row r="63" customHeight="1" spans="1:6">
      <c r="A63" s="6">
        <v>62</v>
      </c>
      <c r="B63" s="9" t="str">
        <f t="shared" si="3"/>
        <v>978-7-5108-4103-3</v>
      </c>
      <c r="C63" s="9" t="str">
        <f>"唐君毅全集．第八卷：哲思辑录与人物纪念"</f>
        <v>唐君毅全集．第八卷：哲思辑录与人物纪念</v>
      </c>
      <c r="D63" s="9" t="str">
        <f t="shared" si="6"/>
        <v>唐君毅著</v>
      </c>
      <c r="E63" s="9" t="str">
        <f t="shared" si="5"/>
        <v>九州出版社</v>
      </c>
      <c r="F63" s="9" t="str">
        <f>"C52/473/8"</f>
        <v>C52/473/8</v>
      </c>
    </row>
    <row r="64" customHeight="1" spans="1:6">
      <c r="A64" s="6">
        <v>63</v>
      </c>
      <c r="B64" s="9" t="str">
        <f t="shared" si="3"/>
        <v>978-7-5108-4103-3</v>
      </c>
      <c r="C64" s="9" t="str">
        <f>"唐君毅全集．第九卷：中国文化之精神价值．中国文化与世界：我们对中国学术研究及中国文化与世界文化前途之共同认识"</f>
        <v>唐君毅全集．第九卷：中国文化之精神价值．中国文化与世界：我们对中国学术研究及中国文化与世界文化前途之共同认识</v>
      </c>
      <c r="D64" s="9" t="str">
        <f t="shared" si="6"/>
        <v>唐君毅著</v>
      </c>
      <c r="E64" s="9" t="str">
        <f t="shared" si="5"/>
        <v>九州出版社</v>
      </c>
      <c r="F64" s="9" t="str">
        <f>"C52/473/9"</f>
        <v>C52/473/9</v>
      </c>
    </row>
    <row r="65" customHeight="1" spans="1:6">
      <c r="A65" s="6">
        <v>64</v>
      </c>
      <c r="B65" s="7" t="str">
        <f>"978-7-5607-6983-7"</f>
        <v>978-7-5607-6983-7</v>
      </c>
      <c r="C65" s="7" t="str">
        <f>"《文史哲》与中国人文学术编年：1951-2021"</f>
        <v>《文史哲》与中国人文学术编年：1951-2021</v>
      </c>
      <c r="D65" s="7" t="str">
        <f>"郭震旦编撰"</f>
        <v>郭震旦编撰</v>
      </c>
      <c r="E65" s="7" t="str">
        <f>"山东大学出版社"</f>
        <v>山东大学出版社</v>
      </c>
      <c r="F65" s="7" t="str">
        <f>"C53/445"</f>
        <v>C53/445</v>
      </c>
    </row>
    <row r="66" customHeight="1" spans="1:6">
      <c r="A66" s="6">
        <v>65</v>
      </c>
      <c r="B66" s="7" t="str">
        <f>"978-7-5607-6983-7"</f>
        <v>978-7-5607-6983-7</v>
      </c>
      <c r="C66" s="7" t="str">
        <f>"《文史哲》与中国人文学术编年：1951-2021"</f>
        <v>《文史哲》与中国人文学术编年：1951-2021</v>
      </c>
      <c r="D66" s="7" t="str">
        <f>"郭震旦编撰"</f>
        <v>郭震旦编撰</v>
      </c>
      <c r="E66" s="7" t="str">
        <f>"山东大学出版社"</f>
        <v>山东大学出版社</v>
      </c>
      <c r="F66" s="7" t="str">
        <f>"C53/445"</f>
        <v>C53/445</v>
      </c>
    </row>
    <row r="67" customHeight="1" spans="1:6">
      <c r="A67" s="6">
        <v>66</v>
      </c>
      <c r="B67" s="7" t="str">
        <f>"978-7-300-26837-8"</f>
        <v>978-7-300-26837-8</v>
      </c>
      <c r="C67" s="7" t="str">
        <f>"统计学：基于SPSS"</f>
        <v>统计学：基于SPSS</v>
      </c>
      <c r="D67" s="7" t="str">
        <f>"贾俊平编著"</f>
        <v>贾俊平编著</v>
      </c>
      <c r="E67" s="7" t="str">
        <f>"中国人民大学出版社"</f>
        <v>中国人民大学出版社</v>
      </c>
      <c r="F67" s="7" t="str">
        <f>"C8/303=3D"</f>
        <v>C8/303=3D</v>
      </c>
    </row>
    <row r="68" customHeight="1" spans="1:6">
      <c r="A68" s="6">
        <v>67</v>
      </c>
      <c r="B68" s="7" t="str">
        <f>"978-7-300-26837-8"</f>
        <v>978-7-300-26837-8</v>
      </c>
      <c r="C68" s="7" t="str">
        <f>"统计学：基于SPSS"</f>
        <v>统计学：基于SPSS</v>
      </c>
      <c r="D68" s="7" t="str">
        <f>"贾俊平编著"</f>
        <v>贾俊平编著</v>
      </c>
      <c r="E68" s="7" t="str">
        <f>"中国人民大学出版社"</f>
        <v>中国人民大学出版社</v>
      </c>
      <c r="F68" s="7" t="str">
        <f>"C8/303=3D"</f>
        <v>C8/303=3D</v>
      </c>
    </row>
    <row r="69" customHeight="1" spans="1:6">
      <c r="A69" s="6">
        <v>68</v>
      </c>
      <c r="B69" s="8" t="s">
        <v>290</v>
      </c>
      <c r="C69" s="8" t="s">
        <v>291</v>
      </c>
      <c r="D69" s="8" t="s">
        <v>292</v>
      </c>
      <c r="E69" s="8" t="s">
        <v>293</v>
      </c>
      <c r="F69" s="8" t="s">
        <v>294</v>
      </c>
    </row>
    <row r="70" customHeight="1" spans="1:6">
      <c r="A70" s="6">
        <v>69</v>
      </c>
      <c r="B70" s="8" t="s">
        <v>290</v>
      </c>
      <c r="C70" s="8" t="s">
        <v>291</v>
      </c>
      <c r="D70" s="8" t="s">
        <v>292</v>
      </c>
      <c r="E70" s="8" t="s">
        <v>293</v>
      </c>
      <c r="F70" s="8" t="s">
        <v>294</v>
      </c>
    </row>
    <row r="71" customHeight="1" spans="1:6">
      <c r="A71" s="6">
        <v>70</v>
      </c>
      <c r="B71" s="7" t="str">
        <f>"978-7-5217-1429-6"</f>
        <v>978-7-5217-1429-6</v>
      </c>
      <c r="C71" s="7" t="str">
        <f>"后基因组时代：ethics， justice and knowledge after the genome"</f>
        <v>后基因组时代：ethics， justice and knowledge after the genome</v>
      </c>
      <c r="D71" s="7" t="str">
        <f>"(美) 珍妮·瑞尔丹著Jenny Reardon；冬初阳译"</f>
        <v>(美) 珍妮·瑞尔丹著Jenny Reardon；冬初阳译</v>
      </c>
      <c r="E71" s="7" t="str">
        <f>"中信出版集团股份有限公司"</f>
        <v>中信出版集团股份有限公司</v>
      </c>
      <c r="F71" s="7" t="str">
        <f>"C91/208"</f>
        <v>C91/208</v>
      </c>
    </row>
    <row r="72" customHeight="1" spans="1:6">
      <c r="A72" s="6">
        <v>71</v>
      </c>
      <c r="B72" s="7" t="str">
        <f>"978-7-5217-1429-6"</f>
        <v>978-7-5217-1429-6</v>
      </c>
      <c r="C72" s="7" t="str">
        <f>"后基因组时代：ethics， justice and knowledge after the genome"</f>
        <v>后基因组时代：ethics， justice and knowledge after the genome</v>
      </c>
      <c r="D72" s="7" t="str">
        <f>"(美) 珍妮·瑞尔丹著Jenny Reardon；冬初阳译"</f>
        <v>(美) 珍妮·瑞尔丹著Jenny Reardon；冬初阳译</v>
      </c>
      <c r="E72" s="7" t="str">
        <f>"中信出版集团股份有限公司"</f>
        <v>中信出版集团股份有限公司</v>
      </c>
      <c r="F72" s="7" t="str">
        <f>"C91/208"</f>
        <v>C91/208</v>
      </c>
    </row>
    <row r="73" customHeight="1" spans="1:6">
      <c r="A73" s="6">
        <v>72</v>
      </c>
      <c r="B73" s="7" t="str">
        <f>"978-7-100-19425-9"</f>
        <v>978-7-100-19425-9</v>
      </c>
      <c r="C73" s="7" t="str">
        <f>"贪婪的社会"</f>
        <v>贪婪的社会</v>
      </c>
      <c r="D73" s="7" t="str">
        <f>"(英) R. H. 托尼著；启蒙编译所译"</f>
        <v>(英) R. H. 托尼著；启蒙编译所译</v>
      </c>
      <c r="E73" s="7" t="str">
        <f>"商务印书馆"</f>
        <v>商务印书馆</v>
      </c>
      <c r="F73" s="7" t="str">
        <f>"C91/209"</f>
        <v>C91/209</v>
      </c>
    </row>
    <row r="74" customHeight="1" spans="1:6">
      <c r="A74" s="6">
        <v>73</v>
      </c>
      <c r="B74" s="7" t="str">
        <f>"978-7-100-19425-9"</f>
        <v>978-7-100-19425-9</v>
      </c>
      <c r="C74" s="7" t="str">
        <f>"贪婪的社会"</f>
        <v>贪婪的社会</v>
      </c>
      <c r="D74" s="7" t="str">
        <f>"(英) R. H. 托尼著；启蒙编译所译"</f>
        <v>(英) R. H. 托尼著；启蒙编译所译</v>
      </c>
      <c r="E74" s="7" t="str">
        <f>"商务印书馆"</f>
        <v>商务印书馆</v>
      </c>
      <c r="F74" s="7" t="str">
        <f>"C91/209"</f>
        <v>C91/209</v>
      </c>
    </row>
    <row r="75" customHeight="1" spans="1:6">
      <c r="A75" s="6">
        <v>74</v>
      </c>
      <c r="B75" s="8" t="s">
        <v>295</v>
      </c>
      <c r="C75" s="8" t="s">
        <v>296</v>
      </c>
      <c r="D75" s="8" t="s">
        <v>297</v>
      </c>
      <c r="E75" s="8" t="s">
        <v>298</v>
      </c>
      <c r="F75" s="8" t="s">
        <v>299</v>
      </c>
    </row>
    <row r="76" customHeight="1" spans="1:6">
      <c r="A76" s="6">
        <v>75</v>
      </c>
      <c r="B76" s="8" t="s">
        <v>295</v>
      </c>
      <c r="C76" s="8" t="s">
        <v>296</v>
      </c>
      <c r="D76" s="8" t="s">
        <v>297</v>
      </c>
      <c r="E76" s="8" t="s">
        <v>298</v>
      </c>
      <c r="F76" s="8" t="s">
        <v>299</v>
      </c>
    </row>
    <row r="77" customHeight="1" spans="1:6">
      <c r="A77" s="6">
        <v>76</v>
      </c>
      <c r="B77" s="7" t="str">
        <f t="shared" ref="B77:B79" si="7">"978-7-5642-3819-3"</f>
        <v>978-7-5642-3819-3</v>
      </c>
      <c r="C77" s="7" t="str">
        <f t="shared" ref="C77:C79" si="8">"社会统计与社会调查方法"</f>
        <v>社会统计与社会调查方法</v>
      </c>
      <c r="D77" s="7" t="str">
        <f t="shared" ref="D77:D79" si="9">"刘小锋， 赵盛卉， 叶露迪主编"</f>
        <v>刘小锋， 赵盛卉， 叶露迪主编</v>
      </c>
      <c r="E77" s="7" t="str">
        <f t="shared" ref="E77:E79" si="10">"上海财经大学出版社"</f>
        <v>上海财经大学出版社</v>
      </c>
      <c r="F77" s="7" t="str">
        <f t="shared" ref="F77:F79" si="11">"C91-03/23"</f>
        <v>C91-03/23</v>
      </c>
    </row>
    <row r="78" customHeight="1" spans="1:6">
      <c r="A78" s="6">
        <v>77</v>
      </c>
      <c r="B78" s="7" t="str">
        <f t="shared" si="7"/>
        <v>978-7-5642-3819-3</v>
      </c>
      <c r="C78" s="7" t="str">
        <f t="shared" si="8"/>
        <v>社会统计与社会调查方法</v>
      </c>
      <c r="D78" s="7" t="str">
        <f t="shared" si="9"/>
        <v>刘小锋， 赵盛卉， 叶露迪主编</v>
      </c>
      <c r="E78" s="7" t="str">
        <f t="shared" si="10"/>
        <v>上海财经大学出版社</v>
      </c>
      <c r="F78" s="7" t="str">
        <f t="shared" si="11"/>
        <v>C91-03/23</v>
      </c>
    </row>
    <row r="79" customHeight="1" spans="1:6">
      <c r="A79" s="6">
        <v>78</v>
      </c>
      <c r="B79" s="7" t="str">
        <f t="shared" si="7"/>
        <v>978-7-5642-3819-3</v>
      </c>
      <c r="C79" s="7" t="str">
        <f t="shared" si="8"/>
        <v>社会统计与社会调查方法</v>
      </c>
      <c r="D79" s="7" t="str">
        <f t="shared" si="9"/>
        <v>刘小锋， 赵盛卉， 叶露迪主编</v>
      </c>
      <c r="E79" s="7" t="str">
        <f t="shared" si="10"/>
        <v>上海财经大学出版社</v>
      </c>
      <c r="F79" s="7" t="str">
        <f t="shared" si="11"/>
        <v>C91-03/23</v>
      </c>
    </row>
    <row r="80" customHeight="1" spans="1:6">
      <c r="A80" s="6">
        <v>79</v>
      </c>
      <c r="B80" s="7" t="str">
        <f>"978-7-111-67996-7"</f>
        <v>978-7-111-67996-7</v>
      </c>
      <c r="C80" s="7" t="str">
        <f>"美德的起源：人类本能与协作的进化：human instincts and the evolution of cooperation"</f>
        <v>美德的起源：人类本能与协作的进化：human instincts and the evolution of cooperation</v>
      </c>
      <c r="D80" s="7" t="str">
        <f>"(英) 马特·里德利著Matt Ridley；吴礼敬译"</f>
        <v>(英) 马特·里德利著Matt Ridley；吴礼敬译</v>
      </c>
      <c r="E80" s="7" t="str">
        <f>"机械工业出版社"</f>
        <v>机械工业出版社</v>
      </c>
      <c r="F80" s="7" t="str">
        <f>"C912.1/1230"</f>
        <v>C912.1/1230</v>
      </c>
    </row>
    <row r="81" customHeight="1" spans="1:6">
      <c r="A81" s="6">
        <v>80</v>
      </c>
      <c r="B81" s="7" t="str">
        <f>"978-7-111-67996-7"</f>
        <v>978-7-111-67996-7</v>
      </c>
      <c r="C81" s="7" t="str">
        <f>"美德的起源：人类本能与协作的进化：human instincts and the evolution of cooperation"</f>
        <v>美德的起源：人类本能与协作的进化：human instincts and the evolution of cooperation</v>
      </c>
      <c r="D81" s="7" t="str">
        <f>"(英) 马特·里德利著Matt Ridley；吴礼敬译"</f>
        <v>(英) 马特·里德利著Matt Ridley；吴礼敬译</v>
      </c>
      <c r="E81" s="7" t="str">
        <f>"机械工业出版社"</f>
        <v>机械工业出版社</v>
      </c>
      <c r="F81" s="7" t="str">
        <f>"C912.1/1230"</f>
        <v>C912.1/1230</v>
      </c>
    </row>
    <row r="82" customHeight="1" spans="1:6">
      <c r="A82" s="6">
        <v>81</v>
      </c>
      <c r="B82" s="8" t="s">
        <v>300</v>
      </c>
      <c r="C82" s="8" t="s">
        <v>301</v>
      </c>
      <c r="D82" s="8" t="s">
        <v>302</v>
      </c>
      <c r="E82" s="8" t="s">
        <v>202</v>
      </c>
      <c r="F82" s="8" t="s">
        <v>303</v>
      </c>
    </row>
    <row r="83" customHeight="1" spans="1:6">
      <c r="A83" s="6">
        <v>82</v>
      </c>
      <c r="B83" s="8" t="s">
        <v>300</v>
      </c>
      <c r="C83" s="8" t="s">
        <v>301</v>
      </c>
      <c r="D83" s="8" t="s">
        <v>302</v>
      </c>
      <c r="E83" s="8" t="s">
        <v>202</v>
      </c>
      <c r="F83" s="8" t="s">
        <v>303</v>
      </c>
    </row>
    <row r="84" customHeight="1" spans="1:6">
      <c r="A84" s="6">
        <v>83</v>
      </c>
      <c r="B84" s="8" t="s">
        <v>304</v>
      </c>
      <c r="C84" s="8" t="s">
        <v>305</v>
      </c>
      <c r="D84" s="8" t="s">
        <v>306</v>
      </c>
      <c r="E84" s="8" t="s">
        <v>3</v>
      </c>
      <c r="F84" s="8" t="s">
        <v>307</v>
      </c>
    </row>
    <row r="85" customHeight="1" spans="1:6">
      <c r="A85" s="6">
        <v>84</v>
      </c>
      <c r="B85" s="8" t="s">
        <v>304</v>
      </c>
      <c r="C85" s="8" t="s">
        <v>305</v>
      </c>
      <c r="D85" s="8" t="s">
        <v>306</v>
      </c>
      <c r="E85" s="8" t="s">
        <v>3</v>
      </c>
      <c r="F85" s="8" t="s">
        <v>307</v>
      </c>
    </row>
    <row r="86" customHeight="1" spans="1:6">
      <c r="A86" s="6">
        <v>85</v>
      </c>
      <c r="B86" s="7" t="str">
        <f t="shared" ref="B86:B88" si="12">"978-7-5222-0051-4"</f>
        <v>978-7-5222-0051-4</v>
      </c>
      <c r="C86" s="7" t="str">
        <f t="shared" ref="C86:C88" si="13">"非暴力沟通"</f>
        <v>非暴力沟通</v>
      </c>
      <c r="D86" s="7" t="str">
        <f t="shared" ref="D86:D88" si="14">"(美) 马歇尔·卢森堡著Marshall B. Rosenberg；刘轶译"</f>
        <v>(美) 马歇尔·卢森堡著Marshall B. Rosenberg；刘轶译</v>
      </c>
      <c r="E86" s="7" t="str">
        <f t="shared" ref="E86:E88" si="15">"华夏出版社"</f>
        <v>华夏出版社</v>
      </c>
      <c r="F86" s="7" t="str">
        <f t="shared" ref="F86:F88" si="16">"C912.11/214.2=2D"</f>
        <v>C912.11/214.2=2D</v>
      </c>
    </row>
    <row r="87" customHeight="1" spans="1:6">
      <c r="A87" s="6">
        <v>86</v>
      </c>
      <c r="B87" s="7" t="str">
        <f t="shared" si="12"/>
        <v>978-7-5222-0051-4</v>
      </c>
      <c r="C87" s="7" t="str">
        <f t="shared" si="13"/>
        <v>非暴力沟通</v>
      </c>
      <c r="D87" s="7" t="str">
        <f t="shared" si="14"/>
        <v>(美) 马歇尔·卢森堡著Marshall B. Rosenberg；刘轶译</v>
      </c>
      <c r="E87" s="7" t="str">
        <f t="shared" si="15"/>
        <v>华夏出版社</v>
      </c>
      <c r="F87" s="7" t="str">
        <f t="shared" si="16"/>
        <v>C912.11/214.2=2D</v>
      </c>
    </row>
    <row r="88" customHeight="1" spans="1:6">
      <c r="A88" s="6">
        <v>87</v>
      </c>
      <c r="B88" s="7" t="str">
        <f t="shared" si="12"/>
        <v>978-7-5222-0051-4</v>
      </c>
      <c r="C88" s="7" t="str">
        <f t="shared" si="13"/>
        <v>非暴力沟通</v>
      </c>
      <c r="D88" s="7" t="str">
        <f t="shared" si="14"/>
        <v>(美) 马歇尔·卢森堡著Marshall B. Rosenberg；刘轶译</v>
      </c>
      <c r="E88" s="7" t="str">
        <f t="shared" si="15"/>
        <v>华夏出版社</v>
      </c>
      <c r="F88" s="7" t="str">
        <f t="shared" si="16"/>
        <v>C912.11/214.2=2D</v>
      </c>
    </row>
    <row r="89" customHeight="1" spans="1:6">
      <c r="A89" s="6">
        <v>88</v>
      </c>
      <c r="B89" s="7" t="str">
        <f t="shared" ref="B89:B91" si="17">"978-7-5158-3057-5"</f>
        <v>978-7-5158-3057-5</v>
      </c>
      <c r="C89" s="7" t="str">
        <f t="shared" ref="C89:C91" si="18">"办事的艺术"</f>
        <v>办事的艺术</v>
      </c>
      <c r="D89" s="7" t="str">
        <f t="shared" ref="D89:D91" si="19">"邢群麟， 姚迪雷编著"</f>
        <v>邢群麟， 姚迪雷编著</v>
      </c>
      <c r="E89" s="7" t="str">
        <f t="shared" ref="E89:E91" si="20">"中华工商联合出版社"</f>
        <v>中华工商联合出版社</v>
      </c>
      <c r="F89" s="7" t="str">
        <f t="shared" ref="F89:F91" si="21">"C912.11/257-2"</f>
        <v>C912.11/257-2</v>
      </c>
    </row>
    <row r="90" customHeight="1" spans="1:6">
      <c r="A90" s="6">
        <v>89</v>
      </c>
      <c r="B90" s="7" t="str">
        <f t="shared" si="17"/>
        <v>978-7-5158-3057-5</v>
      </c>
      <c r="C90" s="7" t="str">
        <f t="shared" si="18"/>
        <v>办事的艺术</v>
      </c>
      <c r="D90" s="7" t="str">
        <f t="shared" si="19"/>
        <v>邢群麟， 姚迪雷编著</v>
      </c>
      <c r="E90" s="7" t="str">
        <f t="shared" si="20"/>
        <v>中华工商联合出版社</v>
      </c>
      <c r="F90" s="7" t="str">
        <f t="shared" si="21"/>
        <v>C912.11/257-2</v>
      </c>
    </row>
    <row r="91" customHeight="1" spans="1:6">
      <c r="A91" s="6">
        <v>90</v>
      </c>
      <c r="B91" s="7" t="str">
        <f t="shared" si="17"/>
        <v>978-7-5158-3057-5</v>
      </c>
      <c r="C91" s="7" t="str">
        <f t="shared" si="18"/>
        <v>办事的艺术</v>
      </c>
      <c r="D91" s="7" t="str">
        <f t="shared" si="19"/>
        <v>邢群麟， 姚迪雷编著</v>
      </c>
      <c r="E91" s="7" t="str">
        <f t="shared" si="20"/>
        <v>中华工商联合出版社</v>
      </c>
      <c r="F91" s="7" t="str">
        <f t="shared" si="21"/>
        <v>C912.11/257-2</v>
      </c>
    </row>
    <row r="92" customHeight="1" spans="1:6">
      <c r="A92" s="6">
        <v>91</v>
      </c>
      <c r="B92" s="7" t="str">
        <f t="shared" ref="B92:B94" si="22">"978-7-5143-9206-7"</f>
        <v>978-7-5143-9206-7</v>
      </c>
      <c r="C92" s="7" t="str">
        <f t="shared" ref="C92:C94" si="23">"人际关系的重建：打造数字时代个人社交力"</f>
        <v>人际关系的重建：打造数字时代个人社交力</v>
      </c>
      <c r="D92" s="7" t="str">
        <f t="shared" ref="D92:D94" si="24">"(德) 托比亚斯·贝克著Tobias Beck；邹笃双译"</f>
        <v>(德) 托比亚斯·贝克著Tobias Beck；邹笃双译</v>
      </c>
      <c r="E92" s="7" t="str">
        <f t="shared" ref="E92:E94" si="25">"现代出版社"</f>
        <v>现代出版社</v>
      </c>
      <c r="F92" s="7" t="str">
        <f t="shared" ref="F92:F94" si="26">"C912.11/429"</f>
        <v>C912.11/429</v>
      </c>
    </row>
    <row r="93" customHeight="1" spans="1:6">
      <c r="A93" s="6">
        <v>92</v>
      </c>
      <c r="B93" s="7" t="str">
        <f t="shared" si="22"/>
        <v>978-7-5143-9206-7</v>
      </c>
      <c r="C93" s="7" t="str">
        <f t="shared" si="23"/>
        <v>人际关系的重建：打造数字时代个人社交力</v>
      </c>
      <c r="D93" s="7" t="str">
        <f t="shared" si="24"/>
        <v>(德) 托比亚斯·贝克著Tobias Beck；邹笃双译</v>
      </c>
      <c r="E93" s="7" t="str">
        <f t="shared" si="25"/>
        <v>现代出版社</v>
      </c>
      <c r="F93" s="7" t="str">
        <f t="shared" si="26"/>
        <v>C912.11/429</v>
      </c>
    </row>
    <row r="94" customHeight="1" spans="1:6">
      <c r="A94" s="6">
        <v>93</v>
      </c>
      <c r="B94" s="7" t="str">
        <f t="shared" si="22"/>
        <v>978-7-5143-9206-7</v>
      </c>
      <c r="C94" s="7" t="str">
        <f t="shared" si="23"/>
        <v>人际关系的重建：打造数字时代个人社交力</v>
      </c>
      <c r="D94" s="7" t="str">
        <f t="shared" si="24"/>
        <v>(德) 托比亚斯·贝克著Tobias Beck；邹笃双译</v>
      </c>
      <c r="E94" s="7" t="str">
        <f t="shared" si="25"/>
        <v>现代出版社</v>
      </c>
      <c r="F94" s="7" t="str">
        <f t="shared" si="26"/>
        <v>C912.11/429</v>
      </c>
    </row>
    <row r="95" customHeight="1" spans="1:6">
      <c r="A95" s="6">
        <v>94</v>
      </c>
      <c r="B95" s="7" t="str">
        <f t="shared" ref="B95:B97" si="27">"978-7-5222-0031-6"</f>
        <v>978-7-5222-0031-6</v>
      </c>
      <c r="C95" s="7" t="str">
        <f t="shared" ref="C95:C97" si="28">"非暴力沟通．组织应用篇"</f>
        <v>非暴力沟通．组织应用篇</v>
      </c>
      <c r="D95" s="7" t="str">
        <f t="shared" ref="D95:D97" si="29">"(美) 宫代玛莉著；李夏译"</f>
        <v>(美) 宫代玛莉著；李夏译</v>
      </c>
      <c r="E95" s="7" t="str">
        <f t="shared" ref="E95:E97" si="30">"华夏出版社"</f>
        <v>华夏出版社</v>
      </c>
      <c r="F95" s="7" t="str">
        <f t="shared" ref="F95:F97" si="31">"C912.11/430"</f>
        <v>C912.11/430</v>
      </c>
    </row>
    <row r="96" customHeight="1" spans="1:6">
      <c r="A96" s="6">
        <v>95</v>
      </c>
      <c r="B96" s="7" t="str">
        <f t="shared" si="27"/>
        <v>978-7-5222-0031-6</v>
      </c>
      <c r="C96" s="7" t="str">
        <f t="shared" si="28"/>
        <v>非暴力沟通．组织应用篇</v>
      </c>
      <c r="D96" s="7" t="str">
        <f t="shared" si="29"/>
        <v>(美) 宫代玛莉著；李夏译</v>
      </c>
      <c r="E96" s="7" t="str">
        <f t="shared" si="30"/>
        <v>华夏出版社</v>
      </c>
      <c r="F96" s="7" t="str">
        <f t="shared" si="31"/>
        <v>C912.11/430</v>
      </c>
    </row>
    <row r="97" customHeight="1" spans="1:6">
      <c r="A97" s="6">
        <v>96</v>
      </c>
      <c r="B97" s="7" t="str">
        <f t="shared" si="27"/>
        <v>978-7-5222-0031-6</v>
      </c>
      <c r="C97" s="7" t="str">
        <f t="shared" si="28"/>
        <v>非暴力沟通．组织应用篇</v>
      </c>
      <c r="D97" s="7" t="str">
        <f t="shared" si="29"/>
        <v>(美) 宫代玛莉著；李夏译</v>
      </c>
      <c r="E97" s="7" t="str">
        <f t="shared" si="30"/>
        <v>华夏出版社</v>
      </c>
      <c r="F97" s="7" t="str">
        <f t="shared" si="31"/>
        <v>C912.11/430</v>
      </c>
    </row>
    <row r="98" customHeight="1" spans="1:6">
      <c r="A98" s="6">
        <v>97</v>
      </c>
      <c r="B98" s="8" t="s">
        <v>308</v>
      </c>
      <c r="C98" s="8" t="s">
        <v>309</v>
      </c>
      <c r="D98" s="8" t="s">
        <v>310</v>
      </c>
      <c r="E98" s="8" t="s">
        <v>311</v>
      </c>
      <c r="F98" s="8" t="s">
        <v>312</v>
      </c>
    </row>
    <row r="99" customHeight="1" spans="1:6">
      <c r="A99" s="6">
        <v>98</v>
      </c>
      <c r="B99" s="8" t="s">
        <v>308</v>
      </c>
      <c r="C99" s="8" t="s">
        <v>309</v>
      </c>
      <c r="D99" s="8" t="s">
        <v>310</v>
      </c>
      <c r="E99" s="8" t="s">
        <v>311</v>
      </c>
      <c r="F99" s="8" t="s">
        <v>312</v>
      </c>
    </row>
    <row r="100" customHeight="1" spans="1:6">
      <c r="A100" s="6">
        <v>99</v>
      </c>
      <c r="B100" s="8" t="s">
        <v>313</v>
      </c>
      <c r="C100" s="8" t="s">
        <v>314</v>
      </c>
      <c r="D100" s="8" t="s">
        <v>315</v>
      </c>
      <c r="E100" s="8" t="s">
        <v>316</v>
      </c>
      <c r="F100" s="8" t="s">
        <v>317</v>
      </c>
    </row>
    <row r="101" customHeight="1" spans="1:6">
      <c r="A101" s="6">
        <v>100</v>
      </c>
      <c r="B101" s="8" t="s">
        <v>313</v>
      </c>
      <c r="C101" s="8" t="s">
        <v>314</v>
      </c>
      <c r="D101" s="8" t="s">
        <v>315</v>
      </c>
      <c r="E101" s="8" t="s">
        <v>316</v>
      </c>
      <c r="F101" s="8" t="s">
        <v>317</v>
      </c>
    </row>
    <row r="102" customHeight="1" spans="1:6">
      <c r="A102" s="6">
        <v>101</v>
      </c>
      <c r="B102" s="8" t="s">
        <v>313</v>
      </c>
      <c r="C102" s="8" t="s">
        <v>314</v>
      </c>
      <c r="D102" s="8" t="s">
        <v>315</v>
      </c>
      <c r="E102" s="8" t="s">
        <v>316</v>
      </c>
      <c r="F102" s="8" t="s">
        <v>317</v>
      </c>
    </row>
    <row r="103" customHeight="1" spans="1:6">
      <c r="A103" s="6">
        <v>102</v>
      </c>
      <c r="B103" s="8" t="s">
        <v>318</v>
      </c>
      <c r="C103" s="8" t="s">
        <v>319</v>
      </c>
      <c r="D103" s="8" t="s">
        <v>320</v>
      </c>
      <c r="E103" s="8" t="s">
        <v>321</v>
      </c>
      <c r="F103" s="8" t="s">
        <v>322</v>
      </c>
    </row>
    <row r="104" customHeight="1" spans="1:6">
      <c r="A104" s="6">
        <v>103</v>
      </c>
      <c r="B104" s="8" t="s">
        <v>318</v>
      </c>
      <c r="C104" s="8" t="s">
        <v>319</v>
      </c>
      <c r="D104" s="8" t="s">
        <v>320</v>
      </c>
      <c r="E104" s="8" t="s">
        <v>321</v>
      </c>
      <c r="F104" s="8" t="s">
        <v>322</v>
      </c>
    </row>
    <row r="105" customHeight="1" spans="1:6">
      <c r="A105" s="6">
        <v>104</v>
      </c>
      <c r="B105" s="8" t="s">
        <v>318</v>
      </c>
      <c r="C105" s="8" t="s">
        <v>319</v>
      </c>
      <c r="D105" s="8" t="s">
        <v>320</v>
      </c>
      <c r="E105" s="8" t="s">
        <v>321</v>
      </c>
      <c r="F105" s="8" t="s">
        <v>322</v>
      </c>
    </row>
    <row r="106" customHeight="1" spans="1:6">
      <c r="A106" s="6">
        <v>105</v>
      </c>
      <c r="B106" s="8" t="s">
        <v>323</v>
      </c>
      <c r="C106" s="8" t="s">
        <v>324</v>
      </c>
      <c r="D106" s="8" t="s">
        <v>325</v>
      </c>
      <c r="E106" s="8" t="s">
        <v>202</v>
      </c>
      <c r="F106" s="8" t="s">
        <v>326</v>
      </c>
    </row>
    <row r="107" customHeight="1" spans="1:6">
      <c r="A107" s="6">
        <v>106</v>
      </c>
      <c r="B107" s="8" t="s">
        <v>323</v>
      </c>
      <c r="C107" s="8" t="s">
        <v>324</v>
      </c>
      <c r="D107" s="8" t="s">
        <v>325</v>
      </c>
      <c r="E107" s="8" t="s">
        <v>202</v>
      </c>
      <c r="F107" s="8" t="s">
        <v>326</v>
      </c>
    </row>
    <row r="108" customHeight="1" spans="1:6">
      <c r="A108" s="6">
        <v>107</v>
      </c>
      <c r="B108" s="8" t="s">
        <v>327</v>
      </c>
      <c r="C108" s="8" t="s">
        <v>328</v>
      </c>
      <c r="D108" s="8" t="s">
        <v>329</v>
      </c>
      <c r="E108" s="8" t="s">
        <v>330</v>
      </c>
      <c r="F108" s="8" t="s">
        <v>331</v>
      </c>
    </row>
    <row r="109" customHeight="1" spans="1:6">
      <c r="A109" s="6">
        <v>108</v>
      </c>
      <c r="B109" s="8" t="s">
        <v>327</v>
      </c>
      <c r="C109" s="8" t="s">
        <v>328</v>
      </c>
      <c r="D109" s="8" t="s">
        <v>329</v>
      </c>
      <c r="E109" s="8" t="s">
        <v>330</v>
      </c>
      <c r="F109" s="8" t="s">
        <v>331</v>
      </c>
    </row>
    <row r="110" customHeight="1" spans="1:6">
      <c r="A110" s="6">
        <v>109</v>
      </c>
      <c r="B110" s="8" t="s">
        <v>327</v>
      </c>
      <c r="C110" s="8" t="s">
        <v>328</v>
      </c>
      <c r="D110" s="8" t="s">
        <v>329</v>
      </c>
      <c r="E110" s="8" t="s">
        <v>330</v>
      </c>
      <c r="F110" s="8" t="s">
        <v>331</v>
      </c>
    </row>
    <row r="111" customHeight="1" spans="1:6">
      <c r="A111" s="6">
        <v>110</v>
      </c>
      <c r="B111" s="8" t="s">
        <v>332</v>
      </c>
      <c r="C111" s="8" t="s">
        <v>333</v>
      </c>
      <c r="D111" s="8" t="s">
        <v>334</v>
      </c>
      <c r="E111" s="8" t="s">
        <v>335</v>
      </c>
      <c r="F111" s="8" t="s">
        <v>336</v>
      </c>
    </row>
    <row r="112" customHeight="1" spans="1:6">
      <c r="A112" s="6">
        <v>111</v>
      </c>
      <c r="B112" s="8" t="s">
        <v>332</v>
      </c>
      <c r="C112" s="8" t="s">
        <v>333</v>
      </c>
      <c r="D112" s="8" t="s">
        <v>334</v>
      </c>
      <c r="E112" s="8" t="s">
        <v>335</v>
      </c>
      <c r="F112" s="8" t="s">
        <v>336</v>
      </c>
    </row>
    <row r="113" customHeight="1" spans="1:6">
      <c r="A113" s="6">
        <v>112</v>
      </c>
      <c r="B113" s="8" t="s">
        <v>332</v>
      </c>
      <c r="C113" s="8" t="s">
        <v>333</v>
      </c>
      <c r="D113" s="8" t="s">
        <v>334</v>
      </c>
      <c r="E113" s="8" t="s">
        <v>335</v>
      </c>
      <c r="F113" s="8" t="s">
        <v>336</v>
      </c>
    </row>
    <row r="114" customHeight="1" spans="1:6">
      <c r="A114" s="6">
        <v>113</v>
      </c>
      <c r="B114" s="8" t="s">
        <v>337</v>
      </c>
      <c r="C114" s="8" t="s">
        <v>338</v>
      </c>
      <c r="D114" s="8" t="s">
        <v>339</v>
      </c>
      <c r="E114" s="8" t="s">
        <v>340</v>
      </c>
      <c r="F114" s="8" t="s">
        <v>341</v>
      </c>
    </row>
    <row r="115" customHeight="1" spans="1:6">
      <c r="A115" s="6">
        <v>114</v>
      </c>
      <c r="B115" s="8" t="s">
        <v>337</v>
      </c>
      <c r="C115" s="8" t="s">
        <v>338</v>
      </c>
      <c r="D115" s="8" t="s">
        <v>339</v>
      </c>
      <c r="E115" s="8" t="s">
        <v>340</v>
      </c>
      <c r="F115" s="8" t="s">
        <v>341</v>
      </c>
    </row>
    <row r="116" customHeight="1" spans="1:6">
      <c r="A116" s="6">
        <v>115</v>
      </c>
      <c r="B116" s="8" t="s">
        <v>342</v>
      </c>
      <c r="C116" s="8" t="s">
        <v>343</v>
      </c>
      <c r="D116" s="8" t="s">
        <v>344</v>
      </c>
      <c r="E116" s="8" t="s">
        <v>345</v>
      </c>
      <c r="F116" s="8" t="s">
        <v>346</v>
      </c>
    </row>
    <row r="117" customHeight="1" spans="1:6">
      <c r="A117" s="6">
        <v>116</v>
      </c>
      <c r="B117" s="8" t="s">
        <v>342</v>
      </c>
      <c r="C117" s="8" t="s">
        <v>343</v>
      </c>
      <c r="D117" s="8" t="s">
        <v>344</v>
      </c>
      <c r="E117" s="8" t="s">
        <v>345</v>
      </c>
      <c r="F117" s="8" t="s">
        <v>346</v>
      </c>
    </row>
    <row r="118" customHeight="1" spans="1:6">
      <c r="A118" s="6">
        <v>117</v>
      </c>
      <c r="B118" s="8" t="s">
        <v>347</v>
      </c>
      <c r="C118" s="8" t="s">
        <v>348</v>
      </c>
      <c r="D118" s="8" t="s">
        <v>349</v>
      </c>
      <c r="E118" s="8" t="s">
        <v>350</v>
      </c>
      <c r="F118" s="8" t="s">
        <v>351</v>
      </c>
    </row>
    <row r="119" customHeight="1" spans="1:6">
      <c r="A119" s="6">
        <v>118</v>
      </c>
      <c r="B119" s="8" t="s">
        <v>347</v>
      </c>
      <c r="C119" s="8" t="s">
        <v>348</v>
      </c>
      <c r="D119" s="8" t="s">
        <v>349</v>
      </c>
      <c r="E119" s="8" t="s">
        <v>350</v>
      </c>
      <c r="F119" s="8" t="s">
        <v>351</v>
      </c>
    </row>
    <row r="120" customHeight="1" spans="1:6">
      <c r="A120" s="6">
        <v>119</v>
      </c>
      <c r="B120" s="8" t="s">
        <v>347</v>
      </c>
      <c r="C120" s="8" t="s">
        <v>348</v>
      </c>
      <c r="D120" s="8" t="s">
        <v>349</v>
      </c>
      <c r="E120" s="8" t="s">
        <v>350</v>
      </c>
      <c r="F120" s="8" t="s">
        <v>351</v>
      </c>
    </row>
    <row r="121" customHeight="1" spans="1:6">
      <c r="A121" s="6">
        <v>120</v>
      </c>
      <c r="B121" s="8" t="s">
        <v>352</v>
      </c>
      <c r="C121" s="8" t="s">
        <v>353</v>
      </c>
      <c r="D121" s="8" t="s">
        <v>354</v>
      </c>
      <c r="E121" s="8" t="s">
        <v>355</v>
      </c>
      <c r="F121" s="8" t="s">
        <v>356</v>
      </c>
    </row>
    <row r="122" customHeight="1" spans="1:6">
      <c r="A122" s="6">
        <v>121</v>
      </c>
      <c r="B122" s="8" t="s">
        <v>352</v>
      </c>
      <c r="C122" s="8" t="s">
        <v>353</v>
      </c>
      <c r="D122" s="8" t="s">
        <v>354</v>
      </c>
      <c r="E122" s="8" t="s">
        <v>355</v>
      </c>
      <c r="F122" s="8" t="s">
        <v>356</v>
      </c>
    </row>
    <row r="123" customHeight="1" spans="1:6">
      <c r="A123" s="6">
        <v>122</v>
      </c>
      <c r="B123" s="8" t="s">
        <v>352</v>
      </c>
      <c r="C123" s="8" t="s">
        <v>353</v>
      </c>
      <c r="D123" s="8" t="s">
        <v>354</v>
      </c>
      <c r="E123" s="8" t="s">
        <v>355</v>
      </c>
      <c r="F123" s="8" t="s">
        <v>356</v>
      </c>
    </row>
    <row r="124" customHeight="1" spans="1:6">
      <c r="A124" s="6">
        <v>123</v>
      </c>
      <c r="B124" s="8" t="s">
        <v>357</v>
      </c>
      <c r="C124" s="8" t="s">
        <v>358</v>
      </c>
      <c r="D124" s="8" t="s">
        <v>359</v>
      </c>
      <c r="E124" s="8" t="s">
        <v>360</v>
      </c>
      <c r="F124" s="8" t="s">
        <v>361</v>
      </c>
    </row>
    <row r="125" customHeight="1" spans="1:6">
      <c r="A125" s="6">
        <v>124</v>
      </c>
      <c r="B125" s="8" t="s">
        <v>357</v>
      </c>
      <c r="C125" s="8" t="s">
        <v>358</v>
      </c>
      <c r="D125" s="8" t="s">
        <v>359</v>
      </c>
      <c r="E125" s="8" t="s">
        <v>360</v>
      </c>
      <c r="F125" s="8" t="s">
        <v>361</v>
      </c>
    </row>
    <row r="126" customHeight="1" spans="1:6">
      <c r="A126" s="6">
        <v>125</v>
      </c>
      <c r="B126" s="8" t="s">
        <v>357</v>
      </c>
      <c r="C126" s="8" t="s">
        <v>358</v>
      </c>
      <c r="D126" s="8" t="s">
        <v>359</v>
      </c>
      <c r="E126" s="8" t="s">
        <v>360</v>
      </c>
      <c r="F126" s="8" t="s">
        <v>361</v>
      </c>
    </row>
    <row r="127" customHeight="1" spans="1:6">
      <c r="A127" s="6">
        <v>126</v>
      </c>
      <c r="B127" s="8" t="s">
        <v>362</v>
      </c>
      <c r="C127" s="8" t="s">
        <v>363</v>
      </c>
      <c r="D127" s="8" t="s">
        <v>364</v>
      </c>
      <c r="E127" s="8" t="s">
        <v>365</v>
      </c>
      <c r="F127" s="8" t="s">
        <v>366</v>
      </c>
    </row>
    <row r="128" customHeight="1" spans="1:6">
      <c r="A128" s="6">
        <v>127</v>
      </c>
      <c r="B128" s="8" t="s">
        <v>362</v>
      </c>
      <c r="C128" s="8" t="s">
        <v>363</v>
      </c>
      <c r="D128" s="8" t="s">
        <v>364</v>
      </c>
      <c r="E128" s="8" t="s">
        <v>365</v>
      </c>
      <c r="F128" s="8" t="s">
        <v>366</v>
      </c>
    </row>
    <row r="129" customHeight="1" spans="1:6">
      <c r="A129" s="6">
        <v>128</v>
      </c>
      <c r="B129" s="8" t="s">
        <v>362</v>
      </c>
      <c r="C129" s="8" t="s">
        <v>363</v>
      </c>
      <c r="D129" s="8" t="s">
        <v>364</v>
      </c>
      <c r="E129" s="8" t="s">
        <v>365</v>
      </c>
      <c r="F129" s="8" t="s">
        <v>366</v>
      </c>
    </row>
    <row r="130" customHeight="1" spans="1:6">
      <c r="A130" s="6">
        <v>129</v>
      </c>
      <c r="B130" s="8" t="s">
        <v>367</v>
      </c>
      <c r="C130" s="8" t="s">
        <v>368</v>
      </c>
      <c r="D130" s="8" t="s">
        <v>369</v>
      </c>
      <c r="E130" s="8" t="s">
        <v>370</v>
      </c>
      <c r="F130" s="8" t="s">
        <v>371</v>
      </c>
    </row>
    <row r="131" customHeight="1" spans="1:6">
      <c r="A131" s="6">
        <v>130</v>
      </c>
      <c r="B131" s="8" t="s">
        <v>367</v>
      </c>
      <c r="C131" s="8" t="s">
        <v>368</v>
      </c>
      <c r="D131" s="8" t="s">
        <v>369</v>
      </c>
      <c r="E131" s="8" t="s">
        <v>370</v>
      </c>
      <c r="F131" s="8" t="s">
        <v>371</v>
      </c>
    </row>
    <row r="132" customHeight="1" spans="1:6">
      <c r="A132" s="6">
        <v>131</v>
      </c>
      <c r="B132" s="8" t="s">
        <v>367</v>
      </c>
      <c r="C132" s="8" t="s">
        <v>368</v>
      </c>
      <c r="D132" s="8" t="s">
        <v>369</v>
      </c>
      <c r="E132" s="8" t="s">
        <v>370</v>
      </c>
      <c r="F132" s="8" t="s">
        <v>371</v>
      </c>
    </row>
    <row r="133" customHeight="1" spans="1:6">
      <c r="A133" s="6">
        <v>132</v>
      </c>
      <c r="B133" s="8" t="s">
        <v>372</v>
      </c>
      <c r="C133" s="8" t="s">
        <v>373</v>
      </c>
      <c r="D133" s="8" t="s">
        <v>374</v>
      </c>
      <c r="E133" s="8" t="s">
        <v>375</v>
      </c>
      <c r="F133" s="8" t="s">
        <v>376</v>
      </c>
    </row>
    <row r="134" customHeight="1" spans="1:6">
      <c r="A134" s="6">
        <v>133</v>
      </c>
      <c r="B134" s="8" t="s">
        <v>372</v>
      </c>
      <c r="C134" s="8" t="s">
        <v>373</v>
      </c>
      <c r="D134" s="8" t="s">
        <v>374</v>
      </c>
      <c r="E134" s="8" t="s">
        <v>375</v>
      </c>
      <c r="F134" s="8" t="s">
        <v>376</v>
      </c>
    </row>
    <row r="135" customHeight="1" spans="1:6">
      <c r="A135" s="6">
        <v>134</v>
      </c>
      <c r="B135" s="8" t="s">
        <v>377</v>
      </c>
      <c r="C135" s="8" t="s">
        <v>378</v>
      </c>
      <c r="D135" s="8" t="s">
        <v>379</v>
      </c>
      <c r="E135" s="8" t="s">
        <v>380</v>
      </c>
      <c r="F135" s="8" t="s">
        <v>381</v>
      </c>
    </row>
    <row r="136" customHeight="1" spans="1:6">
      <c r="A136" s="6">
        <v>135</v>
      </c>
      <c r="B136" s="8" t="s">
        <v>377</v>
      </c>
      <c r="C136" s="8" t="s">
        <v>378</v>
      </c>
      <c r="D136" s="8" t="s">
        <v>379</v>
      </c>
      <c r="E136" s="8" t="s">
        <v>380</v>
      </c>
      <c r="F136" s="8" t="s">
        <v>381</v>
      </c>
    </row>
    <row r="137" customHeight="1" spans="1:6">
      <c r="A137" s="6">
        <v>136</v>
      </c>
      <c r="B137" s="8" t="s">
        <v>382</v>
      </c>
      <c r="C137" s="8" t="s">
        <v>383</v>
      </c>
      <c r="D137" s="8" t="s">
        <v>384</v>
      </c>
      <c r="E137" s="8" t="s">
        <v>385</v>
      </c>
      <c r="F137" s="8" t="s">
        <v>386</v>
      </c>
    </row>
    <row r="138" customHeight="1" spans="1:6">
      <c r="A138" s="6">
        <v>137</v>
      </c>
      <c r="B138" s="8" t="s">
        <v>382</v>
      </c>
      <c r="C138" s="8" t="s">
        <v>383</v>
      </c>
      <c r="D138" s="8" t="s">
        <v>384</v>
      </c>
      <c r="E138" s="8" t="s">
        <v>385</v>
      </c>
      <c r="F138" s="8" t="s">
        <v>386</v>
      </c>
    </row>
    <row r="139" customHeight="1" spans="1:6">
      <c r="A139" s="6">
        <v>138</v>
      </c>
      <c r="B139" s="8" t="s">
        <v>387</v>
      </c>
      <c r="C139" s="8" t="s">
        <v>388</v>
      </c>
      <c r="D139" s="8" t="s">
        <v>389</v>
      </c>
      <c r="E139" s="8" t="s">
        <v>288</v>
      </c>
      <c r="F139" s="8" t="s">
        <v>390</v>
      </c>
    </row>
    <row r="140" customHeight="1" spans="1:6">
      <c r="A140" s="6">
        <v>139</v>
      </c>
      <c r="B140" s="8" t="s">
        <v>387</v>
      </c>
      <c r="C140" s="8" t="s">
        <v>388</v>
      </c>
      <c r="D140" s="8" t="s">
        <v>389</v>
      </c>
      <c r="E140" s="8" t="s">
        <v>288</v>
      </c>
      <c r="F140" s="8" t="s">
        <v>390</v>
      </c>
    </row>
    <row r="141" customHeight="1" spans="1:6">
      <c r="A141" s="6">
        <v>140</v>
      </c>
      <c r="B141" s="8" t="s">
        <v>391</v>
      </c>
      <c r="C141" s="8" t="s">
        <v>392</v>
      </c>
      <c r="D141" s="8" t="s">
        <v>393</v>
      </c>
      <c r="E141" s="8" t="s">
        <v>48</v>
      </c>
      <c r="F141" s="8" t="s">
        <v>394</v>
      </c>
    </row>
    <row r="142" customHeight="1" spans="1:6">
      <c r="A142" s="6">
        <v>141</v>
      </c>
      <c r="B142" s="8" t="s">
        <v>391</v>
      </c>
      <c r="C142" s="8" t="s">
        <v>392</v>
      </c>
      <c r="D142" s="8" t="s">
        <v>393</v>
      </c>
      <c r="E142" s="8" t="s">
        <v>48</v>
      </c>
      <c r="F142" s="8" t="s">
        <v>394</v>
      </c>
    </row>
    <row r="143" customHeight="1" spans="1:6">
      <c r="A143" s="6">
        <v>142</v>
      </c>
      <c r="B143" s="7" t="str">
        <f>"978-7-220-12045-9"</f>
        <v>978-7-220-12045-9</v>
      </c>
      <c r="C143" s="7" t="str">
        <f>"如何与重要人物社交"</f>
        <v>如何与重要人物社交</v>
      </c>
      <c r="D143" s="7" t="str">
        <f>"(美) 利娅·伯曼， 杰里米·伯纳德著Lea Berman， Jeremy Bernard；文家欣译"</f>
        <v>(美) 利娅·伯曼， 杰里米·伯纳德著Lea Berman， Jeremy Bernard；文家欣译</v>
      </c>
      <c r="E143" s="7" t="str">
        <f>"四川人民出版社"</f>
        <v>四川人民出版社</v>
      </c>
      <c r="F143" s="7" t="str">
        <f>"C912.3/338"</f>
        <v>C912.3/338</v>
      </c>
    </row>
    <row r="144" customHeight="1" spans="1:6">
      <c r="A144" s="6">
        <v>143</v>
      </c>
      <c r="B144" s="7" t="str">
        <f>"978-7-220-12045-9"</f>
        <v>978-7-220-12045-9</v>
      </c>
      <c r="C144" s="7" t="str">
        <f>"如何与重要人物社交"</f>
        <v>如何与重要人物社交</v>
      </c>
      <c r="D144" s="7" t="str">
        <f>"(美) 利娅·伯曼， 杰里米·伯纳德著Lea Berman， Jeremy Bernard；文家欣译"</f>
        <v>(美) 利娅·伯曼， 杰里米·伯纳德著Lea Berman， Jeremy Bernard；文家欣译</v>
      </c>
      <c r="E144" s="7" t="str">
        <f>"四川人民出版社"</f>
        <v>四川人民出版社</v>
      </c>
      <c r="F144" s="7" t="str">
        <f>"C912.3/338"</f>
        <v>C912.3/338</v>
      </c>
    </row>
    <row r="145" customHeight="1" spans="1:6">
      <c r="A145" s="6">
        <v>144</v>
      </c>
      <c r="B145" s="8" t="s">
        <v>395</v>
      </c>
      <c r="C145" s="8" t="s">
        <v>396</v>
      </c>
      <c r="D145" s="8" t="s">
        <v>397</v>
      </c>
      <c r="E145" s="8" t="s">
        <v>288</v>
      </c>
      <c r="F145" s="8" t="s">
        <v>398</v>
      </c>
    </row>
    <row r="146" customHeight="1" spans="1:6">
      <c r="A146" s="6">
        <v>145</v>
      </c>
      <c r="B146" s="8" t="s">
        <v>395</v>
      </c>
      <c r="C146" s="8" t="s">
        <v>396</v>
      </c>
      <c r="D146" s="8" t="s">
        <v>397</v>
      </c>
      <c r="E146" s="8" t="s">
        <v>288</v>
      </c>
      <c r="F146" s="8" t="s">
        <v>398</v>
      </c>
    </row>
    <row r="147" customHeight="1" spans="1:6">
      <c r="A147" s="6">
        <v>146</v>
      </c>
      <c r="B147" s="8" t="s">
        <v>399</v>
      </c>
      <c r="C147" s="8" t="s">
        <v>400</v>
      </c>
      <c r="D147" s="8" t="s">
        <v>401</v>
      </c>
      <c r="E147" s="8" t="s">
        <v>402</v>
      </c>
      <c r="F147" s="8" t="s">
        <v>403</v>
      </c>
    </row>
    <row r="148" customHeight="1" spans="1:6">
      <c r="A148" s="6">
        <v>147</v>
      </c>
      <c r="B148" s="8" t="s">
        <v>399</v>
      </c>
      <c r="C148" s="8" t="s">
        <v>400</v>
      </c>
      <c r="D148" s="8" t="s">
        <v>401</v>
      </c>
      <c r="E148" s="8" t="s">
        <v>402</v>
      </c>
      <c r="F148" s="8" t="s">
        <v>403</v>
      </c>
    </row>
    <row r="149" customHeight="1" spans="1:6">
      <c r="A149" s="6">
        <v>148</v>
      </c>
      <c r="B149" s="8" t="s">
        <v>399</v>
      </c>
      <c r="C149" s="8" t="s">
        <v>400</v>
      </c>
      <c r="D149" s="8" t="s">
        <v>401</v>
      </c>
      <c r="E149" s="8" t="s">
        <v>402</v>
      </c>
      <c r="F149" s="8" t="s">
        <v>403</v>
      </c>
    </row>
    <row r="150" customHeight="1" spans="1:6">
      <c r="A150" s="6">
        <v>149</v>
      </c>
      <c r="B150" s="8" t="s">
        <v>404</v>
      </c>
      <c r="C150" s="8" t="s">
        <v>405</v>
      </c>
      <c r="D150" s="8" t="s">
        <v>406</v>
      </c>
      <c r="E150" s="8" t="s">
        <v>345</v>
      </c>
      <c r="F150" s="8" t="s">
        <v>407</v>
      </c>
    </row>
    <row r="151" customHeight="1" spans="1:6">
      <c r="A151" s="6">
        <v>150</v>
      </c>
      <c r="B151" s="8" t="s">
        <v>404</v>
      </c>
      <c r="C151" s="8" t="s">
        <v>405</v>
      </c>
      <c r="D151" s="8" t="s">
        <v>406</v>
      </c>
      <c r="E151" s="8" t="s">
        <v>345</v>
      </c>
      <c r="F151" s="8" t="s">
        <v>407</v>
      </c>
    </row>
    <row r="152" customHeight="1" spans="1:6">
      <c r="A152" s="6">
        <v>151</v>
      </c>
      <c r="B152" s="8" t="s">
        <v>404</v>
      </c>
      <c r="C152" s="8" t="s">
        <v>405</v>
      </c>
      <c r="D152" s="8" t="s">
        <v>406</v>
      </c>
      <c r="E152" s="8" t="s">
        <v>345</v>
      </c>
      <c r="F152" s="8" t="s">
        <v>407</v>
      </c>
    </row>
    <row r="153" customHeight="1" spans="1:6">
      <c r="A153" s="6">
        <v>152</v>
      </c>
      <c r="B153" s="7" t="str">
        <f>"978-7-300-27135-4"</f>
        <v>978-7-300-27135-4</v>
      </c>
      <c r="C153" s="7" t="str">
        <f>"公共关系：理论、实务与技巧"</f>
        <v>公共关系：理论、实务与技巧</v>
      </c>
      <c r="D153" s="7" t="str">
        <f>"周安华编著"</f>
        <v>周安华编著</v>
      </c>
      <c r="E153" s="7" t="str">
        <f>"中国人民大学出版社"</f>
        <v>中国人民大学出版社</v>
      </c>
      <c r="F153" s="7" t="str">
        <f>"C912.3/74=6D"</f>
        <v>C912.3/74=6D</v>
      </c>
    </row>
    <row r="154" customHeight="1" spans="1:6">
      <c r="A154" s="6">
        <v>153</v>
      </c>
      <c r="B154" s="7" t="str">
        <f>"978-7-300-27135-4"</f>
        <v>978-7-300-27135-4</v>
      </c>
      <c r="C154" s="7" t="str">
        <f>"公共关系：理论、实务与技巧"</f>
        <v>公共关系：理论、实务与技巧</v>
      </c>
      <c r="D154" s="7" t="str">
        <f>"周安华编著"</f>
        <v>周安华编著</v>
      </c>
      <c r="E154" s="7" t="str">
        <f>"中国人民大学出版社"</f>
        <v>中国人民大学出版社</v>
      </c>
      <c r="F154" s="7" t="str">
        <f>"C912.3/74=6D"</f>
        <v>C912.3/74=6D</v>
      </c>
    </row>
    <row r="155" customHeight="1" spans="1:6">
      <c r="A155" s="6">
        <v>154</v>
      </c>
      <c r="B155" s="7" t="str">
        <f t="shared" ref="B155:B157" si="32">"978-7-111-68813-6"</f>
        <v>978-7-111-68813-6</v>
      </c>
      <c r="C155" s="7" t="str">
        <f t="shared" ref="C155:C157" si="33">"公共关系学"</f>
        <v>公共关系学</v>
      </c>
      <c r="D155" s="7" t="str">
        <f t="shared" ref="D155:D157" si="34">"主编束亚弟， 陈小桃"</f>
        <v>主编束亚弟， 陈小桃</v>
      </c>
      <c r="E155" s="7" t="str">
        <f t="shared" ref="E155:E157" si="35">"机械工业出版社"</f>
        <v>机械工业出版社</v>
      </c>
      <c r="F155" s="7" t="str">
        <f t="shared" ref="F155:F157" si="36">"C912.31/61=2D"</f>
        <v>C912.31/61=2D</v>
      </c>
    </row>
    <row r="156" customHeight="1" spans="1:6">
      <c r="A156" s="6">
        <v>155</v>
      </c>
      <c r="B156" s="7" t="str">
        <f t="shared" si="32"/>
        <v>978-7-111-68813-6</v>
      </c>
      <c r="C156" s="7" t="str">
        <f t="shared" si="33"/>
        <v>公共关系学</v>
      </c>
      <c r="D156" s="7" t="str">
        <f t="shared" si="34"/>
        <v>主编束亚弟， 陈小桃</v>
      </c>
      <c r="E156" s="7" t="str">
        <f t="shared" si="35"/>
        <v>机械工业出版社</v>
      </c>
      <c r="F156" s="7" t="str">
        <f t="shared" si="36"/>
        <v>C912.31/61=2D</v>
      </c>
    </row>
    <row r="157" customHeight="1" spans="1:6">
      <c r="A157" s="6">
        <v>156</v>
      </c>
      <c r="B157" s="7" t="str">
        <f t="shared" si="32"/>
        <v>978-7-111-68813-6</v>
      </c>
      <c r="C157" s="7" t="str">
        <f t="shared" si="33"/>
        <v>公共关系学</v>
      </c>
      <c r="D157" s="7" t="str">
        <f t="shared" si="34"/>
        <v>主编束亚弟， 陈小桃</v>
      </c>
      <c r="E157" s="7" t="str">
        <f t="shared" si="35"/>
        <v>机械工业出版社</v>
      </c>
      <c r="F157" s="7" t="str">
        <f t="shared" si="36"/>
        <v>C912.31/61=2D</v>
      </c>
    </row>
    <row r="158" customHeight="1" spans="1:6">
      <c r="A158" s="6">
        <v>157</v>
      </c>
      <c r="B158" s="7" t="str">
        <f>"978-7-5047-7410-1"</f>
        <v>978-7-5047-7410-1</v>
      </c>
      <c r="C158" s="7" t="str">
        <f>"2020最具公众影响力公共关系案例集"</f>
        <v>2020最具公众影响力公共关系案例集</v>
      </c>
      <c r="D158" s="7" t="str">
        <f>"金旗奖编委会编著"</f>
        <v>金旗奖编委会编著</v>
      </c>
      <c r="E158" s="7" t="str">
        <f>"中国财富出版社有限公司"</f>
        <v>中国财富出版社有限公司</v>
      </c>
      <c r="F158" s="7" t="str">
        <f>"C912.31/62/2020"</f>
        <v>C912.31/62/2020</v>
      </c>
    </row>
    <row r="159" customHeight="1" spans="1:6">
      <c r="A159" s="6">
        <v>158</v>
      </c>
      <c r="B159" s="7" t="str">
        <f>"978-7-5047-7410-1"</f>
        <v>978-7-5047-7410-1</v>
      </c>
      <c r="C159" s="7" t="str">
        <f>"2020最具公众影响力公共关系案例集"</f>
        <v>2020最具公众影响力公共关系案例集</v>
      </c>
      <c r="D159" s="7" t="str">
        <f>"金旗奖编委会编著"</f>
        <v>金旗奖编委会编著</v>
      </c>
      <c r="E159" s="7" t="str">
        <f>"中国财富出版社有限公司"</f>
        <v>中国财富出版社有限公司</v>
      </c>
      <c r="F159" s="7" t="str">
        <f>"C912.31/62/2020"</f>
        <v>C912.31/62/2020</v>
      </c>
    </row>
    <row r="160" customHeight="1" spans="1:6">
      <c r="A160" s="6">
        <v>159</v>
      </c>
      <c r="B160" s="7" t="str">
        <f>"978-7-5201-8755-8"</f>
        <v>978-7-5201-8755-8</v>
      </c>
      <c r="C160" s="7" t="str">
        <f>"公共关系学的想象：视域、理论与方法：vision， theory and methods"</f>
        <v>公共关系学的想象：视域、理论与方法：vision， theory and methods</v>
      </c>
      <c r="D160" s="7" t="str">
        <f>"陈先红著"</f>
        <v>陈先红著</v>
      </c>
      <c r="E160" s="7" t="str">
        <f>"社会科学文献出版社"</f>
        <v>社会科学文献出版社</v>
      </c>
      <c r="F160" s="7" t="str">
        <f>"C912.31/63"</f>
        <v>C912.31/63</v>
      </c>
    </row>
    <row r="161" customHeight="1" spans="1:6">
      <c r="A161" s="6">
        <v>160</v>
      </c>
      <c r="B161" s="7" t="str">
        <f>"978-7-5201-8755-8"</f>
        <v>978-7-5201-8755-8</v>
      </c>
      <c r="C161" s="7" t="str">
        <f>"公共关系学的想象：视域、理论与方法：vision， theory and methods"</f>
        <v>公共关系学的想象：视域、理论与方法：vision， theory and methods</v>
      </c>
      <c r="D161" s="7" t="str">
        <f>"陈先红著"</f>
        <v>陈先红著</v>
      </c>
      <c r="E161" s="7" t="str">
        <f>"社会科学文献出版社"</f>
        <v>社会科学文献出版社</v>
      </c>
      <c r="F161" s="7" t="str">
        <f>"C912.31/63"</f>
        <v>C912.31/63</v>
      </c>
    </row>
    <row r="162" customHeight="1" spans="1:6">
      <c r="A162" s="6">
        <v>161</v>
      </c>
      <c r="B162" s="8" t="s">
        <v>408</v>
      </c>
      <c r="C162" s="8" t="s">
        <v>409</v>
      </c>
      <c r="D162" s="8" t="s">
        <v>410</v>
      </c>
      <c r="E162" s="8" t="s">
        <v>23</v>
      </c>
      <c r="F162" s="8" t="s">
        <v>411</v>
      </c>
    </row>
    <row r="163" customHeight="1" spans="1:6">
      <c r="A163" s="6">
        <v>162</v>
      </c>
      <c r="B163" s="8" t="s">
        <v>408</v>
      </c>
      <c r="C163" s="8" t="s">
        <v>409</v>
      </c>
      <c r="D163" s="8" t="s">
        <v>410</v>
      </c>
      <c r="E163" s="8" t="s">
        <v>23</v>
      </c>
      <c r="F163" s="8" t="s">
        <v>411</v>
      </c>
    </row>
    <row r="164" customHeight="1" spans="1:6">
      <c r="A164" s="6">
        <v>163</v>
      </c>
      <c r="B164" s="8" t="s">
        <v>412</v>
      </c>
      <c r="C164" s="8" t="s">
        <v>413</v>
      </c>
      <c r="D164" s="8" t="s">
        <v>414</v>
      </c>
      <c r="E164" s="8" t="s">
        <v>415</v>
      </c>
      <c r="F164" s="8" t="s">
        <v>416</v>
      </c>
    </row>
    <row r="165" customHeight="1" spans="1:6">
      <c r="A165" s="6">
        <v>164</v>
      </c>
      <c r="B165" s="8" t="s">
        <v>412</v>
      </c>
      <c r="C165" s="8" t="s">
        <v>413</v>
      </c>
      <c r="D165" s="8" t="s">
        <v>414</v>
      </c>
      <c r="E165" s="8" t="s">
        <v>415</v>
      </c>
      <c r="F165" s="8" t="s">
        <v>416</v>
      </c>
    </row>
    <row r="166" customHeight="1" spans="1:6">
      <c r="A166" s="6">
        <v>165</v>
      </c>
      <c r="B166" s="8" t="s">
        <v>417</v>
      </c>
      <c r="C166" s="8" t="s">
        <v>418</v>
      </c>
      <c r="D166" s="8" t="s">
        <v>419</v>
      </c>
      <c r="E166" s="8" t="s">
        <v>420</v>
      </c>
      <c r="F166" s="8" t="s">
        <v>421</v>
      </c>
    </row>
    <row r="167" customHeight="1" spans="1:6">
      <c r="A167" s="6">
        <v>166</v>
      </c>
      <c r="B167" s="8" t="s">
        <v>417</v>
      </c>
      <c r="C167" s="8" t="s">
        <v>418</v>
      </c>
      <c r="D167" s="8" t="s">
        <v>419</v>
      </c>
      <c r="E167" s="8" t="s">
        <v>420</v>
      </c>
      <c r="F167" s="8" t="s">
        <v>421</v>
      </c>
    </row>
    <row r="168" customHeight="1" spans="1:6">
      <c r="A168" s="6">
        <v>167</v>
      </c>
      <c r="B168" s="8" t="s">
        <v>422</v>
      </c>
      <c r="C168" s="8" t="s">
        <v>423</v>
      </c>
      <c r="D168" s="8" t="s">
        <v>424</v>
      </c>
      <c r="E168" s="8" t="s">
        <v>425</v>
      </c>
      <c r="F168" s="8" t="s">
        <v>426</v>
      </c>
    </row>
    <row r="169" customHeight="1" spans="1:6">
      <c r="A169" s="6">
        <v>168</v>
      </c>
      <c r="B169" s="8" t="s">
        <v>422</v>
      </c>
      <c r="C169" s="8" t="s">
        <v>423</v>
      </c>
      <c r="D169" s="8" t="s">
        <v>424</v>
      </c>
      <c r="E169" s="8" t="s">
        <v>425</v>
      </c>
      <c r="F169" s="8" t="s">
        <v>426</v>
      </c>
    </row>
    <row r="170" customHeight="1" spans="1:6">
      <c r="A170" s="6">
        <v>169</v>
      </c>
      <c r="B170" s="8" t="s">
        <v>427</v>
      </c>
      <c r="C170" s="8" t="s">
        <v>428</v>
      </c>
      <c r="D170" s="8" t="s">
        <v>429</v>
      </c>
      <c r="E170" s="8" t="s">
        <v>288</v>
      </c>
      <c r="F170" s="8" t="s">
        <v>430</v>
      </c>
    </row>
    <row r="171" customHeight="1" spans="1:6">
      <c r="A171" s="6">
        <v>170</v>
      </c>
      <c r="B171" s="8" t="s">
        <v>427</v>
      </c>
      <c r="C171" s="8" t="s">
        <v>428</v>
      </c>
      <c r="D171" s="8" t="s">
        <v>429</v>
      </c>
      <c r="E171" s="8" t="s">
        <v>288</v>
      </c>
      <c r="F171" s="8" t="s">
        <v>430</v>
      </c>
    </row>
    <row r="172" customHeight="1" spans="1:6">
      <c r="A172" s="6">
        <v>171</v>
      </c>
      <c r="B172" s="8" t="s">
        <v>431</v>
      </c>
      <c r="C172" s="8" t="s">
        <v>432</v>
      </c>
      <c r="D172" s="8" t="s">
        <v>433</v>
      </c>
      <c r="E172" s="8" t="s">
        <v>216</v>
      </c>
      <c r="F172" s="8" t="s">
        <v>434</v>
      </c>
    </row>
    <row r="173" customHeight="1" spans="1:6">
      <c r="A173" s="6">
        <v>172</v>
      </c>
      <c r="B173" s="8" t="s">
        <v>431</v>
      </c>
      <c r="C173" s="8" t="s">
        <v>432</v>
      </c>
      <c r="D173" s="8" t="s">
        <v>433</v>
      </c>
      <c r="E173" s="8" t="s">
        <v>216</v>
      </c>
      <c r="F173" s="8" t="s">
        <v>434</v>
      </c>
    </row>
    <row r="174" customHeight="1" spans="1:6">
      <c r="A174" s="6">
        <v>173</v>
      </c>
      <c r="B174" s="8" t="s">
        <v>431</v>
      </c>
      <c r="C174" s="8" t="s">
        <v>432</v>
      </c>
      <c r="D174" s="8" t="s">
        <v>433</v>
      </c>
      <c r="E174" s="8" t="s">
        <v>216</v>
      </c>
      <c r="F174" s="8" t="s">
        <v>434</v>
      </c>
    </row>
    <row r="175" customHeight="1" spans="1:6">
      <c r="A175" s="6">
        <v>174</v>
      </c>
      <c r="B175" s="8" t="s">
        <v>435</v>
      </c>
      <c r="C175" s="8" t="s">
        <v>436</v>
      </c>
      <c r="D175" s="8" t="s">
        <v>437</v>
      </c>
      <c r="E175" s="8" t="s">
        <v>438</v>
      </c>
      <c r="F175" s="8" t="s">
        <v>439</v>
      </c>
    </row>
    <row r="176" customHeight="1" spans="1:6">
      <c r="A176" s="6">
        <v>175</v>
      </c>
      <c r="B176" s="8" t="s">
        <v>435</v>
      </c>
      <c r="C176" s="8" t="s">
        <v>436</v>
      </c>
      <c r="D176" s="8" t="s">
        <v>437</v>
      </c>
      <c r="E176" s="8" t="s">
        <v>438</v>
      </c>
      <c r="F176" s="8" t="s">
        <v>439</v>
      </c>
    </row>
    <row r="177" customHeight="1" spans="1:6">
      <c r="A177" s="6">
        <v>176</v>
      </c>
      <c r="B177" s="8" t="s">
        <v>440</v>
      </c>
      <c r="C177" s="8" t="s">
        <v>441</v>
      </c>
      <c r="D177" s="8" t="s">
        <v>442</v>
      </c>
      <c r="E177" s="8" t="s">
        <v>443</v>
      </c>
      <c r="F177" s="8" t="s">
        <v>444</v>
      </c>
    </row>
    <row r="178" customHeight="1" spans="1:6">
      <c r="A178" s="6">
        <v>177</v>
      </c>
      <c r="B178" s="8" t="s">
        <v>440</v>
      </c>
      <c r="C178" s="8" t="s">
        <v>441</v>
      </c>
      <c r="D178" s="8" t="s">
        <v>442</v>
      </c>
      <c r="E178" s="8" t="s">
        <v>443</v>
      </c>
      <c r="F178" s="8" t="s">
        <v>444</v>
      </c>
    </row>
    <row r="179" customHeight="1" spans="1:6">
      <c r="A179" s="6">
        <v>178</v>
      </c>
      <c r="B179" s="8" t="s">
        <v>445</v>
      </c>
      <c r="C179" s="8" t="s">
        <v>446</v>
      </c>
      <c r="D179" s="8" t="s">
        <v>447</v>
      </c>
      <c r="E179" s="8" t="s">
        <v>226</v>
      </c>
      <c r="F179" s="8" t="s">
        <v>448</v>
      </c>
    </row>
    <row r="180" customHeight="1" spans="1:6">
      <c r="A180" s="6">
        <v>179</v>
      </c>
      <c r="B180" s="8" t="s">
        <v>445</v>
      </c>
      <c r="C180" s="8" t="s">
        <v>446</v>
      </c>
      <c r="D180" s="8" t="s">
        <v>447</v>
      </c>
      <c r="E180" s="8" t="s">
        <v>226</v>
      </c>
      <c r="F180" s="8" t="s">
        <v>448</v>
      </c>
    </row>
    <row r="181" customHeight="1" spans="1:6">
      <c r="A181" s="6">
        <v>180</v>
      </c>
      <c r="B181" s="8" t="s">
        <v>445</v>
      </c>
      <c r="C181" s="8" t="s">
        <v>446</v>
      </c>
      <c r="D181" s="8" t="s">
        <v>447</v>
      </c>
      <c r="E181" s="8" t="s">
        <v>226</v>
      </c>
      <c r="F181" s="8" t="s">
        <v>448</v>
      </c>
    </row>
    <row r="182" customHeight="1" spans="1:6">
      <c r="A182" s="6">
        <v>181</v>
      </c>
      <c r="B182" s="8" t="s">
        <v>449</v>
      </c>
      <c r="C182" s="8" t="s">
        <v>450</v>
      </c>
      <c r="D182" s="8" t="s">
        <v>451</v>
      </c>
      <c r="E182" s="8" t="s">
        <v>275</v>
      </c>
      <c r="F182" s="8" t="s">
        <v>452</v>
      </c>
    </row>
    <row r="183" customHeight="1" spans="1:6">
      <c r="A183" s="6">
        <v>182</v>
      </c>
      <c r="B183" s="8" t="s">
        <v>449</v>
      </c>
      <c r="C183" s="8" t="s">
        <v>450</v>
      </c>
      <c r="D183" s="8" t="s">
        <v>451</v>
      </c>
      <c r="E183" s="8" t="s">
        <v>275</v>
      </c>
      <c r="F183" s="8" t="s">
        <v>452</v>
      </c>
    </row>
    <row r="184" customHeight="1" spans="1:6">
      <c r="A184" s="6">
        <v>183</v>
      </c>
      <c r="B184" s="8" t="s">
        <v>449</v>
      </c>
      <c r="C184" s="8" t="s">
        <v>450</v>
      </c>
      <c r="D184" s="8" t="s">
        <v>451</v>
      </c>
      <c r="E184" s="8" t="s">
        <v>275</v>
      </c>
      <c r="F184" s="8" t="s">
        <v>452</v>
      </c>
    </row>
    <row r="185" customHeight="1" spans="1:6">
      <c r="A185" s="6">
        <v>184</v>
      </c>
      <c r="B185" s="8" t="s">
        <v>453</v>
      </c>
      <c r="C185" s="8" t="s">
        <v>454</v>
      </c>
      <c r="D185" s="8" t="s">
        <v>455</v>
      </c>
      <c r="E185" s="8" t="s">
        <v>275</v>
      </c>
      <c r="F185" s="8" t="s">
        <v>456</v>
      </c>
    </row>
    <row r="186" customHeight="1" spans="1:6">
      <c r="A186" s="6">
        <v>185</v>
      </c>
      <c r="B186" s="8" t="s">
        <v>453</v>
      </c>
      <c r="C186" s="8" t="s">
        <v>454</v>
      </c>
      <c r="D186" s="8" t="s">
        <v>455</v>
      </c>
      <c r="E186" s="8" t="s">
        <v>275</v>
      </c>
      <c r="F186" s="8" t="s">
        <v>456</v>
      </c>
    </row>
    <row r="187" customHeight="1" spans="1:6">
      <c r="A187" s="6">
        <v>186</v>
      </c>
      <c r="B187" s="7" t="str">
        <f>"978-7-5217-2725-8"</f>
        <v>978-7-5217-2725-8</v>
      </c>
      <c r="C187" s="7" t="str">
        <f>"房间里的大象：生活中的沉默和否认：silence and denial in everyday life"</f>
        <v>房间里的大象：生活中的沉默和否认：silence and denial in everyday life</v>
      </c>
      <c r="D187" s="7" t="str">
        <f>"(以) 伊维塔·泽鲁巴维尔著Eviatar Zerubavel；胡缠译"</f>
        <v>(以) 伊维塔·泽鲁巴维尔著Eviatar Zerubavel；胡缠译</v>
      </c>
      <c r="E187" s="7" t="str">
        <f>"中信出版集团股份有限公司"</f>
        <v>中信出版集团股份有限公司</v>
      </c>
      <c r="F187" s="7" t="str">
        <f>"C912.6/139=D"</f>
        <v>C912.6/139=D</v>
      </c>
    </row>
    <row r="188" customHeight="1" spans="1:6">
      <c r="A188" s="6">
        <v>187</v>
      </c>
      <c r="B188" s="7" t="str">
        <f>"978-7-5217-2725-8"</f>
        <v>978-7-5217-2725-8</v>
      </c>
      <c r="C188" s="7" t="str">
        <f>"房间里的大象：生活中的沉默和否认：silence and denial in everyday life"</f>
        <v>房间里的大象：生活中的沉默和否认：silence and denial in everyday life</v>
      </c>
      <c r="D188" s="7" t="str">
        <f>"(以) 伊维塔·泽鲁巴维尔著Eviatar Zerubavel；胡缠译"</f>
        <v>(以) 伊维塔·泽鲁巴维尔著Eviatar Zerubavel；胡缠译</v>
      </c>
      <c r="E188" s="7" t="str">
        <f>"中信出版集团股份有限公司"</f>
        <v>中信出版集团股份有限公司</v>
      </c>
      <c r="F188" s="7" t="str">
        <f>"C912.6/139=D"</f>
        <v>C912.6/139=D</v>
      </c>
    </row>
    <row r="189" customHeight="1" spans="1:6">
      <c r="A189" s="6">
        <v>188</v>
      </c>
      <c r="B189" s="8" t="s">
        <v>457</v>
      </c>
      <c r="C189" s="8" t="s">
        <v>458</v>
      </c>
      <c r="D189" s="8" t="s">
        <v>459</v>
      </c>
      <c r="E189" s="8" t="s">
        <v>23</v>
      </c>
      <c r="F189" s="8" t="s">
        <v>460</v>
      </c>
    </row>
    <row r="190" customHeight="1" spans="1:6">
      <c r="A190" s="6">
        <v>189</v>
      </c>
      <c r="B190" s="8" t="s">
        <v>457</v>
      </c>
      <c r="C190" s="8" t="s">
        <v>458</v>
      </c>
      <c r="D190" s="8" t="s">
        <v>459</v>
      </c>
      <c r="E190" s="8" t="s">
        <v>23</v>
      </c>
      <c r="F190" s="8" t="s">
        <v>460</v>
      </c>
    </row>
    <row r="191" customHeight="1" spans="1:6">
      <c r="A191" s="6">
        <v>190</v>
      </c>
      <c r="B191" s="8" t="s">
        <v>461</v>
      </c>
      <c r="C191" s="8" t="s">
        <v>462</v>
      </c>
      <c r="D191" s="8" t="s">
        <v>463</v>
      </c>
      <c r="E191" s="8" t="s">
        <v>239</v>
      </c>
      <c r="F191" s="8" t="s">
        <v>464</v>
      </c>
    </row>
    <row r="192" customHeight="1" spans="1:6">
      <c r="A192" s="6">
        <v>191</v>
      </c>
      <c r="B192" s="8" t="s">
        <v>461</v>
      </c>
      <c r="C192" s="8" t="s">
        <v>462</v>
      </c>
      <c r="D192" s="8" t="s">
        <v>463</v>
      </c>
      <c r="E192" s="8" t="s">
        <v>239</v>
      </c>
      <c r="F192" s="8" t="s">
        <v>464</v>
      </c>
    </row>
    <row r="193" customHeight="1" spans="1:6">
      <c r="A193" s="6">
        <v>192</v>
      </c>
      <c r="B193" s="8" t="s">
        <v>461</v>
      </c>
      <c r="C193" s="8" t="s">
        <v>462</v>
      </c>
      <c r="D193" s="8" t="s">
        <v>463</v>
      </c>
      <c r="E193" s="8" t="s">
        <v>239</v>
      </c>
      <c r="F193" s="8" t="s">
        <v>464</v>
      </c>
    </row>
    <row r="194" customHeight="1" spans="1:6">
      <c r="A194" s="6">
        <v>193</v>
      </c>
      <c r="B194" s="8" t="s">
        <v>465</v>
      </c>
      <c r="C194" s="8" t="s">
        <v>466</v>
      </c>
      <c r="D194" s="8" t="s">
        <v>467</v>
      </c>
      <c r="E194" s="8" t="s">
        <v>468</v>
      </c>
      <c r="F194" s="8" t="s">
        <v>469</v>
      </c>
    </row>
    <row r="195" customHeight="1" spans="1:6">
      <c r="A195" s="6">
        <v>194</v>
      </c>
      <c r="B195" s="8" t="s">
        <v>465</v>
      </c>
      <c r="C195" s="8" t="s">
        <v>466</v>
      </c>
      <c r="D195" s="8" t="s">
        <v>467</v>
      </c>
      <c r="E195" s="8" t="s">
        <v>468</v>
      </c>
      <c r="F195" s="8" t="s">
        <v>469</v>
      </c>
    </row>
    <row r="196" customHeight="1" spans="1:6">
      <c r="A196" s="6">
        <v>195</v>
      </c>
      <c r="B196" s="8" t="s">
        <v>465</v>
      </c>
      <c r="C196" s="8" t="s">
        <v>466</v>
      </c>
      <c r="D196" s="8" t="s">
        <v>467</v>
      </c>
      <c r="E196" s="8" t="s">
        <v>468</v>
      </c>
      <c r="F196" s="8" t="s">
        <v>469</v>
      </c>
    </row>
    <row r="197" customHeight="1" spans="1:6">
      <c r="A197" s="6">
        <v>196</v>
      </c>
      <c r="B197" s="8" t="s">
        <v>470</v>
      </c>
      <c r="C197" s="8" t="s">
        <v>471</v>
      </c>
      <c r="D197" s="8" t="s">
        <v>472</v>
      </c>
      <c r="E197" s="8" t="s">
        <v>38</v>
      </c>
      <c r="F197" s="8" t="s">
        <v>473</v>
      </c>
    </row>
    <row r="198" customHeight="1" spans="1:6">
      <c r="A198" s="6">
        <v>197</v>
      </c>
      <c r="B198" s="8" t="s">
        <v>470</v>
      </c>
      <c r="C198" s="8" t="s">
        <v>471</v>
      </c>
      <c r="D198" s="8" t="s">
        <v>472</v>
      </c>
      <c r="E198" s="8" t="s">
        <v>38</v>
      </c>
      <c r="F198" s="8" t="s">
        <v>473</v>
      </c>
    </row>
    <row r="199" customHeight="1" spans="1:6">
      <c r="A199" s="6">
        <v>198</v>
      </c>
      <c r="B199" s="8" t="s">
        <v>474</v>
      </c>
      <c r="C199" s="8" t="s">
        <v>475</v>
      </c>
      <c r="D199" s="8" t="s">
        <v>476</v>
      </c>
      <c r="E199" s="8" t="s">
        <v>23</v>
      </c>
      <c r="F199" s="8" t="s">
        <v>477</v>
      </c>
    </row>
    <row r="200" customHeight="1" spans="1:6">
      <c r="A200" s="6">
        <v>199</v>
      </c>
      <c r="B200" s="8" t="s">
        <v>474</v>
      </c>
      <c r="C200" s="8" t="s">
        <v>475</v>
      </c>
      <c r="D200" s="8" t="s">
        <v>476</v>
      </c>
      <c r="E200" s="8" t="s">
        <v>23</v>
      </c>
      <c r="F200" s="8" t="s">
        <v>477</v>
      </c>
    </row>
    <row r="201" customHeight="1" spans="1:6">
      <c r="A201" s="6">
        <v>200</v>
      </c>
      <c r="B201" s="8" t="s">
        <v>478</v>
      </c>
      <c r="C201" s="8" t="s">
        <v>479</v>
      </c>
      <c r="D201" s="8" t="s">
        <v>480</v>
      </c>
      <c r="E201" s="8" t="s">
        <v>43</v>
      </c>
      <c r="F201" s="8" t="s">
        <v>481</v>
      </c>
    </row>
    <row r="202" customHeight="1" spans="1:6">
      <c r="A202" s="6">
        <v>201</v>
      </c>
      <c r="B202" s="8" t="s">
        <v>478</v>
      </c>
      <c r="C202" s="8" t="s">
        <v>479</v>
      </c>
      <c r="D202" s="8" t="s">
        <v>480</v>
      </c>
      <c r="E202" s="8" t="s">
        <v>43</v>
      </c>
      <c r="F202" s="8" t="s">
        <v>481</v>
      </c>
    </row>
    <row r="203" customHeight="1" spans="1:6">
      <c r="A203" s="6">
        <v>202</v>
      </c>
      <c r="B203" s="8" t="s">
        <v>482</v>
      </c>
      <c r="C203" s="8" t="s">
        <v>483</v>
      </c>
      <c r="D203" s="8" t="s">
        <v>484</v>
      </c>
      <c r="E203" s="8" t="s">
        <v>485</v>
      </c>
      <c r="F203" s="8" t="s">
        <v>486</v>
      </c>
    </row>
    <row r="204" customHeight="1" spans="1:6">
      <c r="A204" s="6">
        <v>203</v>
      </c>
      <c r="B204" s="8" t="s">
        <v>482</v>
      </c>
      <c r="C204" s="8" t="s">
        <v>483</v>
      </c>
      <c r="D204" s="8" t="s">
        <v>484</v>
      </c>
      <c r="E204" s="8" t="s">
        <v>485</v>
      </c>
      <c r="F204" s="8" t="s">
        <v>486</v>
      </c>
    </row>
    <row r="205" customHeight="1" spans="1:6">
      <c r="A205" s="6">
        <v>204</v>
      </c>
      <c r="B205" s="8" t="s">
        <v>482</v>
      </c>
      <c r="C205" s="8" t="s">
        <v>483</v>
      </c>
      <c r="D205" s="8" t="s">
        <v>484</v>
      </c>
      <c r="E205" s="8" t="s">
        <v>485</v>
      </c>
      <c r="F205" s="8" t="s">
        <v>486</v>
      </c>
    </row>
    <row r="206" customHeight="1" spans="1:6">
      <c r="A206" s="6">
        <v>205</v>
      </c>
      <c r="B206" s="8" t="s">
        <v>487</v>
      </c>
      <c r="C206" s="8" t="s">
        <v>488</v>
      </c>
      <c r="D206" s="8" t="s">
        <v>489</v>
      </c>
      <c r="E206" s="8" t="s">
        <v>23</v>
      </c>
      <c r="F206" s="8" t="s">
        <v>490</v>
      </c>
    </row>
    <row r="207" customHeight="1" spans="1:6">
      <c r="A207" s="6">
        <v>206</v>
      </c>
      <c r="B207" s="8" t="s">
        <v>487</v>
      </c>
      <c r="C207" s="8" t="s">
        <v>488</v>
      </c>
      <c r="D207" s="8" t="s">
        <v>489</v>
      </c>
      <c r="E207" s="8" t="s">
        <v>23</v>
      </c>
      <c r="F207" s="8" t="s">
        <v>490</v>
      </c>
    </row>
    <row r="208" customHeight="1" spans="1:6">
      <c r="A208" s="6">
        <v>207</v>
      </c>
      <c r="B208" s="8" t="s">
        <v>491</v>
      </c>
      <c r="C208" s="8" t="s">
        <v>492</v>
      </c>
      <c r="D208" s="8" t="s">
        <v>493</v>
      </c>
      <c r="E208" s="8" t="s">
        <v>23</v>
      </c>
      <c r="F208" s="8" t="s">
        <v>494</v>
      </c>
    </row>
    <row r="209" customHeight="1" spans="1:6">
      <c r="A209" s="6">
        <v>208</v>
      </c>
      <c r="B209" s="8" t="s">
        <v>491</v>
      </c>
      <c r="C209" s="8" t="s">
        <v>492</v>
      </c>
      <c r="D209" s="8" t="s">
        <v>493</v>
      </c>
      <c r="E209" s="8" t="s">
        <v>23</v>
      </c>
      <c r="F209" s="8" t="s">
        <v>494</v>
      </c>
    </row>
    <row r="210" customHeight="1" spans="1:6">
      <c r="A210" s="6">
        <v>209</v>
      </c>
      <c r="B210" s="8" t="s">
        <v>495</v>
      </c>
      <c r="C210" s="8" t="s">
        <v>496</v>
      </c>
      <c r="D210" s="8" t="s">
        <v>497</v>
      </c>
      <c r="E210" s="8" t="s">
        <v>58</v>
      </c>
      <c r="F210" s="8" t="s">
        <v>498</v>
      </c>
    </row>
    <row r="211" customHeight="1" spans="1:6">
      <c r="A211" s="6">
        <v>210</v>
      </c>
      <c r="B211" s="8" t="s">
        <v>495</v>
      </c>
      <c r="C211" s="8" t="s">
        <v>496</v>
      </c>
      <c r="D211" s="8" t="s">
        <v>497</v>
      </c>
      <c r="E211" s="8" t="s">
        <v>58</v>
      </c>
      <c r="F211" s="8" t="s">
        <v>498</v>
      </c>
    </row>
    <row r="212" customHeight="1" spans="1:6">
      <c r="A212" s="6">
        <v>211</v>
      </c>
      <c r="B212" s="8" t="s">
        <v>495</v>
      </c>
      <c r="C212" s="8" t="s">
        <v>496</v>
      </c>
      <c r="D212" s="8" t="s">
        <v>497</v>
      </c>
      <c r="E212" s="8" t="s">
        <v>58</v>
      </c>
      <c r="F212" s="8" t="s">
        <v>498</v>
      </c>
    </row>
    <row r="213" customHeight="1" spans="1:6">
      <c r="A213" s="6">
        <v>212</v>
      </c>
      <c r="B213" s="8" t="s">
        <v>499</v>
      </c>
      <c r="C213" s="8" t="s">
        <v>500</v>
      </c>
      <c r="D213" s="8" t="s">
        <v>501</v>
      </c>
      <c r="E213" s="8" t="s">
        <v>58</v>
      </c>
      <c r="F213" s="8" t="s">
        <v>502</v>
      </c>
    </row>
    <row r="214" customHeight="1" spans="1:6">
      <c r="A214" s="6">
        <v>213</v>
      </c>
      <c r="B214" s="8" t="s">
        <v>499</v>
      </c>
      <c r="C214" s="8" t="s">
        <v>500</v>
      </c>
      <c r="D214" s="8" t="s">
        <v>501</v>
      </c>
      <c r="E214" s="8" t="s">
        <v>58</v>
      </c>
      <c r="F214" s="8" t="s">
        <v>502</v>
      </c>
    </row>
    <row r="215" customHeight="1" spans="1:6">
      <c r="A215" s="6">
        <v>214</v>
      </c>
      <c r="B215" s="8" t="s">
        <v>499</v>
      </c>
      <c r="C215" s="8" t="s">
        <v>500</v>
      </c>
      <c r="D215" s="8" t="s">
        <v>501</v>
      </c>
      <c r="E215" s="8" t="s">
        <v>58</v>
      </c>
      <c r="F215" s="8" t="s">
        <v>502</v>
      </c>
    </row>
    <row r="216" customHeight="1" spans="1:6">
      <c r="A216" s="6">
        <v>215</v>
      </c>
      <c r="B216" s="8" t="s">
        <v>503</v>
      </c>
      <c r="C216" s="8" t="s">
        <v>504</v>
      </c>
      <c r="D216" s="8" t="s">
        <v>505</v>
      </c>
      <c r="E216" s="8" t="s">
        <v>311</v>
      </c>
      <c r="F216" s="8" t="s">
        <v>506</v>
      </c>
    </row>
    <row r="217" customHeight="1" spans="1:6">
      <c r="A217" s="6">
        <v>216</v>
      </c>
      <c r="B217" s="8" t="s">
        <v>503</v>
      </c>
      <c r="C217" s="8" t="s">
        <v>504</v>
      </c>
      <c r="D217" s="8" t="s">
        <v>505</v>
      </c>
      <c r="E217" s="8" t="s">
        <v>311</v>
      </c>
      <c r="F217" s="8" t="s">
        <v>506</v>
      </c>
    </row>
    <row r="218" customHeight="1" spans="1:6">
      <c r="A218" s="6">
        <v>217</v>
      </c>
      <c r="B218" s="8" t="s">
        <v>507</v>
      </c>
      <c r="C218" s="8" t="s">
        <v>508</v>
      </c>
      <c r="D218" s="8" t="s">
        <v>509</v>
      </c>
      <c r="E218" s="8" t="s">
        <v>316</v>
      </c>
      <c r="F218" s="8" t="s">
        <v>510</v>
      </c>
    </row>
    <row r="219" customHeight="1" spans="1:6">
      <c r="A219" s="6">
        <v>218</v>
      </c>
      <c r="B219" s="8" t="s">
        <v>507</v>
      </c>
      <c r="C219" s="8" t="s">
        <v>508</v>
      </c>
      <c r="D219" s="8" t="s">
        <v>509</v>
      </c>
      <c r="E219" s="8" t="s">
        <v>316</v>
      </c>
      <c r="F219" s="8" t="s">
        <v>510</v>
      </c>
    </row>
    <row r="220" customHeight="1" spans="1:6">
      <c r="A220" s="6">
        <v>219</v>
      </c>
      <c r="B220" s="8" t="s">
        <v>511</v>
      </c>
      <c r="C220" s="8" t="s">
        <v>512</v>
      </c>
      <c r="D220" s="8" t="s">
        <v>509</v>
      </c>
      <c r="E220" s="8" t="s">
        <v>513</v>
      </c>
      <c r="F220" s="8" t="s">
        <v>514</v>
      </c>
    </row>
    <row r="221" customHeight="1" spans="1:6">
      <c r="A221" s="6">
        <v>220</v>
      </c>
      <c r="B221" s="8" t="s">
        <v>511</v>
      </c>
      <c r="C221" s="8" t="s">
        <v>512</v>
      </c>
      <c r="D221" s="8" t="s">
        <v>509</v>
      </c>
      <c r="E221" s="8" t="s">
        <v>513</v>
      </c>
      <c r="F221" s="8" t="s">
        <v>514</v>
      </c>
    </row>
    <row r="222" customHeight="1" spans="1:6">
      <c r="A222" s="6">
        <v>221</v>
      </c>
      <c r="B222" s="7" t="str">
        <f>"978-7-5139-1952-4"</f>
        <v>978-7-5139-1952-4</v>
      </c>
      <c r="C222" s="7" t="str">
        <f>"乌合之众：大众心理研究：a study of the popular mind"</f>
        <v>乌合之众：大众心理研究：a study of the popular mind</v>
      </c>
      <c r="D222" s="7" t="str">
        <f>"(法) 古斯塔夫·勒庞著Gustave Le Bon；马晓佳译"</f>
        <v>(法) 古斯塔夫·勒庞著Gustave Le Bon；马晓佳译</v>
      </c>
      <c r="E222" s="7" t="str">
        <f>"民主与建设出版社"</f>
        <v>民主与建设出版社</v>
      </c>
      <c r="F222" s="7" t="str">
        <f>"C912.64/37.2"</f>
        <v>C912.64/37.2</v>
      </c>
    </row>
    <row r="223" customHeight="1" spans="1:6">
      <c r="A223" s="6">
        <v>222</v>
      </c>
      <c r="B223" s="7" t="str">
        <f>"978-7-5139-1952-4"</f>
        <v>978-7-5139-1952-4</v>
      </c>
      <c r="C223" s="7" t="str">
        <f>"乌合之众：大众心理研究：a study of the popular mind"</f>
        <v>乌合之众：大众心理研究：a study of the popular mind</v>
      </c>
      <c r="D223" s="7" t="str">
        <f>"(法) 古斯塔夫·勒庞著Gustave Le Bon；马晓佳译"</f>
        <v>(法) 古斯塔夫·勒庞著Gustave Le Bon；马晓佳译</v>
      </c>
      <c r="E223" s="7" t="str">
        <f>"民主与建设出版社"</f>
        <v>民主与建设出版社</v>
      </c>
      <c r="F223" s="7" t="str">
        <f>"C912.64/37.2"</f>
        <v>C912.64/37.2</v>
      </c>
    </row>
    <row r="224" customHeight="1" spans="1:6">
      <c r="A224" s="6">
        <v>223</v>
      </c>
      <c r="B224" s="8" t="s">
        <v>515</v>
      </c>
      <c r="C224" s="8" t="s">
        <v>516</v>
      </c>
      <c r="D224" s="8" t="s">
        <v>517</v>
      </c>
      <c r="E224" s="8" t="s">
        <v>202</v>
      </c>
      <c r="F224" s="8" t="s">
        <v>518</v>
      </c>
    </row>
    <row r="225" customHeight="1" spans="1:6">
      <c r="A225" s="6">
        <v>224</v>
      </c>
      <c r="B225" s="8" t="s">
        <v>515</v>
      </c>
      <c r="C225" s="8" t="s">
        <v>516</v>
      </c>
      <c r="D225" s="8" t="s">
        <v>517</v>
      </c>
      <c r="E225" s="8" t="s">
        <v>202</v>
      </c>
      <c r="F225" s="8" t="s">
        <v>518</v>
      </c>
    </row>
    <row r="226" customHeight="1" spans="1:6">
      <c r="A226" s="6">
        <v>225</v>
      </c>
      <c r="B226" s="8" t="s">
        <v>515</v>
      </c>
      <c r="C226" s="8" t="s">
        <v>516</v>
      </c>
      <c r="D226" s="8" t="s">
        <v>517</v>
      </c>
      <c r="E226" s="8" t="s">
        <v>202</v>
      </c>
      <c r="F226" s="8" t="s">
        <v>518</v>
      </c>
    </row>
    <row r="227" customHeight="1" spans="1:6">
      <c r="A227" s="6">
        <v>226</v>
      </c>
      <c r="B227" s="8" t="s">
        <v>519</v>
      </c>
      <c r="C227" s="8" t="s">
        <v>520</v>
      </c>
      <c r="D227" s="8" t="s">
        <v>521</v>
      </c>
      <c r="E227" s="8" t="s">
        <v>311</v>
      </c>
      <c r="F227" s="8" t="s">
        <v>522</v>
      </c>
    </row>
    <row r="228" customHeight="1" spans="1:6">
      <c r="A228" s="6">
        <v>227</v>
      </c>
      <c r="B228" s="8" t="s">
        <v>519</v>
      </c>
      <c r="C228" s="8" t="s">
        <v>520</v>
      </c>
      <c r="D228" s="8" t="s">
        <v>521</v>
      </c>
      <c r="E228" s="8" t="s">
        <v>311</v>
      </c>
      <c r="F228" s="8" t="s">
        <v>522</v>
      </c>
    </row>
    <row r="229" customHeight="1" spans="1:6">
      <c r="A229" s="6">
        <v>228</v>
      </c>
      <c r="B229" s="8" t="s">
        <v>523</v>
      </c>
      <c r="C229" s="8" t="s">
        <v>524</v>
      </c>
      <c r="D229" s="8" t="s">
        <v>525</v>
      </c>
      <c r="E229" s="8" t="s">
        <v>48</v>
      </c>
      <c r="F229" s="8" t="s">
        <v>526</v>
      </c>
    </row>
    <row r="230" customHeight="1" spans="1:6">
      <c r="A230" s="6">
        <v>229</v>
      </c>
      <c r="B230" s="8" t="s">
        <v>523</v>
      </c>
      <c r="C230" s="8" t="s">
        <v>524</v>
      </c>
      <c r="D230" s="8" t="s">
        <v>525</v>
      </c>
      <c r="E230" s="8" t="s">
        <v>48</v>
      </c>
      <c r="F230" s="8" t="s">
        <v>526</v>
      </c>
    </row>
    <row r="231" customHeight="1" spans="1:6">
      <c r="A231" s="6">
        <v>230</v>
      </c>
      <c r="B231" s="8" t="s">
        <v>527</v>
      </c>
      <c r="C231" s="8" t="s">
        <v>528</v>
      </c>
      <c r="D231" s="8" t="s">
        <v>529</v>
      </c>
      <c r="E231" s="8" t="s">
        <v>530</v>
      </c>
      <c r="F231" s="8" t="s">
        <v>531</v>
      </c>
    </row>
    <row r="232" customHeight="1" spans="1:6">
      <c r="A232" s="6">
        <v>231</v>
      </c>
      <c r="B232" s="8" t="s">
        <v>527</v>
      </c>
      <c r="C232" s="8" t="s">
        <v>528</v>
      </c>
      <c r="D232" s="8" t="s">
        <v>529</v>
      </c>
      <c r="E232" s="8" t="s">
        <v>530</v>
      </c>
      <c r="F232" s="8" t="s">
        <v>531</v>
      </c>
    </row>
    <row r="233" customHeight="1" spans="1:6">
      <c r="A233" s="6">
        <v>232</v>
      </c>
      <c r="B233" s="7" t="str">
        <f>"978-7-5432-3248-8"</f>
        <v>978-7-5432-3248-8</v>
      </c>
      <c r="C233" s="7" t="str">
        <f>"数字世界的智慧城市"</f>
        <v>数字世界的智慧城市</v>
      </c>
      <c r="D233" s="7" t="str">
        <f>"(加) 文森特·莫斯科著Vincent Mosco；徐偲骕译"</f>
        <v>(加) 文森特·莫斯科著Vincent Mosco；徐偲骕译</v>
      </c>
      <c r="E233" s="7" t="str">
        <f t="shared" ref="E233:E236" si="37">"上海人民出版社"</f>
        <v>上海人民出版社</v>
      </c>
      <c r="F233" s="7" t="str">
        <f>"C912.81/114"</f>
        <v>C912.81/114</v>
      </c>
    </row>
    <row r="234" customHeight="1" spans="1:6">
      <c r="A234" s="6">
        <v>233</v>
      </c>
      <c r="B234" s="7" t="str">
        <f>"978-7-5432-3248-8"</f>
        <v>978-7-5432-3248-8</v>
      </c>
      <c r="C234" s="7" t="str">
        <f>"数字世界的智慧城市"</f>
        <v>数字世界的智慧城市</v>
      </c>
      <c r="D234" s="7" t="str">
        <f>"(加) 文森特·莫斯科著Vincent Mosco；徐偲骕译"</f>
        <v>(加) 文森特·莫斯科著Vincent Mosco；徐偲骕译</v>
      </c>
      <c r="E234" s="7" t="str">
        <f t="shared" si="37"/>
        <v>上海人民出版社</v>
      </c>
      <c r="F234" s="7" t="str">
        <f>"C912.81/114"</f>
        <v>C912.81/114</v>
      </c>
    </row>
    <row r="235" customHeight="1" spans="1:6">
      <c r="A235" s="6">
        <v>234</v>
      </c>
      <c r="B235" s="7" t="str">
        <f>"978-7-5476-1750-2"</f>
        <v>978-7-5476-1750-2</v>
      </c>
      <c r="C235" s="7" t="str">
        <f>"创意城市：空间生产与城市活力"</f>
        <v>创意城市：空间生产与城市活力</v>
      </c>
      <c r="D235" s="7" t="str">
        <f>"上海社会科学院文学研究所科技人文研究室编"</f>
        <v>上海社会科学院文学研究所科技人文研究室编</v>
      </c>
      <c r="E235" s="7" t="str">
        <f t="shared" si="37"/>
        <v>上海人民出版社</v>
      </c>
      <c r="F235" s="7" t="str">
        <f>"C912.81/115"</f>
        <v>C912.81/115</v>
      </c>
    </row>
    <row r="236" customHeight="1" spans="1:6">
      <c r="A236" s="6">
        <v>235</v>
      </c>
      <c r="B236" s="7" t="str">
        <f>"978-7-5476-1750-2"</f>
        <v>978-7-5476-1750-2</v>
      </c>
      <c r="C236" s="7" t="str">
        <f>"创意城市：空间生产与城市活力"</f>
        <v>创意城市：空间生产与城市活力</v>
      </c>
      <c r="D236" s="7" t="str">
        <f>"上海社会科学院文学研究所科技人文研究室编"</f>
        <v>上海社会科学院文学研究所科技人文研究室编</v>
      </c>
      <c r="E236" s="7" t="str">
        <f t="shared" si="37"/>
        <v>上海人民出版社</v>
      </c>
      <c r="F236" s="7" t="str">
        <f>"C912.81/115"</f>
        <v>C912.81/115</v>
      </c>
    </row>
    <row r="237" customHeight="1" spans="1:6">
      <c r="A237" s="6">
        <v>236</v>
      </c>
      <c r="B237" s="8" t="s">
        <v>532</v>
      </c>
      <c r="C237" s="8" t="s">
        <v>533</v>
      </c>
      <c r="D237" s="8" t="s">
        <v>534</v>
      </c>
      <c r="E237" s="8" t="s">
        <v>385</v>
      </c>
      <c r="F237" s="8" t="s">
        <v>535</v>
      </c>
    </row>
    <row r="238" customHeight="1" spans="1:6">
      <c r="A238" s="6">
        <v>237</v>
      </c>
      <c r="B238" s="8" t="s">
        <v>532</v>
      </c>
      <c r="C238" s="8" t="s">
        <v>533</v>
      </c>
      <c r="D238" s="8" t="s">
        <v>534</v>
      </c>
      <c r="E238" s="8" t="s">
        <v>385</v>
      </c>
      <c r="F238" s="8" t="s">
        <v>535</v>
      </c>
    </row>
    <row r="239" customHeight="1" spans="1:6">
      <c r="A239" s="6">
        <v>238</v>
      </c>
      <c r="B239" s="8" t="s">
        <v>532</v>
      </c>
      <c r="C239" s="8" t="s">
        <v>533</v>
      </c>
      <c r="D239" s="8" t="s">
        <v>534</v>
      </c>
      <c r="E239" s="8" t="s">
        <v>385</v>
      </c>
      <c r="F239" s="8" t="s">
        <v>535</v>
      </c>
    </row>
    <row r="240" customHeight="1" spans="1:6">
      <c r="A240" s="6">
        <v>239</v>
      </c>
      <c r="B240" s="7" t="str">
        <f>"978-7-108-07009-8"</f>
        <v>978-7-108-07009-8</v>
      </c>
      <c r="C240" s="7" t="str">
        <f>"乡土中国"</f>
        <v>乡土中国</v>
      </c>
      <c r="D240" s="7" t="str">
        <f>"费孝通著"</f>
        <v>费孝通著</v>
      </c>
      <c r="E240" s="7" t="str">
        <f>"三联书店"</f>
        <v>三联书店</v>
      </c>
      <c r="F240" s="7" t="str">
        <f>"C912.82/54=D-2"</f>
        <v>C912.82/54=D-2</v>
      </c>
    </row>
    <row r="241" customHeight="1" spans="1:6">
      <c r="A241" s="6">
        <v>240</v>
      </c>
      <c r="B241" s="7" t="str">
        <f>"978-7-108-07009-8"</f>
        <v>978-7-108-07009-8</v>
      </c>
      <c r="C241" s="7" t="str">
        <f>"乡土中国"</f>
        <v>乡土中国</v>
      </c>
      <c r="D241" s="7" t="str">
        <f>"费孝通著"</f>
        <v>费孝通著</v>
      </c>
      <c r="E241" s="7" t="str">
        <f>"三联书店"</f>
        <v>三联书店</v>
      </c>
      <c r="F241" s="7" t="str">
        <f>"C912.82/54=D-2"</f>
        <v>C912.82/54=D-2</v>
      </c>
    </row>
    <row r="242" customHeight="1" spans="1:6">
      <c r="A242" s="6">
        <v>241</v>
      </c>
      <c r="B242" s="8" t="s">
        <v>536</v>
      </c>
      <c r="C242" s="8" t="s">
        <v>537</v>
      </c>
      <c r="D242" s="8" t="s">
        <v>538</v>
      </c>
      <c r="E242" s="8" t="s">
        <v>539</v>
      </c>
      <c r="F242" s="8" t="s">
        <v>540</v>
      </c>
    </row>
    <row r="243" customHeight="1" spans="1:6">
      <c r="A243" s="6">
        <v>242</v>
      </c>
      <c r="B243" s="8" t="s">
        <v>536</v>
      </c>
      <c r="C243" s="8" t="s">
        <v>537</v>
      </c>
      <c r="D243" s="8" t="s">
        <v>538</v>
      </c>
      <c r="E243" s="8" t="s">
        <v>539</v>
      </c>
      <c r="F243" s="8" t="s">
        <v>540</v>
      </c>
    </row>
    <row r="244" customHeight="1" spans="1:6">
      <c r="A244" s="6">
        <v>243</v>
      </c>
      <c r="B244" s="8" t="s">
        <v>541</v>
      </c>
      <c r="C244" s="8" t="s">
        <v>542</v>
      </c>
      <c r="D244" s="8" t="s">
        <v>543</v>
      </c>
      <c r="E244" s="8" t="s">
        <v>544</v>
      </c>
      <c r="F244" s="8" t="s">
        <v>545</v>
      </c>
    </row>
    <row r="245" customHeight="1" spans="1:6">
      <c r="A245" s="6">
        <v>244</v>
      </c>
      <c r="B245" s="8" t="s">
        <v>541</v>
      </c>
      <c r="C245" s="8" t="s">
        <v>542</v>
      </c>
      <c r="D245" s="8" t="s">
        <v>543</v>
      </c>
      <c r="E245" s="8" t="s">
        <v>544</v>
      </c>
      <c r="F245" s="8" t="s">
        <v>545</v>
      </c>
    </row>
    <row r="246" customHeight="1" spans="1:6">
      <c r="A246" s="6">
        <v>245</v>
      </c>
      <c r="B246" s="7" t="str">
        <f>"978-7-308-21733-0"</f>
        <v>978-7-308-21733-0</v>
      </c>
      <c r="C246" s="7" t="str">
        <f>"爱的复利：用经济学思维谈爱与亲密关系"</f>
        <v>爱的复利：用经济学思维谈爱与亲密关系</v>
      </c>
      <c r="D246" s="7" t="str">
        <f>"黄徽著"</f>
        <v>黄徽著</v>
      </c>
      <c r="E246" s="7" t="str">
        <f>"浙江大学出版社"</f>
        <v>浙江大学出版社</v>
      </c>
      <c r="F246" s="7" t="str">
        <f>"C913.1/441"</f>
        <v>C913.1/441</v>
      </c>
    </row>
    <row r="247" customHeight="1" spans="1:6">
      <c r="A247" s="6">
        <v>246</v>
      </c>
      <c r="B247" s="7" t="str">
        <f>"978-7-308-21733-0"</f>
        <v>978-7-308-21733-0</v>
      </c>
      <c r="C247" s="7" t="str">
        <f>"爱的复利：用经济学思维谈爱与亲密关系"</f>
        <v>爱的复利：用经济学思维谈爱与亲密关系</v>
      </c>
      <c r="D247" s="7" t="str">
        <f>"黄徽著"</f>
        <v>黄徽著</v>
      </c>
      <c r="E247" s="7" t="str">
        <f>"浙江大学出版社"</f>
        <v>浙江大学出版社</v>
      </c>
      <c r="F247" s="7" t="str">
        <f>"C913.1/441"</f>
        <v>C913.1/441</v>
      </c>
    </row>
    <row r="248" customHeight="1" spans="1:6">
      <c r="A248" s="6">
        <v>247</v>
      </c>
      <c r="B248" s="7" t="str">
        <f>"978-7-201-17427-3"</f>
        <v>978-7-201-17427-3</v>
      </c>
      <c r="C248" s="7" t="str">
        <f>"恋爱心理学：如何让你爱的人爱上你"</f>
        <v>恋爱心理学：如何让你爱的人爱上你</v>
      </c>
      <c r="D248" s="7" t="str">
        <f>"(日) 水纪华著；边西岩译"</f>
        <v>(日) 水纪华著；边西岩译</v>
      </c>
      <c r="E248" s="7" t="str">
        <f>"天津人民出版社"</f>
        <v>天津人民出版社</v>
      </c>
      <c r="F248" s="7" t="str">
        <f>"C913.1/442"</f>
        <v>C913.1/442</v>
      </c>
    </row>
    <row r="249" customHeight="1" spans="1:6">
      <c r="A249" s="6">
        <v>248</v>
      </c>
      <c r="B249" s="7" t="str">
        <f>"978-7-201-17427-3"</f>
        <v>978-7-201-17427-3</v>
      </c>
      <c r="C249" s="7" t="str">
        <f>"恋爱心理学：如何让你爱的人爱上你"</f>
        <v>恋爱心理学：如何让你爱的人爱上你</v>
      </c>
      <c r="D249" s="7" t="str">
        <f>"(日) 水纪华著；边西岩译"</f>
        <v>(日) 水纪华著；边西岩译</v>
      </c>
      <c r="E249" s="7" t="str">
        <f>"天津人民出版社"</f>
        <v>天津人民出版社</v>
      </c>
      <c r="F249" s="7" t="str">
        <f>"C913.1/442"</f>
        <v>C913.1/442</v>
      </c>
    </row>
    <row r="250" customHeight="1" spans="1:6">
      <c r="A250" s="6">
        <v>249</v>
      </c>
      <c r="B250" s="7" t="str">
        <f t="shared" ref="B250:B252" si="38">"978-7-5217-0919-3"</f>
        <v>978-7-5217-0919-3</v>
      </c>
      <c r="C250" s="7" t="str">
        <f t="shared" ref="C250:C252" si="39">"我们为何结婚， 又为何不忠：性、婚姻和外遇的自然史"</f>
        <v>我们为何结婚， 又为何不忠：性、婚姻和外遇的自然史</v>
      </c>
      <c r="D250" s="7" t="str">
        <f t="shared" ref="D250:D252" si="40">"(美) 海伦·费舍尔著；倪韬， 王国平， 叶扬译"</f>
        <v>(美) 海伦·费舍尔著；倪韬， 王国平， 叶扬译</v>
      </c>
      <c r="E250" s="7" t="str">
        <f t="shared" ref="E250:E252" si="41">"中信出版集团股份有限公司"</f>
        <v>中信出版集团股份有限公司</v>
      </c>
      <c r="F250" s="7" t="str">
        <f t="shared" ref="F250:F252" si="42">"C913.13/224"</f>
        <v>C913.13/224</v>
      </c>
    </row>
    <row r="251" customHeight="1" spans="1:6">
      <c r="A251" s="6">
        <v>250</v>
      </c>
      <c r="B251" s="7" t="str">
        <f t="shared" si="38"/>
        <v>978-7-5217-0919-3</v>
      </c>
      <c r="C251" s="7" t="str">
        <f t="shared" si="39"/>
        <v>我们为何结婚， 又为何不忠：性、婚姻和外遇的自然史</v>
      </c>
      <c r="D251" s="7" t="str">
        <f t="shared" si="40"/>
        <v>(美) 海伦·费舍尔著；倪韬， 王国平， 叶扬译</v>
      </c>
      <c r="E251" s="7" t="str">
        <f t="shared" si="41"/>
        <v>中信出版集团股份有限公司</v>
      </c>
      <c r="F251" s="7" t="str">
        <f t="shared" si="42"/>
        <v>C913.13/224</v>
      </c>
    </row>
    <row r="252" customHeight="1" spans="1:6">
      <c r="A252" s="6">
        <v>251</v>
      </c>
      <c r="B252" s="7" t="str">
        <f t="shared" si="38"/>
        <v>978-7-5217-0919-3</v>
      </c>
      <c r="C252" s="7" t="str">
        <f t="shared" si="39"/>
        <v>我们为何结婚， 又为何不忠：性、婚姻和外遇的自然史</v>
      </c>
      <c r="D252" s="7" t="str">
        <f t="shared" si="40"/>
        <v>(美) 海伦·费舍尔著；倪韬， 王国平， 叶扬译</v>
      </c>
      <c r="E252" s="7" t="str">
        <f t="shared" si="41"/>
        <v>中信出版集团股份有限公司</v>
      </c>
      <c r="F252" s="7" t="str">
        <f t="shared" si="42"/>
        <v>C913.13/224</v>
      </c>
    </row>
    <row r="253" customHeight="1" spans="1:6">
      <c r="A253" s="6">
        <v>252</v>
      </c>
      <c r="B253" s="7" t="str">
        <f>"978-7-5142-3382-7"</f>
        <v>978-7-5142-3382-7</v>
      </c>
      <c r="C253" s="7" t="str">
        <f>"高薪城市：决定收入的因素不是简历， 而是你住哪儿"</f>
        <v>高薪城市：决定收入的因素不是简历， 而是你住哪儿</v>
      </c>
      <c r="D253" s="7" t="str">
        <f>"(美) 恩里克·莫雷迪著Enrico Moretti；邢春冰等译"</f>
        <v>(美) 恩里克·莫雷迪著Enrico Moretti；邢春冰等译</v>
      </c>
      <c r="E253" s="7" t="str">
        <f>"文化发展出版社"</f>
        <v>文化发展出版社</v>
      </c>
      <c r="F253" s="7" t="str">
        <f>"C913.2/448"</f>
        <v>C913.2/448</v>
      </c>
    </row>
    <row r="254" customHeight="1" spans="1:6">
      <c r="A254" s="6">
        <v>253</v>
      </c>
      <c r="B254" s="7" t="str">
        <f>"978-7-5142-3382-7"</f>
        <v>978-7-5142-3382-7</v>
      </c>
      <c r="C254" s="7" t="str">
        <f>"高薪城市：决定收入的因素不是简历， 而是你住哪儿"</f>
        <v>高薪城市：决定收入的因素不是简历， 而是你住哪儿</v>
      </c>
      <c r="D254" s="7" t="str">
        <f>"(美) 恩里克·莫雷迪著Enrico Moretti；邢春冰等译"</f>
        <v>(美) 恩里克·莫雷迪著Enrico Moretti；邢春冰等译</v>
      </c>
      <c r="E254" s="7" t="str">
        <f>"文化发展出版社"</f>
        <v>文化发展出版社</v>
      </c>
      <c r="F254" s="7" t="str">
        <f>"C913.2/448"</f>
        <v>C913.2/448</v>
      </c>
    </row>
    <row r="255" customHeight="1" spans="1:6">
      <c r="A255" s="6">
        <v>254</v>
      </c>
      <c r="B255" s="7" t="str">
        <f>"978-7-5217-1681-8"</f>
        <v>978-7-5217-1681-8</v>
      </c>
      <c r="C255" s="7" t="str">
        <f>"终极面试表现：学会展示自我， 赢得面试官青睐"</f>
        <v>终极面试表现：学会展示自我， 赢得面试官青睐</v>
      </c>
      <c r="D255" s="7" t="str">
        <f>"(英) 杰伊·苏尔蒂著；翟启凤译"</f>
        <v>(英) 杰伊·苏尔蒂著；翟启凤译</v>
      </c>
      <c r="E255" s="7" t="str">
        <f t="shared" ref="E255:E260" si="43">"中信出版集团股份有限公司"</f>
        <v>中信出版集团股份有限公司</v>
      </c>
      <c r="F255" s="7" t="str">
        <f>"C913.2/449"</f>
        <v>C913.2/449</v>
      </c>
    </row>
    <row r="256" customHeight="1" spans="1:6">
      <c r="A256" s="6">
        <v>255</v>
      </c>
      <c r="B256" s="7" t="str">
        <f>"978-7-5217-1681-8"</f>
        <v>978-7-5217-1681-8</v>
      </c>
      <c r="C256" s="7" t="str">
        <f>"终极面试表现：学会展示自我， 赢得面试官青睐"</f>
        <v>终极面试表现：学会展示自我， 赢得面试官青睐</v>
      </c>
      <c r="D256" s="7" t="str">
        <f>"(英) 杰伊·苏尔蒂著；翟启凤译"</f>
        <v>(英) 杰伊·苏尔蒂著；翟启凤译</v>
      </c>
      <c r="E256" s="7" t="str">
        <f t="shared" si="43"/>
        <v>中信出版集团股份有限公司</v>
      </c>
      <c r="F256" s="7" t="str">
        <f>"C913.2/449"</f>
        <v>C913.2/449</v>
      </c>
    </row>
    <row r="257" customHeight="1" spans="1:6">
      <c r="A257" s="6">
        <v>256</v>
      </c>
      <c r="B257" s="8" t="s">
        <v>546</v>
      </c>
      <c r="C257" s="8" t="s">
        <v>547</v>
      </c>
      <c r="D257" s="8" t="s">
        <v>548</v>
      </c>
      <c r="E257" s="8" t="s">
        <v>549</v>
      </c>
      <c r="F257" s="8" t="s">
        <v>550</v>
      </c>
    </row>
    <row r="258" customHeight="1" spans="1:6">
      <c r="A258" s="6">
        <v>257</v>
      </c>
      <c r="B258" s="8" t="s">
        <v>546</v>
      </c>
      <c r="C258" s="8" t="s">
        <v>547</v>
      </c>
      <c r="D258" s="8" t="s">
        <v>548</v>
      </c>
      <c r="E258" s="8" t="s">
        <v>549</v>
      </c>
      <c r="F258" s="8" t="s">
        <v>550</v>
      </c>
    </row>
    <row r="259" customHeight="1" spans="1:6">
      <c r="A259" s="6">
        <v>258</v>
      </c>
      <c r="B259" s="7" t="str">
        <f>"978-7-5217-2963-4"</f>
        <v>978-7-5217-2963-4</v>
      </c>
      <c r="C259" s="7" t="str">
        <f>"延展力：未来职场的创造性重构与自我迭代"</f>
        <v>延展力：未来职场的创造性重构与自我迭代</v>
      </c>
      <c r="D259" s="7" t="str">
        <f>"(美) 凯瑞·维尔叶， 芭芭拉·米斯蒂克著；李奇， 牛树军译"</f>
        <v>(美) 凯瑞·维尔叶， 芭芭拉·米斯蒂克著；李奇， 牛树军译</v>
      </c>
      <c r="E259" s="7" t="str">
        <f t="shared" si="43"/>
        <v>中信出版集团股份有限公司</v>
      </c>
      <c r="F259" s="7" t="str">
        <f>"C913.2-49/29"</f>
        <v>C913.2-49/29</v>
      </c>
    </row>
    <row r="260" customHeight="1" spans="1:6">
      <c r="A260" s="6">
        <v>259</v>
      </c>
      <c r="B260" s="7" t="str">
        <f>"978-7-5217-2963-4"</f>
        <v>978-7-5217-2963-4</v>
      </c>
      <c r="C260" s="7" t="str">
        <f>"延展力：未来职场的创造性重构与自我迭代"</f>
        <v>延展力：未来职场的创造性重构与自我迭代</v>
      </c>
      <c r="D260" s="7" t="str">
        <f>"(美) 凯瑞·维尔叶， 芭芭拉·米斯蒂克著；李奇， 牛树军译"</f>
        <v>(美) 凯瑞·维尔叶， 芭芭拉·米斯蒂克著；李奇， 牛树军译</v>
      </c>
      <c r="E260" s="7" t="str">
        <f t="shared" si="43"/>
        <v>中信出版集团股份有限公司</v>
      </c>
      <c r="F260" s="7" t="str">
        <f>"C913.2-49/29"</f>
        <v>C913.2-49/29</v>
      </c>
    </row>
    <row r="261" customHeight="1" spans="1:6">
      <c r="A261" s="6">
        <v>260</v>
      </c>
      <c r="B261" s="8" t="s">
        <v>551</v>
      </c>
      <c r="C261" s="8" t="s">
        <v>552</v>
      </c>
      <c r="D261" s="8" t="s">
        <v>553</v>
      </c>
      <c r="E261" s="8" t="s">
        <v>256</v>
      </c>
      <c r="F261" s="8" t="s">
        <v>554</v>
      </c>
    </row>
    <row r="262" customHeight="1" spans="1:6">
      <c r="A262" s="6">
        <v>261</v>
      </c>
      <c r="B262" s="8" t="s">
        <v>551</v>
      </c>
      <c r="C262" s="8" t="s">
        <v>552</v>
      </c>
      <c r="D262" s="8" t="s">
        <v>553</v>
      </c>
      <c r="E262" s="8" t="s">
        <v>256</v>
      </c>
      <c r="F262" s="8" t="s">
        <v>554</v>
      </c>
    </row>
    <row r="263" customHeight="1" spans="1:6">
      <c r="A263" s="6">
        <v>262</v>
      </c>
      <c r="B263" s="8" t="s">
        <v>551</v>
      </c>
      <c r="C263" s="8" t="s">
        <v>552</v>
      </c>
      <c r="D263" s="8" t="s">
        <v>553</v>
      </c>
      <c r="E263" s="8" t="s">
        <v>256</v>
      </c>
      <c r="F263" s="8" t="s">
        <v>554</v>
      </c>
    </row>
    <row r="264" customHeight="1" spans="1:6">
      <c r="A264" s="6">
        <v>263</v>
      </c>
      <c r="B264" s="7" t="str">
        <f>"978-7-5432-3268-6"</f>
        <v>978-7-5432-3268-6</v>
      </c>
      <c r="C264" s="7" t="str">
        <f>"休闲活动策划与管理"</f>
        <v>休闲活动策划与管理</v>
      </c>
      <c r="D264" s="7" t="str">
        <f>"刘嘉龙 ... [等] 编著"</f>
        <v>刘嘉龙 ... [等] 编著</v>
      </c>
      <c r="E264" s="7" t="str">
        <f>"格致出版社"</f>
        <v>格致出版社</v>
      </c>
      <c r="F264" s="7" t="str">
        <f>"C913.3/79=4D"</f>
        <v>C913.3/79=4D</v>
      </c>
    </row>
    <row r="265" customHeight="1" spans="1:6">
      <c r="A265" s="6">
        <v>264</v>
      </c>
      <c r="B265" s="7" t="str">
        <f>"978-7-5432-3268-6"</f>
        <v>978-7-5432-3268-6</v>
      </c>
      <c r="C265" s="7" t="str">
        <f>"休闲活动策划与管理"</f>
        <v>休闲活动策划与管理</v>
      </c>
      <c r="D265" s="7" t="str">
        <f>"刘嘉龙 ... [等] 编著"</f>
        <v>刘嘉龙 ... [等] 编著</v>
      </c>
      <c r="E265" s="7" t="str">
        <f>"格致出版社"</f>
        <v>格致出版社</v>
      </c>
      <c r="F265" s="7" t="str">
        <f>"C913.3/79=4D"</f>
        <v>C913.3/79=4D</v>
      </c>
    </row>
    <row r="266" customHeight="1" spans="1:6">
      <c r="A266" s="6">
        <v>265</v>
      </c>
      <c r="B266" s="7" t="str">
        <f>"978-7-5642-3709-7"</f>
        <v>978-7-5642-3709-7</v>
      </c>
      <c r="C266" s="7" t="str">
        <f>"网络游戏：行为、意识与成瘾：behaviour， consciousness and addiction"</f>
        <v>网络游戏：行为、意识与成瘾：behaviour， consciousness and addiction</v>
      </c>
      <c r="D266" s="7" t="str">
        <f>"朱丹红， 黄少华著"</f>
        <v>朱丹红， 黄少华著</v>
      </c>
      <c r="E266" s="7" t="str">
        <f>"上海财经大学出版社"</f>
        <v>上海财经大学出版社</v>
      </c>
      <c r="F266" s="7" t="str">
        <f>"C913.5/30"</f>
        <v>C913.5/30</v>
      </c>
    </row>
    <row r="267" customHeight="1" spans="1:6">
      <c r="A267" s="6">
        <v>266</v>
      </c>
      <c r="B267" s="7" t="str">
        <f>"978-7-5642-3709-7"</f>
        <v>978-7-5642-3709-7</v>
      </c>
      <c r="C267" s="7" t="str">
        <f>"网络游戏：行为、意识与成瘾：behaviour， consciousness and addiction"</f>
        <v>网络游戏：行为、意识与成瘾：behaviour， consciousness and addiction</v>
      </c>
      <c r="D267" s="7" t="str">
        <f>"朱丹红， 黄少华著"</f>
        <v>朱丹红， 黄少华著</v>
      </c>
      <c r="E267" s="7" t="str">
        <f>"上海财经大学出版社"</f>
        <v>上海财经大学出版社</v>
      </c>
      <c r="F267" s="7" t="str">
        <f>"C913.5/30"</f>
        <v>C913.5/30</v>
      </c>
    </row>
    <row r="268" customHeight="1" spans="1:6">
      <c r="A268" s="6">
        <v>267</v>
      </c>
      <c r="B268" s="8" t="s">
        <v>555</v>
      </c>
      <c r="C268" s="8" t="s">
        <v>556</v>
      </c>
      <c r="D268" s="8" t="s">
        <v>557</v>
      </c>
      <c r="E268" s="8" t="s">
        <v>558</v>
      </c>
      <c r="F268" s="8" t="s">
        <v>559</v>
      </c>
    </row>
    <row r="269" customHeight="1" spans="1:6">
      <c r="A269" s="6">
        <v>268</v>
      </c>
      <c r="B269" s="8" t="s">
        <v>555</v>
      </c>
      <c r="C269" s="8" t="s">
        <v>556</v>
      </c>
      <c r="D269" s="8" t="s">
        <v>557</v>
      </c>
      <c r="E269" s="8" t="s">
        <v>558</v>
      </c>
      <c r="F269" s="8" t="s">
        <v>559</v>
      </c>
    </row>
    <row r="270" customHeight="1" spans="1:6">
      <c r="A270" s="6">
        <v>269</v>
      </c>
      <c r="B270" s="7" t="str">
        <f t="shared" ref="B270:B272" si="44">"978-7-5327-4967-6"</f>
        <v>978-7-5327-4967-6</v>
      </c>
      <c r="C270" s="7" t="str">
        <f t="shared" ref="C270:C272" si="45">"第二性．Ⅱ：实际体验．L'experience vecue"</f>
        <v>第二性．Ⅱ：实际体验．L'experience vecue</v>
      </c>
      <c r="D270" s="7" t="str">
        <f t="shared" ref="D270:D272" si="46">"(法) 西蒙娜·德·波伏瓦著Simone De Beauvoir；郑克鲁译"</f>
        <v>(法) 西蒙娜·德·波伏瓦著Simone De Beauvoir；郑克鲁译</v>
      </c>
      <c r="E270" s="7" t="str">
        <f t="shared" ref="E270:E272" si="47">"上海译文出版社"</f>
        <v>上海译文出版社</v>
      </c>
      <c r="F270" s="7" t="str">
        <f t="shared" ref="F270:F272" si="48">"C913.68/35.2/2"</f>
        <v>C913.68/35.2/2</v>
      </c>
    </row>
    <row r="271" customHeight="1" spans="1:6">
      <c r="A271" s="6">
        <v>270</v>
      </c>
      <c r="B271" s="7" t="str">
        <f t="shared" si="44"/>
        <v>978-7-5327-4967-6</v>
      </c>
      <c r="C271" s="7" t="str">
        <f t="shared" si="45"/>
        <v>第二性．Ⅱ：实际体验．L'experience vecue</v>
      </c>
      <c r="D271" s="7" t="str">
        <f t="shared" si="46"/>
        <v>(法) 西蒙娜·德·波伏瓦著Simone De Beauvoir；郑克鲁译</v>
      </c>
      <c r="E271" s="7" t="str">
        <f t="shared" si="47"/>
        <v>上海译文出版社</v>
      </c>
      <c r="F271" s="7" t="str">
        <f t="shared" si="48"/>
        <v>C913.68/35.2/2</v>
      </c>
    </row>
    <row r="272" customHeight="1" spans="1:6">
      <c r="A272" s="6">
        <v>271</v>
      </c>
      <c r="B272" s="7" t="str">
        <f t="shared" si="44"/>
        <v>978-7-5327-4967-6</v>
      </c>
      <c r="C272" s="7" t="str">
        <f t="shared" si="45"/>
        <v>第二性．Ⅱ：实际体验．L'experience vecue</v>
      </c>
      <c r="D272" s="7" t="str">
        <f t="shared" si="46"/>
        <v>(法) 西蒙娜·德·波伏瓦著Simone De Beauvoir；郑克鲁译</v>
      </c>
      <c r="E272" s="7" t="str">
        <f t="shared" si="47"/>
        <v>上海译文出版社</v>
      </c>
      <c r="F272" s="7" t="str">
        <f t="shared" si="48"/>
        <v>C913.68/35.2/2</v>
      </c>
    </row>
    <row r="273" customHeight="1" spans="1:6">
      <c r="A273" s="6">
        <v>272</v>
      </c>
      <c r="B273" s="7" t="str">
        <f t="shared" ref="B273:B275" si="49">"978-7-307-22602-9"</f>
        <v>978-7-307-22602-9</v>
      </c>
      <c r="C273" s="7" t="str">
        <f t="shared" ref="C273:C275" si="50">"社会性别与妇女发展"</f>
        <v>社会性别与妇女发展</v>
      </c>
      <c r="D273" s="7" t="str">
        <f t="shared" ref="D273:D275" si="51">"主编赵雪梅， 丁俊萍， 李燕萍"</f>
        <v>主编赵雪梅， 丁俊萍， 李燕萍</v>
      </c>
      <c r="E273" s="7" t="str">
        <f t="shared" ref="E273:E275" si="52">"武汉大学出版社"</f>
        <v>武汉大学出版社</v>
      </c>
      <c r="F273" s="7" t="str">
        <f t="shared" ref="F273:F275" si="53">"C913.68/79"</f>
        <v>C913.68/79</v>
      </c>
    </row>
    <row r="274" customHeight="1" spans="1:6">
      <c r="A274" s="6">
        <v>273</v>
      </c>
      <c r="B274" s="7" t="str">
        <f t="shared" si="49"/>
        <v>978-7-307-22602-9</v>
      </c>
      <c r="C274" s="7" t="str">
        <f t="shared" si="50"/>
        <v>社会性别与妇女发展</v>
      </c>
      <c r="D274" s="7" t="str">
        <f t="shared" si="51"/>
        <v>主编赵雪梅， 丁俊萍， 李燕萍</v>
      </c>
      <c r="E274" s="7" t="str">
        <f t="shared" si="52"/>
        <v>武汉大学出版社</v>
      </c>
      <c r="F274" s="7" t="str">
        <f t="shared" si="53"/>
        <v>C913.68/79</v>
      </c>
    </row>
    <row r="275" customHeight="1" spans="1:6">
      <c r="A275" s="6">
        <v>274</v>
      </c>
      <c r="B275" s="7" t="str">
        <f t="shared" si="49"/>
        <v>978-7-307-22602-9</v>
      </c>
      <c r="C275" s="7" t="str">
        <f t="shared" si="50"/>
        <v>社会性别与妇女发展</v>
      </c>
      <c r="D275" s="7" t="str">
        <f t="shared" si="51"/>
        <v>主编赵雪梅， 丁俊萍， 李燕萍</v>
      </c>
      <c r="E275" s="7" t="str">
        <f t="shared" si="52"/>
        <v>武汉大学出版社</v>
      </c>
      <c r="F275" s="7" t="str">
        <f t="shared" si="53"/>
        <v>C913.68/79</v>
      </c>
    </row>
    <row r="276" customHeight="1" spans="1:6">
      <c r="A276" s="6">
        <v>275</v>
      </c>
      <c r="B276" s="8" t="s">
        <v>560</v>
      </c>
      <c r="C276" s="8" t="s">
        <v>561</v>
      </c>
      <c r="D276" s="8" t="s">
        <v>562</v>
      </c>
      <c r="E276" s="8" t="s">
        <v>270</v>
      </c>
      <c r="F276" s="8" t="s">
        <v>563</v>
      </c>
    </row>
    <row r="277" customHeight="1" spans="1:6">
      <c r="A277" s="6">
        <v>276</v>
      </c>
      <c r="B277" s="8" t="s">
        <v>560</v>
      </c>
      <c r="C277" s="8" t="s">
        <v>561</v>
      </c>
      <c r="D277" s="8" t="s">
        <v>562</v>
      </c>
      <c r="E277" s="8" t="s">
        <v>270</v>
      </c>
      <c r="F277" s="8" t="s">
        <v>563</v>
      </c>
    </row>
    <row r="278" customHeight="1" spans="1:6">
      <c r="A278" s="6">
        <v>277</v>
      </c>
      <c r="B278" s="7" t="str">
        <f>"978-7-121-41606-4"</f>
        <v>978-7-121-41606-4</v>
      </c>
      <c r="C278" s="7" t="str">
        <f>"SPSS社会调查应用教程：基本原理与实操案例"</f>
        <v>SPSS社会调查应用教程：基本原理与实操案例</v>
      </c>
      <c r="D278" s="7" t="str">
        <f>"樊文强， 杜智敏编著"</f>
        <v>樊文强， 杜智敏编著</v>
      </c>
      <c r="E278" s="7" t="str">
        <f>"电子工业出版社"</f>
        <v>电子工业出版社</v>
      </c>
      <c r="F278" s="7" t="str">
        <f>"C915-39/3=2D"</f>
        <v>C915-39/3=2D</v>
      </c>
    </row>
    <row r="279" customHeight="1" spans="1:6">
      <c r="A279" s="6">
        <v>278</v>
      </c>
      <c r="B279" s="7" t="str">
        <f>"978-7-121-41606-4"</f>
        <v>978-7-121-41606-4</v>
      </c>
      <c r="C279" s="7" t="str">
        <f>"SPSS社会调查应用教程：基本原理与实操案例"</f>
        <v>SPSS社会调查应用教程：基本原理与实操案例</v>
      </c>
      <c r="D279" s="7" t="str">
        <f>"樊文强， 杜智敏编著"</f>
        <v>樊文强， 杜智敏编著</v>
      </c>
      <c r="E279" s="7" t="str">
        <f>"电子工业出版社"</f>
        <v>电子工业出版社</v>
      </c>
      <c r="F279" s="7" t="str">
        <f>"C915-39/3=2D"</f>
        <v>C915-39/3=2D</v>
      </c>
    </row>
    <row r="280" customHeight="1" spans="1:6">
      <c r="A280" s="6">
        <v>279</v>
      </c>
      <c r="B280" s="7" t="str">
        <f>"978-7-308-21664-7"</f>
        <v>978-7-308-21664-7</v>
      </c>
      <c r="C280" s="7" t="str">
        <f>"反内卷：如何对抗集体焦虑与非理性竞争"</f>
        <v>反内卷：如何对抗集体焦虑与非理性竞争</v>
      </c>
      <c r="D280" s="7" t="str">
        <f>"黄徽著"</f>
        <v>黄徽著</v>
      </c>
      <c r="E280" s="7" t="str">
        <f>"浙江大学出版社"</f>
        <v>浙江大学出版社</v>
      </c>
      <c r="F280" s="7" t="str">
        <f>"C916/110"</f>
        <v>C916/110</v>
      </c>
    </row>
    <row r="281" customHeight="1" spans="1:6">
      <c r="A281" s="6">
        <v>280</v>
      </c>
      <c r="B281" s="7" t="str">
        <f>"978-7-308-21664-7"</f>
        <v>978-7-308-21664-7</v>
      </c>
      <c r="C281" s="7" t="str">
        <f>"反内卷：如何对抗集体焦虑与非理性竞争"</f>
        <v>反内卷：如何对抗集体焦虑与非理性竞争</v>
      </c>
      <c r="D281" s="7" t="str">
        <f>"黄徽著"</f>
        <v>黄徽著</v>
      </c>
      <c r="E281" s="7" t="str">
        <f>"浙江大学出版社"</f>
        <v>浙江大学出版社</v>
      </c>
      <c r="F281" s="7" t="str">
        <f>"C916/110"</f>
        <v>C916/110</v>
      </c>
    </row>
    <row r="282" customHeight="1" spans="1:6">
      <c r="A282" s="6">
        <v>281</v>
      </c>
      <c r="B282" s="7" t="str">
        <f>"978-7-5068-8214-9"</f>
        <v>978-7-5068-8214-9</v>
      </c>
      <c r="C282" s="7" t="str">
        <f>"文化资本视角下中国农村流动人口的城市融入问题研究"</f>
        <v>文化资本视角下中国农村流动人口的城市融入问题研究</v>
      </c>
      <c r="D282" s="7" t="str">
        <f>"袁一民著"</f>
        <v>袁一民著</v>
      </c>
      <c r="E282" s="7" t="str">
        <f>"中国书籍出版社"</f>
        <v>中国书籍出版社</v>
      </c>
      <c r="F282" s="7" t="str">
        <f>"C922.2/16"</f>
        <v>C922.2/16</v>
      </c>
    </row>
    <row r="283" customHeight="1" spans="1:6">
      <c r="A283" s="6">
        <v>282</v>
      </c>
      <c r="B283" s="7" t="str">
        <f>"978-7-5068-8214-9"</f>
        <v>978-7-5068-8214-9</v>
      </c>
      <c r="C283" s="7" t="str">
        <f>"文化资本视角下中国农村流动人口的城市融入问题研究"</f>
        <v>文化资本视角下中国农村流动人口的城市融入问题研究</v>
      </c>
      <c r="D283" s="7" t="str">
        <f>"袁一民著"</f>
        <v>袁一民著</v>
      </c>
      <c r="E283" s="7" t="str">
        <f>"中国书籍出版社"</f>
        <v>中国书籍出版社</v>
      </c>
      <c r="F283" s="7" t="str">
        <f>"C922.2/16"</f>
        <v>C922.2/16</v>
      </c>
    </row>
    <row r="284" customHeight="1" spans="1:6">
      <c r="A284" s="6">
        <v>283</v>
      </c>
      <c r="B284" s="7" t="str">
        <f>"978-7-03-068283-3"</f>
        <v>978-7-03-068283-3</v>
      </c>
      <c r="C284" s="7" t="str">
        <f>"人口与经济发展方式"</f>
        <v>人口与经济发展方式</v>
      </c>
      <c r="D284" s="7" t="str">
        <f>"王金营等著"</f>
        <v>王金营等著</v>
      </c>
      <c r="E284" s="7" t="str">
        <f>"科学出版社"</f>
        <v>科学出版社</v>
      </c>
      <c r="F284" s="7" t="str">
        <f>"C924.24/60"</f>
        <v>C924.24/60</v>
      </c>
    </row>
    <row r="285" customHeight="1" spans="1:6">
      <c r="A285" s="6">
        <v>284</v>
      </c>
      <c r="B285" s="7" t="str">
        <f>"978-7-03-068283-3"</f>
        <v>978-7-03-068283-3</v>
      </c>
      <c r="C285" s="7" t="str">
        <f>"人口与经济发展方式"</f>
        <v>人口与经济发展方式</v>
      </c>
      <c r="D285" s="7" t="str">
        <f>"王金营等著"</f>
        <v>王金营等著</v>
      </c>
      <c r="E285" s="7" t="str">
        <f>"科学出版社"</f>
        <v>科学出版社</v>
      </c>
      <c r="F285" s="7" t="str">
        <f>"C924.24/60"</f>
        <v>C924.24/60</v>
      </c>
    </row>
    <row r="286" customHeight="1" spans="1:6">
      <c r="A286" s="6">
        <v>285</v>
      </c>
      <c r="B286" s="7" t="str">
        <f>"978-7-111-68158-8"</f>
        <v>978-7-111-68158-8</v>
      </c>
      <c r="C286" s="7" t="str">
        <f>"马斯洛论管理"</f>
        <v>马斯洛论管理</v>
      </c>
      <c r="D286" s="7" t="str">
        <f>"(美) 亚伯拉罕·马斯洛， 德博拉·C. 斯蒂芬斯， 加里·海尔著Abroham H. Maslow， Deborah C. Stephens， Gary Heil；邵冲， 苏曼译"</f>
        <v>(美) 亚伯拉罕·马斯洛， 德博拉·C. 斯蒂芬斯， 加里·海尔著Abroham H. Maslow， Deborah C. Stephens， Gary Heil；邵冲， 苏曼译</v>
      </c>
      <c r="E286" s="7" t="str">
        <f>"机械工业出版社"</f>
        <v>机械工业出版社</v>
      </c>
      <c r="F286" s="7" t="str">
        <f>"C93/969"</f>
        <v>C93/969</v>
      </c>
    </row>
    <row r="287" customHeight="1" spans="1:6">
      <c r="A287" s="6">
        <v>286</v>
      </c>
      <c r="B287" s="7" t="str">
        <f>"978-7-111-68158-8"</f>
        <v>978-7-111-68158-8</v>
      </c>
      <c r="C287" s="7" t="str">
        <f>"马斯洛论管理"</f>
        <v>马斯洛论管理</v>
      </c>
      <c r="D287" s="7" t="str">
        <f>"(美) 亚伯拉罕·马斯洛， 德博拉·C. 斯蒂芬斯， 加里·海尔著Abroham H. Maslow， Deborah C. Stephens， Gary Heil；邵冲， 苏曼译"</f>
        <v>(美) 亚伯拉罕·马斯洛， 德博拉·C. 斯蒂芬斯， 加里·海尔著Abroham H. Maslow， Deborah C. Stephens， Gary Heil；邵冲， 苏曼译</v>
      </c>
      <c r="E287" s="7" t="str">
        <f>"机械工业出版社"</f>
        <v>机械工业出版社</v>
      </c>
      <c r="F287" s="7" t="str">
        <f>"C93/969"</f>
        <v>C93/969</v>
      </c>
    </row>
    <row r="288" customHeight="1" spans="1:6">
      <c r="A288" s="6">
        <v>287</v>
      </c>
      <c r="B288" s="7" t="str">
        <f t="shared" ref="B288:B290" si="54">"978-7-5217-3155-2"</f>
        <v>978-7-5217-3155-2</v>
      </c>
      <c r="C288" s="7" t="str">
        <f t="shared" ref="C288:C290" si="55">"上游思维"</f>
        <v>上游思维</v>
      </c>
      <c r="D288" s="7" t="str">
        <f t="shared" ref="D288:D290" si="56">"(美) 丹·希思著Dan Heath；尚书译"</f>
        <v>(美) 丹·希思著Dan Heath；尚书译</v>
      </c>
      <c r="E288" s="7" t="str">
        <f t="shared" ref="E288:E290" si="57">"中信出版集团股份有限公司"</f>
        <v>中信出版集团股份有限公司</v>
      </c>
      <c r="F288" s="7" t="str">
        <f t="shared" ref="F288:F290" si="58">"C93/970"</f>
        <v>C93/970</v>
      </c>
    </row>
    <row r="289" customHeight="1" spans="1:6">
      <c r="A289" s="6">
        <v>288</v>
      </c>
      <c r="B289" s="7" t="str">
        <f t="shared" si="54"/>
        <v>978-7-5217-3155-2</v>
      </c>
      <c r="C289" s="7" t="str">
        <f t="shared" si="55"/>
        <v>上游思维</v>
      </c>
      <c r="D289" s="7" t="str">
        <f t="shared" si="56"/>
        <v>(美) 丹·希思著Dan Heath；尚书译</v>
      </c>
      <c r="E289" s="7" t="str">
        <f t="shared" si="57"/>
        <v>中信出版集团股份有限公司</v>
      </c>
      <c r="F289" s="7" t="str">
        <f t="shared" si="58"/>
        <v>C93/970</v>
      </c>
    </row>
    <row r="290" customHeight="1" spans="1:6">
      <c r="A290" s="6">
        <v>289</v>
      </c>
      <c r="B290" s="7" t="str">
        <f t="shared" si="54"/>
        <v>978-7-5217-3155-2</v>
      </c>
      <c r="C290" s="7" t="str">
        <f t="shared" si="55"/>
        <v>上游思维</v>
      </c>
      <c r="D290" s="7" t="str">
        <f t="shared" si="56"/>
        <v>(美) 丹·希思著Dan Heath；尚书译</v>
      </c>
      <c r="E290" s="7" t="str">
        <f t="shared" si="57"/>
        <v>中信出版集团股份有限公司</v>
      </c>
      <c r="F290" s="7" t="str">
        <f t="shared" si="58"/>
        <v>C93/970</v>
      </c>
    </row>
    <row r="291" customHeight="1" spans="1:6">
      <c r="A291" s="6">
        <v>290</v>
      </c>
      <c r="B291" s="8" t="s">
        <v>564</v>
      </c>
      <c r="C291" s="8" t="s">
        <v>565</v>
      </c>
      <c r="D291" s="8" t="s">
        <v>566</v>
      </c>
      <c r="E291" s="8" t="s">
        <v>189</v>
      </c>
      <c r="F291" s="8" t="s">
        <v>567</v>
      </c>
    </row>
    <row r="292" customHeight="1" spans="1:6">
      <c r="A292" s="6">
        <v>291</v>
      </c>
      <c r="B292" s="8" t="s">
        <v>564</v>
      </c>
      <c r="C292" s="8" t="s">
        <v>565</v>
      </c>
      <c r="D292" s="8" t="s">
        <v>566</v>
      </c>
      <c r="E292" s="8" t="s">
        <v>189</v>
      </c>
      <c r="F292" s="8" t="s">
        <v>567</v>
      </c>
    </row>
    <row r="293" customHeight="1" spans="1:6">
      <c r="A293" s="6">
        <v>292</v>
      </c>
      <c r="B293" s="8" t="s">
        <v>568</v>
      </c>
      <c r="C293" s="8" t="s">
        <v>569</v>
      </c>
      <c r="D293" s="8" t="s">
        <v>570</v>
      </c>
      <c r="E293" s="8" t="s">
        <v>571</v>
      </c>
      <c r="F293" s="8" t="s">
        <v>572</v>
      </c>
    </row>
    <row r="294" customHeight="1" spans="1:6">
      <c r="A294" s="6">
        <v>293</v>
      </c>
      <c r="B294" s="8" t="s">
        <v>568</v>
      </c>
      <c r="C294" s="8" t="s">
        <v>569</v>
      </c>
      <c r="D294" s="8" t="s">
        <v>570</v>
      </c>
      <c r="E294" s="8" t="s">
        <v>571</v>
      </c>
      <c r="F294" s="8" t="s">
        <v>572</v>
      </c>
    </row>
    <row r="295" customHeight="1" spans="1:6">
      <c r="A295" s="6">
        <v>294</v>
      </c>
      <c r="B295" s="8" t="s">
        <v>573</v>
      </c>
      <c r="C295" s="8" t="s">
        <v>574</v>
      </c>
      <c r="D295" s="8" t="s">
        <v>575</v>
      </c>
      <c r="E295" s="8" t="s">
        <v>576</v>
      </c>
      <c r="F295" s="8" t="s">
        <v>577</v>
      </c>
    </row>
    <row r="296" customHeight="1" spans="1:6">
      <c r="A296" s="6">
        <v>295</v>
      </c>
      <c r="B296" s="8" t="s">
        <v>573</v>
      </c>
      <c r="C296" s="8" t="s">
        <v>574</v>
      </c>
      <c r="D296" s="8" t="s">
        <v>575</v>
      </c>
      <c r="E296" s="8" t="s">
        <v>576</v>
      </c>
      <c r="F296" s="8" t="s">
        <v>577</v>
      </c>
    </row>
    <row r="297" customHeight="1" spans="1:6">
      <c r="A297" s="6">
        <v>296</v>
      </c>
      <c r="B297" s="7" t="str">
        <f>"978-7-5164-2438-4"</f>
        <v>978-7-5164-2438-4</v>
      </c>
      <c r="C297" s="7" t="str">
        <f>"西方管理思想溯源及其历史演进"</f>
        <v>西方管理思想溯源及其历史演进</v>
      </c>
      <c r="D297" s="7" t="str">
        <f>"陈继华著"</f>
        <v>陈继华著</v>
      </c>
      <c r="E297" s="7" t="str">
        <f>"企业管理出版社"</f>
        <v>企业管理出版社</v>
      </c>
      <c r="F297" s="7" t="str">
        <f>"C93-095/3"</f>
        <v>C93-095/3</v>
      </c>
    </row>
    <row r="298" customHeight="1" spans="1:6">
      <c r="A298" s="6">
        <v>297</v>
      </c>
      <c r="B298" s="7" t="str">
        <f>"978-7-5164-2438-4"</f>
        <v>978-7-5164-2438-4</v>
      </c>
      <c r="C298" s="7" t="str">
        <f>"西方管理思想溯源及其历史演进"</f>
        <v>西方管理思想溯源及其历史演进</v>
      </c>
      <c r="D298" s="7" t="str">
        <f>"陈继华著"</f>
        <v>陈继华著</v>
      </c>
      <c r="E298" s="7" t="str">
        <f>"企业管理出版社"</f>
        <v>企业管理出版社</v>
      </c>
      <c r="F298" s="7" t="str">
        <f>"C93-095/3"</f>
        <v>C93-095/3</v>
      </c>
    </row>
    <row r="299" customHeight="1" spans="1:6">
      <c r="A299" s="6">
        <v>298</v>
      </c>
      <c r="B299" s="7" t="str">
        <f t="shared" ref="B299:B301" si="59">"978-7-5496-3454-5"</f>
        <v>978-7-5496-3454-5</v>
      </c>
      <c r="C299" s="7" t="str">
        <f t="shared" ref="C299:C301" si="60">"办公室公文写作技巧与范文：文秘、行政人员、公务员案头必备速查手册"</f>
        <v>办公室公文写作技巧与范文：文秘、行政人员、公务员案头必备速查手册</v>
      </c>
      <c r="D299" s="7" t="str">
        <f t="shared" ref="D299:D301" si="61">"谭小芳， 焦盈鑫编著"</f>
        <v>谭小芳， 焦盈鑫编著</v>
      </c>
      <c r="E299" s="7" t="str">
        <f t="shared" ref="E299:E301" si="62">"文汇出版社"</f>
        <v>文汇出版社</v>
      </c>
      <c r="F299" s="7" t="str">
        <f t="shared" ref="F299:F301" si="63">"C931.46/231"</f>
        <v>C931.46/231</v>
      </c>
    </row>
    <row r="300" customHeight="1" spans="1:6">
      <c r="A300" s="6">
        <v>299</v>
      </c>
      <c r="B300" s="7" t="str">
        <f t="shared" si="59"/>
        <v>978-7-5496-3454-5</v>
      </c>
      <c r="C300" s="7" t="str">
        <f t="shared" si="60"/>
        <v>办公室公文写作技巧与范文：文秘、行政人员、公务员案头必备速查手册</v>
      </c>
      <c r="D300" s="7" t="str">
        <f t="shared" si="61"/>
        <v>谭小芳， 焦盈鑫编著</v>
      </c>
      <c r="E300" s="7" t="str">
        <f t="shared" si="62"/>
        <v>文汇出版社</v>
      </c>
      <c r="F300" s="7" t="str">
        <f t="shared" si="63"/>
        <v>C931.46/231</v>
      </c>
    </row>
    <row r="301" customHeight="1" spans="1:6">
      <c r="A301" s="6">
        <v>300</v>
      </c>
      <c r="B301" s="7" t="str">
        <f t="shared" si="59"/>
        <v>978-7-5496-3454-5</v>
      </c>
      <c r="C301" s="7" t="str">
        <f t="shared" si="60"/>
        <v>办公室公文写作技巧与范文：文秘、行政人员、公务员案头必备速查手册</v>
      </c>
      <c r="D301" s="7" t="str">
        <f t="shared" si="61"/>
        <v>谭小芳， 焦盈鑫编著</v>
      </c>
      <c r="E301" s="7" t="str">
        <f t="shared" si="62"/>
        <v>文汇出版社</v>
      </c>
      <c r="F301" s="7" t="str">
        <f t="shared" si="63"/>
        <v>C931.46/231</v>
      </c>
    </row>
    <row r="302" customHeight="1" spans="1:6">
      <c r="A302" s="6">
        <v>301</v>
      </c>
      <c r="B302" s="8" t="s">
        <v>578</v>
      </c>
      <c r="C302" s="8" t="s">
        <v>579</v>
      </c>
      <c r="D302" s="8" t="s">
        <v>580</v>
      </c>
      <c r="E302" s="8" t="s">
        <v>288</v>
      </c>
      <c r="F302" s="8" t="s">
        <v>581</v>
      </c>
    </row>
    <row r="303" customHeight="1" spans="1:6">
      <c r="A303" s="6">
        <v>302</v>
      </c>
      <c r="B303" s="8" t="s">
        <v>578</v>
      </c>
      <c r="C303" s="8" t="s">
        <v>579</v>
      </c>
      <c r="D303" s="8" t="s">
        <v>580</v>
      </c>
      <c r="E303" s="8" t="s">
        <v>288</v>
      </c>
      <c r="F303" s="8" t="s">
        <v>581</v>
      </c>
    </row>
    <row r="304" customHeight="1" spans="1:6">
      <c r="A304" s="6">
        <v>303</v>
      </c>
      <c r="B304" s="7" t="str">
        <f>"978-7-5404-9861-0"</f>
        <v>978-7-5404-9861-0</v>
      </c>
      <c r="C304" s="7" t="str">
        <f>"时间管理：如何高效利用你的每个24小时：how to maximize your 24-hour gift"</f>
        <v>时间管理：如何高效利用你的每个24小时：how to maximize your 24-hour gift</v>
      </c>
      <c r="D304" s="7" t="str">
        <f>"(美) 吉姆·兰德尔著Jim Randel；舒建广译"</f>
        <v>(美) 吉姆·兰德尔著Jim Randel；舒建广译</v>
      </c>
      <c r="E304" s="7" t="str">
        <f>"湖南文艺出版社"</f>
        <v>湖南文艺出版社</v>
      </c>
      <c r="F304" s="7" t="str">
        <f>"C935-49/37-2"</f>
        <v>C935-49/37-2</v>
      </c>
    </row>
    <row r="305" customHeight="1" spans="1:6">
      <c r="A305" s="6">
        <v>304</v>
      </c>
      <c r="B305" s="7" t="str">
        <f>"978-7-5404-9861-0"</f>
        <v>978-7-5404-9861-0</v>
      </c>
      <c r="C305" s="7" t="str">
        <f>"时间管理：如何高效利用你的每个24小时：how to maximize your 24-hour gift"</f>
        <v>时间管理：如何高效利用你的每个24小时：how to maximize your 24-hour gift</v>
      </c>
      <c r="D305" s="7" t="str">
        <f>"(美) 吉姆·兰德尔著Jim Randel；舒建广译"</f>
        <v>(美) 吉姆·兰德尔著Jim Randel；舒建广译</v>
      </c>
      <c r="E305" s="7" t="str">
        <f>"湖南文艺出版社"</f>
        <v>湖南文艺出版社</v>
      </c>
      <c r="F305" s="7" t="str">
        <f>"C935-49/37-2"</f>
        <v>C935-49/37-2</v>
      </c>
    </row>
    <row r="306" customHeight="1" spans="1:6">
      <c r="A306" s="6">
        <v>305</v>
      </c>
      <c r="B306" s="7" t="str">
        <f>"978-7-5217-3226-9"</f>
        <v>978-7-5217-3226-9</v>
      </c>
      <c r="C306" s="7" t="str">
        <f>"危崖：生存性风险与人类的未来：existential risk and future of humanity"</f>
        <v>危崖：生存性风险与人类的未来：existential risk and future of humanity</v>
      </c>
      <c r="D306" s="7" t="str">
        <f>"(澳) 托比·奥德著Toby Ord；韦斯琳译"</f>
        <v>(澳) 托比·奥德著Toby Ord；韦斯琳译</v>
      </c>
      <c r="E306" s="7" t="str">
        <f>"中信出版集团股份有限公司"</f>
        <v>中信出版集团股份有限公司</v>
      </c>
      <c r="F306" s="7" t="str">
        <f>"C96/43"</f>
        <v>C96/43</v>
      </c>
    </row>
    <row r="307" customHeight="1" spans="1:6">
      <c r="A307" s="6">
        <v>306</v>
      </c>
      <c r="B307" s="7" t="str">
        <f>"978-7-5217-3226-9"</f>
        <v>978-7-5217-3226-9</v>
      </c>
      <c r="C307" s="7" t="str">
        <f>"危崖：生存性风险与人类的未来：existential risk and future of humanity"</f>
        <v>危崖：生存性风险与人类的未来：existential risk and future of humanity</v>
      </c>
      <c r="D307" s="7" t="str">
        <f>"(澳) 托比·奥德著Toby Ord；韦斯琳译"</f>
        <v>(澳) 托比·奥德著Toby Ord；韦斯琳译</v>
      </c>
      <c r="E307" s="7" t="str">
        <f>"中信出版集团股份有限公司"</f>
        <v>中信出版集团股份有限公司</v>
      </c>
      <c r="F307" s="7" t="str">
        <f>"C96/43"</f>
        <v>C96/43</v>
      </c>
    </row>
  </sheetData>
  <pageMargins left="0.75" right="0.75" top="1" bottom="1" header="0.5" footer="0.5"/>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5"/>
  </sheetPr>
  <dimension ref="A1:F1075"/>
  <sheetViews>
    <sheetView workbookViewId="0">
      <selection activeCell="C24" sqref="C24"/>
    </sheetView>
  </sheetViews>
  <sheetFormatPr defaultColWidth="9" defaultRowHeight="18" customHeight="1" outlineLevelCol="5"/>
  <cols>
    <col min="1" max="1" width="5.375" style="12" customWidth="1"/>
    <col min="2" max="2" width="19.375" customWidth="1"/>
    <col min="3" max="3" width="45.625" customWidth="1"/>
    <col min="4" max="4" width="35.625" customWidth="1"/>
    <col min="5" max="5" width="33.75" customWidth="1"/>
    <col min="6" max="6" width="18.375" customWidth="1"/>
  </cols>
  <sheetData>
    <row r="1" s="2" customFormat="1" customHeight="1" spans="1:6">
      <c r="A1" s="15" t="str">
        <f>"序号"</f>
        <v>序号</v>
      </c>
      <c r="B1" s="15" t="str">
        <f>"ISBN"</f>
        <v>ISBN</v>
      </c>
      <c r="C1" s="15" t="str">
        <f>"题名"</f>
        <v>题名</v>
      </c>
      <c r="D1" s="15" t="str">
        <f>"责任者"</f>
        <v>责任者</v>
      </c>
      <c r="E1" s="15" t="str">
        <f>"出版社"</f>
        <v>出版社</v>
      </c>
      <c r="F1" s="15" t="str">
        <f>"索取号"</f>
        <v>索取号</v>
      </c>
    </row>
    <row r="2" customHeight="1" spans="1:6">
      <c r="A2" s="6">
        <v>1</v>
      </c>
      <c r="B2" s="8" t="s">
        <v>582</v>
      </c>
      <c r="C2" s="8" t="s">
        <v>583</v>
      </c>
      <c r="D2" s="8" t="s">
        <v>584</v>
      </c>
      <c r="E2" s="8" t="s">
        <v>23</v>
      </c>
      <c r="F2" s="8" t="s">
        <v>585</v>
      </c>
    </row>
    <row r="3" customHeight="1" spans="1:6">
      <c r="A3" s="6">
        <v>2</v>
      </c>
      <c r="B3" s="8" t="s">
        <v>582</v>
      </c>
      <c r="C3" s="8" t="s">
        <v>583</v>
      </c>
      <c r="D3" s="8" t="s">
        <v>584</v>
      </c>
      <c r="E3" s="8" t="s">
        <v>23</v>
      </c>
      <c r="F3" s="8" t="s">
        <v>585</v>
      </c>
    </row>
    <row r="4" customHeight="1" spans="1:6">
      <c r="A4" s="6">
        <v>3</v>
      </c>
      <c r="B4" s="8" t="s">
        <v>586</v>
      </c>
      <c r="C4" s="8" t="s">
        <v>587</v>
      </c>
      <c r="D4" s="8" t="s">
        <v>588</v>
      </c>
      <c r="E4" s="8" t="s">
        <v>589</v>
      </c>
      <c r="F4" s="8" t="s">
        <v>590</v>
      </c>
    </row>
    <row r="5" customHeight="1" spans="1:6">
      <c r="A5" s="6">
        <v>4</v>
      </c>
      <c r="B5" s="8" t="s">
        <v>586</v>
      </c>
      <c r="C5" s="8" t="s">
        <v>587</v>
      </c>
      <c r="D5" s="8" t="s">
        <v>588</v>
      </c>
      <c r="E5" s="8" t="s">
        <v>589</v>
      </c>
      <c r="F5" s="8" t="s">
        <v>590</v>
      </c>
    </row>
    <row r="6" customHeight="1" spans="1:6">
      <c r="A6" s="6">
        <v>5</v>
      </c>
      <c r="B6" s="8" t="s">
        <v>591</v>
      </c>
      <c r="C6" s="8" t="s">
        <v>592</v>
      </c>
      <c r="D6" s="8" t="s">
        <v>593</v>
      </c>
      <c r="E6" s="8" t="s">
        <v>261</v>
      </c>
      <c r="F6" s="8" t="s">
        <v>594</v>
      </c>
    </row>
    <row r="7" customHeight="1" spans="1:6">
      <c r="A7" s="6">
        <v>6</v>
      </c>
      <c r="B7" s="8" t="s">
        <v>591</v>
      </c>
      <c r="C7" s="8" t="s">
        <v>592</v>
      </c>
      <c r="D7" s="8" t="s">
        <v>593</v>
      </c>
      <c r="E7" s="8" t="s">
        <v>261</v>
      </c>
      <c r="F7" s="8" t="s">
        <v>594</v>
      </c>
    </row>
    <row r="8" customHeight="1" spans="1:6">
      <c r="A8" s="6">
        <v>7</v>
      </c>
      <c r="B8" s="8" t="s">
        <v>591</v>
      </c>
      <c r="C8" s="8" t="s">
        <v>592</v>
      </c>
      <c r="D8" s="8" t="s">
        <v>593</v>
      </c>
      <c r="E8" s="8" t="s">
        <v>261</v>
      </c>
      <c r="F8" s="8" t="s">
        <v>594</v>
      </c>
    </row>
    <row r="9" customHeight="1" spans="1:6">
      <c r="A9" s="6">
        <v>8</v>
      </c>
      <c r="B9" s="8" t="s">
        <v>595</v>
      </c>
      <c r="C9" s="8" t="s">
        <v>596</v>
      </c>
      <c r="D9" s="8" t="s">
        <v>597</v>
      </c>
      <c r="E9" s="8" t="s">
        <v>43</v>
      </c>
      <c r="F9" s="8" t="s">
        <v>598</v>
      </c>
    </row>
    <row r="10" customHeight="1" spans="1:6">
      <c r="A10" s="6">
        <v>9</v>
      </c>
      <c r="B10" s="8" t="s">
        <v>595</v>
      </c>
      <c r="C10" s="8" t="s">
        <v>596</v>
      </c>
      <c r="D10" s="8" t="s">
        <v>597</v>
      </c>
      <c r="E10" s="8" t="s">
        <v>43</v>
      </c>
      <c r="F10" s="8" t="s">
        <v>598</v>
      </c>
    </row>
    <row r="11" customHeight="1" spans="1:6">
      <c r="A11" s="6">
        <v>10</v>
      </c>
      <c r="B11" s="7" t="str">
        <f t="shared" ref="B11:B13" si="0">"978-7-5447-8766-6"</f>
        <v>978-7-5447-8766-6</v>
      </c>
      <c r="C11" s="7" t="str">
        <f t="shared" ref="C11:C13" si="1">"政治学有什么用?"</f>
        <v>政治学有什么用?</v>
      </c>
      <c r="D11" s="7" t="str">
        <f t="shared" ref="D11:D13" si="2">"(英) 加雷思·索思韦尔著Gareth Southwell；姚子玄译"</f>
        <v>(英) 加雷思·索思韦尔著Gareth Southwell；姚子玄译</v>
      </c>
      <c r="E11" s="7" t="str">
        <f t="shared" ref="E11:E13" si="3">"译林出版社"</f>
        <v>译林出版社</v>
      </c>
      <c r="F11" s="7" t="str">
        <f t="shared" ref="F11:F13" si="4">"D0-02/9"</f>
        <v>D0-02/9</v>
      </c>
    </row>
    <row r="12" customHeight="1" spans="1:6">
      <c r="A12" s="6">
        <v>11</v>
      </c>
      <c r="B12" s="7" t="str">
        <f t="shared" si="0"/>
        <v>978-7-5447-8766-6</v>
      </c>
      <c r="C12" s="7" t="str">
        <f t="shared" si="1"/>
        <v>政治学有什么用?</v>
      </c>
      <c r="D12" s="7" t="str">
        <f t="shared" si="2"/>
        <v>(英) 加雷思·索思韦尔著Gareth Southwell；姚子玄译</v>
      </c>
      <c r="E12" s="7" t="str">
        <f t="shared" si="3"/>
        <v>译林出版社</v>
      </c>
      <c r="F12" s="7" t="str">
        <f t="shared" si="4"/>
        <v>D0-02/9</v>
      </c>
    </row>
    <row r="13" customHeight="1" spans="1:6">
      <c r="A13" s="6">
        <v>12</v>
      </c>
      <c r="B13" s="7" t="str">
        <f t="shared" si="0"/>
        <v>978-7-5447-8766-6</v>
      </c>
      <c r="C13" s="7" t="str">
        <f t="shared" si="1"/>
        <v>政治学有什么用?</v>
      </c>
      <c r="D13" s="7" t="str">
        <f t="shared" si="2"/>
        <v>(英) 加雷思·索思韦尔著Gareth Southwell；姚子玄译</v>
      </c>
      <c r="E13" s="7" t="str">
        <f t="shared" si="3"/>
        <v>译林出版社</v>
      </c>
      <c r="F13" s="7" t="str">
        <f t="shared" si="4"/>
        <v>D0-02/9</v>
      </c>
    </row>
    <row r="14" customHeight="1" spans="1:6">
      <c r="A14" s="6">
        <v>13</v>
      </c>
      <c r="B14" s="7" t="str">
        <f t="shared" ref="B14:B16" si="5">"978-7-108-05731-0"</f>
        <v>978-7-108-05731-0</v>
      </c>
      <c r="C14" s="7" t="str">
        <f t="shared" ref="C14:C16" si="6">"君主制的历史"</f>
        <v>君主制的历史</v>
      </c>
      <c r="D14" s="7" t="str">
        <f t="shared" ref="D14:D16" si="7">"(英) 布伦达·拉尔夫·刘易斯著Brenda Ralph Lewis；荣予， 方力维译"</f>
        <v>(英) 布伦达·拉尔夫·刘易斯著Brenda Ralph Lewis；荣予， 方力维译</v>
      </c>
      <c r="E14" s="7" t="str">
        <f t="shared" ref="E14:E16" si="8">"三联书店"</f>
        <v>三联书店</v>
      </c>
      <c r="F14" s="7" t="str">
        <f t="shared" ref="F14:F16" si="9">"D033.2/27=2D"</f>
        <v>D033.2/27=2D</v>
      </c>
    </row>
    <row r="15" customHeight="1" spans="1:6">
      <c r="A15" s="6">
        <v>14</v>
      </c>
      <c r="B15" s="7" t="str">
        <f t="shared" si="5"/>
        <v>978-7-108-05731-0</v>
      </c>
      <c r="C15" s="7" t="str">
        <f t="shared" si="6"/>
        <v>君主制的历史</v>
      </c>
      <c r="D15" s="7" t="str">
        <f t="shared" si="7"/>
        <v>(英) 布伦达·拉尔夫·刘易斯著Brenda Ralph Lewis；荣予， 方力维译</v>
      </c>
      <c r="E15" s="7" t="str">
        <f t="shared" si="8"/>
        <v>三联书店</v>
      </c>
      <c r="F15" s="7" t="str">
        <f t="shared" si="9"/>
        <v>D033.2/27=2D</v>
      </c>
    </row>
    <row r="16" customHeight="1" spans="1:6">
      <c r="A16" s="6">
        <v>15</v>
      </c>
      <c r="B16" s="7" t="str">
        <f t="shared" si="5"/>
        <v>978-7-108-05731-0</v>
      </c>
      <c r="C16" s="7" t="str">
        <f t="shared" si="6"/>
        <v>君主制的历史</v>
      </c>
      <c r="D16" s="7" t="str">
        <f t="shared" si="7"/>
        <v>(英) 布伦达·拉尔夫·刘易斯著Brenda Ralph Lewis；荣予， 方力维译</v>
      </c>
      <c r="E16" s="7" t="str">
        <f t="shared" si="8"/>
        <v>三联书店</v>
      </c>
      <c r="F16" s="7" t="str">
        <f t="shared" si="9"/>
        <v>D033.2/27=2D</v>
      </c>
    </row>
    <row r="17" customHeight="1" spans="1:6">
      <c r="A17" s="6">
        <v>16</v>
      </c>
      <c r="B17" s="8" t="s">
        <v>599</v>
      </c>
      <c r="C17" s="8" t="s">
        <v>600</v>
      </c>
      <c r="D17" s="8" t="s">
        <v>601</v>
      </c>
      <c r="E17" s="8" t="s">
        <v>360</v>
      </c>
      <c r="F17" s="8" t="s">
        <v>602</v>
      </c>
    </row>
    <row r="18" customHeight="1" spans="1:6">
      <c r="A18" s="6">
        <v>17</v>
      </c>
      <c r="B18" s="8" t="s">
        <v>599</v>
      </c>
      <c r="C18" s="8" t="s">
        <v>600</v>
      </c>
      <c r="D18" s="8" t="s">
        <v>601</v>
      </c>
      <c r="E18" s="8" t="s">
        <v>360</v>
      </c>
      <c r="F18" s="8" t="s">
        <v>602</v>
      </c>
    </row>
    <row r="19" customHeight="1" spans="1:6">
      <c r="A19" s="6">
        <v>18</v>
      </c>
      <c r="B19" s="7" t="str">
        <f>"978-7-100-18381-9"</f>
        <v>978-7-100-18381-9</v>
      </c>
      <c r="C19" s="7" t="str">
        <f>"多头政体：参与和反对"</f>
        <v>多头政体：参与和反对</v>
      </c>
      <c r="D19" s="7" t="str">
        <f>"(美) 罗伯特·达尔著；谭君久， 刘惠荣译"</f>
        <v>(美) 罗伯特·达尔著；谭君久， 刘惠荣译</v>
      </c>
      <c r="E19" s="7" t="str">
        <f>"商务印书馆"</f>
        <v>商务印书馆</v>
      </c>
      <c r="F19" s="7" t="str">
        <f>"D033/44"</f>
        <v>D033/44</v>
      </c>
    </row>
    <row r="20" customHeight="1" spans="1:6">
      <c r="A20" s="6">
        <v>19</v>
      </c>
      <c r="B20" s="7" t="str">
        <f>"978-7-100-18381-9"</f>
        <v>978-7-100-18381-9</v>
      </c>
      <c r="C20" s="7" t="str">
        <f>"多头政体：参与和反对"</f>
        <v>多头政体：参与和反对</v>
      </c>
      <c r="D20" s="7" t="str">
        <f>"(美) 罗伯特·达尔著；谭君久， 刘惠荣译"</f>
        <v>(美) 罗伯特·达尔著；谭君久， 刘惠荣译</v>
      </c>
      <c r="E20" s="7" t="str">
        <f>"商务印书馆"</f>
        <v>商务印书馆</v>
      </c>
      <c r="F20" s="7" t="str">
        <f>"D033/44"</f>
        <v>D033/44</v>
      </c>
    </row>
    <row r="21" customHeight="1" spans="1:6">
      <c r="A21" s="6">
        <v>20</v>
      </c>
      <c r="B21" s="8" t="s">
        <v>603</v>
      </c>
      <c r="C21" s="8" t="s">
        <v>604</v>
      </c>
      <c r="D21" s="8" t="s">
        <v>605</v>
      </c>
      <c r="E21" s="8" t="s">
        <v>28</v>
      </c>
      <c r="F21" s="8" t="s">
        <v>606</v>
      </c>
    </row>
    <row r="22" customHeight="1" spans="1:6">
      <c r="A22" s="6">
        <v>21</v>
      </c>
      <c r="B22" s="8" t="s">
        <v>603</v>
      </c>
      <c r="C22" s="8" t="s">
        <v>604</v>
      </c>
      <c r="D22" s="8" t="s">
        <v>605</v>
      </c>
      <c r="E22" s="8" t="s">
        <v>28</v>
      </c>
      <c r="F22" s="8" t="s">
        <v>606</v>
      </c>
    </row>
    <row r="23" customHeight="1" spans="1:6">
      <c r="A23" s="6">
        <v>22</v>
      </c>
      <c r="B23" s="8" t="s">
        <v>607</v>
      </c>
      <c r="C23" s="8" t="s">
        <v>608</v>
      </c>
      <c r="D23" s="8" t="s">
        <v>609</v>
      </c>
      <c r="E23" s="8" t="s">
        <v>610</v>
      </c>
      <c r="F23" s="8" t="s">
        <v>611</v>
      </c>
    </row>
    <row r="24" customHeight="1" spans="1:6">
      <c r="A24" s="6">
        <v>23</v>
      </c>
      <c r="B24" s="8" t="s">
        <v>607</v>
      </c>
      <c r="C24" s="8" t="s">
        <v>608</v>
      </c>
      <c r="D24" s="8" t="s">
        <v>609</v>
      </c>
      <c r="E24" s="8" t="s">
        <v>610</v>
      </c>
      <c r="F24" s="8" t="s">
        <v>611</v>
      </c>
    </row>
    <row r="25" customHeight="1" spans="1:6">
      <c r="A25" s="6">
        <v>24</v>
      </c>
      <c r="B25" s="8" t="s">
        <v>612</v>
      </c>
      <c r="C25" s="8" t="s">
        <v>613</v>
      </c>
      <c r="D25" s="8" t="s">
        <v>614</v>
      </c>
      <c r="E25" s="8" t="s">
        <v>615</v>
      </c>
      <c r="F25" s="8" t="s">
        <v>616</v>
      </c>
    </row>
    <row r="26" customHeight="1" spans="1:6">
      <c r="A26" s="6">
        <v>25</v>
      </c>
      <c r="B26" s="8" t="s">
        <v>612</v>
      </c>
      <c r="C26" s="8" t="s">
        <v>613</v>
      </c>
      <c r="D26" s="8" t="s">
        <v>614</v>
      </c>
      <c r="E26" s="8" t="s">
        <v>615</v>
      </c>
      <c r="F26" s="8" t="s">
        <v>616</v>
      </c>
    </row>
    <row r="27" customHeight="1" spans="1:6">
      <c r="A27" s="6">
        <v>26</v>
      </c>
      <c r="B27" s="8" t="s">
        <v>617</v>
      </c>
      <c r="C27" s="8" t="s">
        <v>618</v>
      </c>
      <c r="D27" s="8" t="s">
        <v>619</v>
      </c>
      <c r="E27" s="8" t="s">
        <v>311</v>
      </c>
      <c r="F27" s="8" t="s">
        <v>620</v>
      </c>
    </row>
    <row r="28" customHeight="1" spans="1:6">
      <c r="A28" s="6">
        <v>27</v>
      </c>
      <c r="B28" s="8" t="s">
        <v>617</v>
      </c>
      <c r="C28" s="8" t="s">
        <v>618</v>
      </c>
      <c r="D28" s="8" t="s">
        <v>619</v>
      </c>
      <c r="E28" s="8" t="s">
        <v>311</v>
      </c>
      <c r="F28" s="8" t="s">
        <v>620</v>
      </c>
    </row>
    <row r="29" customHeight="1" spans="1:6">
      <c r="A29" s="6">
        <v>28</v>
      </c>
      <c r="B29" s="8" t="s">
        <v>621</v>
      </c>
      <c r="C29" s="8" t="s">
        <v>622</v>
      </c>
      <c r="D29" s="8" t="s">
        <v>623</v>
      </c>
      <c r="E29" s="8" t="s">
        <v>624</v>
      </c>
      <c r="F29" s="8" t="s">
        <v>625</v>
      </c>
    </row>
    <row r="30" customHeight="1" spans="1:6">
      <c r="A30" s="6">
        <v>29</v>
      </c>
      <c r="B30" s="8" t="s">
        <v>621</v>
      </c>
      <c r="C30" s="8" t="s">
        <v>622</v>
      </c>
      <c r="D30" s="8" t="s">
        <v>623</v>
      </c>
      <c r="E30" s="8" t="s">
        <v>624</v>
      </c>
      <c r="F30" s="8" t="s">
        <v>625</v>
      </c>
    </row>
    <row r="31" customHeight="1" spans="1:6">
      <c r="A31" s="6">
        <v>30</v>
      </c>
      <c r="B31" s="8" t="s">
        <v>626</v>
      </c>
      <c r="C31" s="8" t="s">
        <v>627</v>
      </c>
      <c r="D31" s="8" t="s">
        <v>628</v>
      </c>
      <c r="E31" s="8" t="s">
        <v>629</v>
      </c>
      <c r="F31" s="8" t="s">
        <v>630</v>
      </c>
    </row>
    <row r="32" customHeight="1" spans="1:6">
      <c r="A32" s="6">
        <v>31</v>
      </c>
      <c r="B32" s="8" t="s">
        <v>626</v>
      </c>
      <c r="C32" s="8" t="s">
        <v>627</v>
      </c>
      <c r="D32" s="8" t="s">
        <v>628</v>
      </c>
      <c r="E32" s="8" t="s">
        <v>629</v>
      </c>
      <c r="F32" s="8" t="s">
        <v>630</v>
      </c>
    </row>
    <row r="33" customHeight="1" spans="1:6">
      <c r="A33" s="6">
        <v>32</v>
      </c>
      <c r="B33" s="8" t="s">
        <v>631</v>
      </c>
      <c r="C33" s="8" t="s">
        <v>632</v>
      </c>
      <c r="D33" s="8" t="s">
        <v>633</v>
      </c>
      <c r="E33" s="8" t="s">
        <v>634</v>
      </c>
      <c r="F33" s="8" t="s">
        <v>635</v>
      </c>
    </row>
    <row r="34" customHeight="1" spans="1:6">
      <c r="A34" s="6">
        <v>33</v>
      </c>
      <c r="B34" s="8" t="s">
        <v>631</v>
      </c>
      <c r="C34" s="8" t="s">
        <v>632</v>
      </c>
      <c r="D34" s="8" t="s">
        <v>633</v>
      </c>
      <c r="E34" s="8" t="s">
        <v>634</v>
      </c>
      <c r="F34" s="8" t="s">
        <v>635</v>
      </c>
    </row>
    <row r="35" customHeight="1" spans="1:6">
      <c r="A35" s="6">
        <v>34</v>
      </c>
      <c r="B35" s="8" t="s">
        <v>631</v>
      </c>
      <c r="C35" s="8" t="s">
        <v>636</v>
      </c>
      <c r="D35" s="8" t="s">
        <v>633</v>
      </c>
      <c r="E35" s="8" t="s">
        <v>634</v>
      </c>
      <c r="F35" s="8" t="s">
        <v>637</v>
      </c>
    </row>
    <row r="36" customHeight="1" spans="1:6">
      <c r="A36" s="6">
        <v>35</v>
      </c>
      <c r="B36" s="8" t="s">
        <v>631</v>
      </c>
      <c r="C36" s="8" t="s">
        <v>636</v>
      </c>
      <c r="D36" s="8" t="s">
        <v>633</v>
      </c>
      <c r="E36" s="8" t="s">
        <v>634</v>
      </c>
      <c r="F36" s="8" t="s">
        <v>637</v>
      </c>
    </row>
    <row r="37" customHeight="1" spans="1:6">
      <c r="A37" s="6">
        <v>36</v>
      </c>
      <c r="B37" s="8" t="s">
        <v>638</v>
      </c>
      <c r="C37" s="8" t="s">
        <v>639</v>
      </c>
      <c r="D37" s="8" t="s">
        <v>640</v>
      </c>
      <c r="E37" s="8" t="s">
        <v>385</v>
      </c>
      <c r="F37" s="8" t="s">
        <v>641</v>
      </c>
    </row>
    <row r="38" customHeight="1" spans="1:6">
      <c r="A38" s="6">
        <v>37</v>
      </c>
      <c r="B38" s="8" t="s">
        <v>638</v>
      </c>
      <c r="C38" s="8" t="s">
        <v>639</v>
      </c>
      <c r="D38" s="8" t="s">
        <v>640</v>
      </c>
      <c r="E38" s="8" t="s">
        <v>385</v>
      </c>
      <c r="F38" s="8" t="s">
        <v>641</v>
      </c>
    </row>
    <row r="39" customHeight="1" spans="1:6">
      <c r="A39" s="6">
        <v>38</v>
      </c>
      <c r="B39" s="8" t="s">
        <v>642</v>
      </c>
      <c r="C39" s="8" t="s">
        <v>643</v>
      </c>
      <c r="D39" s="8" t="s">
        <v>593</v>
      </c>
      <c r="E39" s="8" t="s">
        <v>261</v>
      </c>
      <c r="F39" s="8" t="s">
        <v>644</v>
      </c>
    </row>
    <row r="40" customHeight="1" spans="1:6">
      <c r="A40" s="6">
        <v>39</v>
      </c>
      <c r="B40" s="8" t="s">
        <v>642</v>
      </c>
      <c r="C40" s="8" t="s">
        <v>643</v>
      </c>
      <c r="D40" s="8" t="s">
        <v>593</v>
      </c>
      <c r="E40" s="8" t="s">
        <v>261</v>
      </c>
      <c r="F40" s="8" t="s">
        <v>644</v>
      </c>
    </row>
    <row r="41" customHeight="1" spans="1:6">
      <c r="A41" s="6">
        <v>40</v>
      </c>
      <c r="B41" s="8" t="s">
        <v>642</v>
      </c>
      <c r="C41" s="8" t="s">
        <v>643</v>
      </c>
      <c r="D41" s="8" t="s">
        <v>593</v>
      </c>
      <c r="E41" s="8" t="s">
        <v>261</v>
      </c>
      <c r="F41" s="8" t="s">
        <v>644</v>
      </c>
    </row>
    <row r="42" customHeight="1" spans="1:6">
      <c r="A42" s="6">
        <v>41</v>
      </c>
      <c r="B42" s="8" t="s">
        <v>645</v>
      </c>
      <c r="C42" s="8" t="s">
        <v>646</v>
      </c>
      <c r="D42" s="8" t="s">
        <v>647</v>
      </c>
      <c r="E42" s="8" t="s">
        <v>615</v>
      </c>
      <c r="F42" s="8" t="s">
        <v>648</v>
      </c>
    </row>
    <row r="43" customHeight="1" spans="1:6">
      <c r="A43" s="6">
        <v>42</v>
      </c>
      <c r="B43" s="8" t="s">
        <v>645</v>
      </c>
      <c r="C43" s="8" t="s">
        <v>646</v>
      </c>
      <c r="D43" s="8" t="s">
        <v>647</v>
      </c>
      <c r="E43" s="8" t="s">
        <v>615</v>
      </c>
      <c r="F43" s="8" t="s">
        <v>648</v>
      </c>
    </row>
    <row r="44" customHeight="1" spans="1:6">
      <c r="A44" s="6">
        <v>43</v>
      </c>
      <c r="B44" s="7" t="str">
        <f>"978-7-5203-6393-8"</f>
        <v>978-7-5203-6393-8</v>
      </c>
      <c r="C44" s="7" t="str">
        <f>"重大群体性事件发生、演化及其阻断机制研究"</f>
        <v>重大群体性事件发生、演化及其阻断机制研究</v>
      </c>
      <c r="D44" s="7" t="str">
        <f>"向良云著"</f>
        <v>向良云著</v>
      </c>
      <c r="E44" s="7" t="str">
        <f>"中国社会科学出版社"</f>
        <v>中国社会科学出版社</v>
      </c>
      <c r="F44" s="7" t="str">
        <f>"D035/396"</f>
        <v>D035/396</v>
      </c>
    </row>
    <row r="45" customHeight="1" spans="1:6">
      <c r="A45" s="6">
        <v>44</v>
      </c>
      <c r="B45" s="7" t="str">
        <f>"978-7-5203-6393-8"</f>
        <v>978-7-5203-6393-8</v>
      </c>
      <c r="C45" s="7" t="str">
        <f>"重大群体性事件发生、演化及其阻断机制研究"</f>
        <v>重大群体性事件发生、演化及其阻断机制研究</v>
      </c>
      <c r="D45" s="7" t="str">
        <f>"向良云著"</f>
        <v>向良云著</v>
      </c>
      <c r="E45" s="7" t="str">
        <f>"中国社会科学出版社"</f>
        <v>中国社会科学出版社</v>
      </c>
      <c r="F45" s="7" t="str">
        <f>"D035/396"</f>
        <v>D035/396</v>
      </c>
    </row>
    <row r="46" customHeight="1" spans="1:6">
      <c r="A46" s="6">
        <v>45</v>
      </c>
      <c r="B46" s="7" t="str">
        <f>"978-7-113-27599-0"</f>
        <v>978-7-113-27599-0</v>
      </c>
      <c r="C46" s="7" t="str">
        <f>"行政管理与费用管控实操一本通"</f>
        <v>行政管理与费用管控实操一本通</v>
      </c>
      <c r="D46" s="7" t="str">
        <f>"杨光瑶编著"</f>
        <v>杨光瑶编著</v>
      </c>
      <c r="E46" s="7" t="str">
        <f>"中国铁道出版社有限公司"</f>
        <v>中国铁道出版社有限公司</v>
      </c>
      <c r="F46" s="7" t="str">
        <f>"D035/397"</f>
        <v>D035/397</v>
      </c>
    </row>
    <row r="47" customHeight="1" spans="1:6">
      <c r="A47" s="6">
        <v>46</v>
      </c>
      <c r="B47" s="7" t="str">
        <f>"978-7-113-27599-0"</f>
        <v>978-7-113-27599-0</v>
      </c>
      <c r="C47" s="7" t="str">
        <f>"行政管理与费用管控实操一本通"</f>
        <v>行政管理与费用管控实操一本通</v>
      </c>
      <c r="D47" s="7" t="str">
        <f>"杨光瑶编著"</f>
        <v>杨光瑶编著</v>
      </c>
      <c r="E47" s="7" t="str">
        <f>"中国铁道出版社有限公司"</f>
        <v>中国铁道出版社有限公司</v>
      </c>
      <c r="F47" s="7" t="str">
        <f>"D035/397"</f>
        <v>D035/397</v>
      </c>
    </row>
    <row r="48" customHeight="1" spans="1:6">
      <c r="A48" s="6">
        <v>47</v>
      </c>
      <c r="B48" s="8" t="s">
        <v>649</v>
      </c>
      <c r="C48" s="8" t="s">
        <v>650</v>
      </c>
      <c r="D48" s="8" t="s">
        <v>651</v>
      </c>
      <c r="E48" s="8" t="s">
        <v>311</v>
      </c>
      <c r="F48" s="8" t="s">
        <v>652</v>
      </c>
    </row>
    <row r="49" customHeight="1" spans="1:6">
      <c r="A49" s="6">
        <v>48</v>
      </c>
      <c r="B49" s="8" t="s">
        <v>649</v>
      </c>
      <c r="C49" s="8" t="s">
        <v>650</v>
      </c>
      <c r="D49" s="8" t="s">
        <v>651</v>
      </c>
      <c r="E49" s="8" t="s">
        <v>311</v>
      </c>
      <c r="F49" s="8" t="s">
        <v>652</v>
      </c>
    </row>
    <row r="50" customHeight="1" spans="1:6">
      <c r="A50" s="6">
        <v>49</v>
      </c>
      <c r="B50" s="8" t="s">
        <v>653</v>
      </c>
      <c r="C50" s="8" t="s">
        <v>654</v>
      </c>
      <c r="D50" s="8" t="s">
        <v>655</v>
      </c>
      <c r="E50" s="8" t="s">
        <v>656</v>
      </c>
      <c r="F50" s="8" t="s">
        <v>657</v>
      </c>
    </row>
    <row r="51" customHeight="1" spans="1:6">
      <c r="A51" s="6">
        <v>50</v>
      </c>
      <c r="B51" s="8" t="s">
        <v>653</v>
      </c>
      <c r="C51" s="8" t="s">
        <v>654</v>
      </c>
      <c r="D51" s="8" t="s">
        <v>655</v>
      </c>
      <c r="E51" s="8" t="s">
        <v>656</v>
      </c>
      <c r="F51" s="8" t="s">
        <v>657</v>
      </c>
    </row>
    <row r="52" customHeight="1" spans="1:6">
      <c r="A52" s="6">
        <v>51</v>
      </c>
      <c r="B52" s="8" t="s">
        <v>658</v>
      </c>
      <c r="C52" s="8" t="s">
        <v>659</v>
      </c>
      <c r="D52" s="8" t="s">
        <v>660</v>
      </c>
      <c r="E52" s="8" t="s">
        <v>311</v>
      </c>
      <c r="F52" s="8" t="s">
        <v>661</v>
      </c>
    </row>
    <row r="53" customHeight="1" spans="1:6">
      <c r="A53" s="6">
        <v>52</v>
      </c>
      <c r="B53" s="8" t="s">
        <v>658</v>
      </c>
      <c r="C53" s="8" t="s">
        <v>659</v>
      </c>
      <c r="D53" s="8" t="s">
        <v>660</v>
      </c>
      <c r="E53" s="8" t="s">
        <v>311</v>
      </c>
      <c r="F53" s="8" t="s">
        <v>661</v>
      </c>
    </row>
    <row r="54" customHeight="1" spans="1:6">
      <c r="A54" s="6">
        <v>53</v>
      </c>
      <c r="B54" s="8" t="s">
        <v>662</v>
      </c>
      <c r="C54" s="8" t="s">
        <v>663</v>
      </c>
      <c r="D54" s="8" t="s">
        <v>664</v>
      </c>
      <c r="E54" s="8" t="s">
        <v>665</v>
      </c>
      <c r="F54" s="8" t="s">
        <v>666</v>
      </c>
    </row>
    <row r="55" customHeight="1" spans="1:6">
      <c r="A55" s="6">
        <v>54</v>
      </c>
      <c r="B55" s="8" t="s">
        <v>662</v>
      </c>
      <c r="C55" s="8" t="s">
        <v>663</v>
      </c>
      <c r="D55" s="8" t="s">
        <v>664</v>
      </c>
      <c r="E55" s="8" t="s">
        <v>665</v>
      </c>
      <c r="F55" s="8" t="s">
        <v>666</v>
      </c>
    </row>
    <row r="56" customHeight="1" spans="1:6">
      <c r="A56" s="6">
        <v>55</v>
      </c>
      <c r="B56" s="8" t="s">
        <v>667</v>
      </c>
      <c r="C56" s="8" t="s">
        <v>668</v>
      </c>
      <c r="D56" s="8" t="s">
        <v>669</v>
      </c>
      <c r="E56" s="8" t="s">
        <v>670</v>
      </c>
      <c r="F56" s="8" t="s">
        <v>671</v>
      </c>
    </row>
    <row r="57" customHeight="1" spans="1:6">
      <c r="A57" s="6">
        <v>56</v>
      </c>
      <c r="B57" s="8" t="s">
        <v>667</v>
      </c>
      <c r="C57" s="8" t="s">
        <v>668</v>
      </c>
      <c r="D57" s="8" t="s">
        <v>669</v>
      </c>
      <c r="E57" s="8" t="s">
        <v>670</v>
      </c>
      <c r="F57" s="8" t="s">
        <v>671</v>
      </c>
    </row>
    <row r="58" customHeight="1" spans="1:6">
      <c r="A58" s="6">
        <v>57</v>
      </c>
      <c r="B58" s="8" t="s">
        <v>672</v>
      </c>
      <c r="C58" s="8" t="s">
        <v>673</v>
      </c>
      <c r="D58" s="8" t="s">
        <v>674</v>
      </c>
      <c r="E58" s="8" t="s">
        <v>675</v>
      </c>
      <c r="F58" s="8" t="s">
        <v>676</v>
      </c>
    </row>
    <row r="59" customHeight="1" spans="1:6">
      <c r="A59" s="6">
        <v>58</v>
      </c>
      <c r="B59" s="8" t="s">
        <v>672</v>
      </c>
      <c r="C59" s="8" t="s">
        <v>673</v>
      </c>
      <c r="D59" s="8" t="s">
        <v>674</v>
      </c>
      <c r="E59" s="8" t="s">
        <v>675</v>
      </c>
      <c r="F59" s="8" t="s">
        <v>676</v>
      </c>
    </row>
    <row r="60" customHeight="1" spans="1:6">
      <c r="A60" s="6">
        <v>59</v>
      </c>
      <c r="B60" s="8" t="s">
        <v>677</v>
      </c>
      <c r="C60" s="8" t="s">
        <v>678</v>
      </c>
      <c r="D60" s="8" t="s">
        <v>679</v>
      </c>
      <c r="E60" s="8" t="s">
        <v>360</v>
      </c>
      <c r="F60" s="8" t="s">
        <v>680</v>
      </c>
    </row>
    <row r="61" customHeight="1" spans="1:6">
      <c r="A61" s="6">
        <v>60</v>
      </c>
      <c r="B61" s="8" t="s">
        <v>677</v>
      </c>
      <c r="C61" s="8" t="s">
        <v>678</v>
      </c>
      <c r="D61" s="8" t="s">
        <v>679</v>
      </c>
      <c r="E61" s="8" t="s">
        <v>360</v>
      </c>
      <c r="F61" s="8" t="s">
        <v>680</v>
      </c>
    </row>
    <row r="62" customHeight="1" spans="1:6">
      <c r="A62" s="6">
        <v>61</v>
      </c>
      <c r="B62" s="8" t="s">
        <v>681</v>
      </c>
      <c r="C62" s="8" t="s">
        <v>682</v>
      </c>
      <c r="D62" s="8" t="s">
        <v>683</v>
      </c>
      <c r="E62" s="8" t="s">
        <v>13</v>
      </c>
      <c r="F62" s="8" t="s">
        <v>684</v>
      </c>
    </row>
    <row r="63" customHeight="1" spans="1:6">
      <c r="A63" s="6">
        <v>62</v>
      </c>
      <c r="B63" s="8" t="s">
        <v>681</v>
      </c>
      <c r="C63" s="8" t="s">
        <v>682</v>
      </c>
      <c r="D63" s="8" t="s">
        <v>683</v>
      </c>
      <c r="E63" s="8" t="s">
        <v>13</v>
      </c>
      <c r="F63" s="8" t="s">
        <v>684</v>
      </c>
    </row>
    <row r="64" customHeight="1" spans="1:6">
      <c r="A64" s="6">
        <v>63</v>
      </c>
      <c r="B64" s="8" t="s">
        <v>685</v>
      </c>
      <c r="C64" s="8" t="s">
        <v>686</v>
      </c>
      <c r="D64" s="8" t="s">
        <v>687</v>
      </c>
      <c r="E64" s="8" t="s">
        <v>385</v>
      </c>
      <c r="F64" s="8" t="s">
        <v>688</v>
      </c>
    </row>
    <row r="65" customHeight="1" spans="1:6">
      <c r="A65" s="6">
        <v>64</v>
      </c>
      <c r="B65" s="8" t="s">
        <v>685</v>
      </c>
      <c r="C65" s="8" t="s">
        <v>686</v>
      </c>
      <c r="D65" s="8" t="s">
        <v>687</v>
      </c>
      <c r="E65" s="8" t="s">
        <v>385</v>
      </c>
      <c r="F65" s="8" t="s">
        <v>688</v>
      </c>
    </row>
    <row r="66" customHeight="1" spans="1:6">
      <c r="A66" s="6">
        <v>65</v>
      </c>
      <c r="B66" s="8" t="s">
        <v>689</v>
      </c>
      <c r="C66" s="8" t="s">
        <v>690</v>
      </c>
      <c r="D66" s="8" t="s">
        <v>691</v>
      </c>
      <c r="E66" s="8" t="s">
        <v>239</v>
      </c>
      <c r="F66" s="8" t="s">
        <v>692</v>
      </c>
    </row>
    <row r="67" customHeight="1" spans="1:6">
      <c r="A67" s="6">
        <v>66</v>
      </c>
      <c r="B67" s="8" t="s">
        <v>689</v>
      </c>
      <c r="C67" s="8" t="s">
        <v>690</v>
      </c>
      <c r="D67" s="8" t="s">
        <v>691</v>
      </c>
      <c r="E67" s="8" t="s">
        <v>239</v>
      </c>
      <c r="F67" s="8" t="s">
        <v>692</v>
      </c>
    </row>
    <row r="68" customHeight="1" spans="1:6">
      <c r="A68" s="6">
        <v>67</v>
      </c>
      <c r="B68" s="8" t="s">
        <v>693</v>
      </c>
      <c r="C68" s="8" t="s">
        <v>694</v>
      </c>
      <c r="D68" s="8" t="s">
        <v>695</v>
      </c>
      <c r="E68" s="8" t="s">
        <v>696</v>
      </c>
      <c r="F68" s="8" t="s">
        <v>697</v>
      </c>
    </row>
    <row r="69" customHeight="1" spans="1:6">
      <c r="A69" s="6">
        <v>68</v>
      </c>
      <c r="B69" s="8" t="s">
        <v>693</v>
      </c>
      <c r="C69" s="8" t="s">
        <v>694</v>
      </c>
      <c r="D69" s="8" t="s">
        <v>695</v>
      </c>
      <c r="E69" s="8" t="s">
        <v>696</v>
      </c>
      <c r="F69" s="8" t="s">
        <v>697</v>
      </c>
    </row>
    <row r="70" customHeight="1" spans="1:6">
      <c r="A70" s="6">
        <v>69</v>
      </c>
      <c r="B70" s="8" t="s">
        <v>698</v>
      </c>
      <c r="C70" s="8" t="s">
        <v>699</v>
      </c>
      <c r="D70" s="8" t="s">
        <v>700</v>
      </c>
      <c r="E70" s="8" t="s">
        <v>701</v>
      </c>
      <c r="F70" s="8" t="s">
        <v>702</v>
      </c>
    </row>
    <row r="71" customHeight="1" spans="1:6">
      <c r="A71" s="6">
        <v>70</v>
      </c>
      <c r="B71" s="8" t="s">
        <v>698</v>
      </c>
      <c r="C71" s="8" t="s">
        <v>699</v>
      </c>
      <c r="D71" s="8" t="s">
        <v>700</v>
      </c>
      <c r="E71" s="8" t="s">
        <v>701</v>
      </c>
      <c r="F71" s="8" t="s">
        <v>702</v>
      </c>
    </row>
    <row r="72" customHeight="1" spans="1:6">
      <c r="A72" s="6">
        <v>71</v>
      </c>
      <c r="B72" s="8" t="s">
        <v>703</v>
      </c>
      <c r="C72" s="8" t="s">
        <v>704</v>
      </c>
      <c r="D72" s="8" t="s">
        <v>705</v>
      </c>
      <c r="E72" s="8" t="s">
        <v>425</v>
      </c>
      <c r="F72" s="8" t="s">
        <v>706</v>
      </c>
    </row>
    <row r="73" customHeight="1" spans="1:6">
      <c r="A73" s="6">
        <v>72</v>
      </c>
      <c r="B73" s="8" t="s">
        <v>703</v>
      </c>
      <c r="C73" s="8" t="s">
        <v>704</v>
      </c>
      <c r="D73" s="8" t="s">
        <v>705</v>
      </c>
      <c r="E73" s="8" t="s">
        <v>425</v>
      </c>
      <c r="F73" s="8" t="s">
        <v>706</v>
      </c>
    </row>
    <row r="74" customHeight="1" spans="1:6">
      <c r="A74" s="6">
        <v>73</v>
      </c>
      <c r="B74" s="8" t="s">
        <v>707</v>
      </c>
      <c r="C74" s="8" t="s">
        <v>708</v>
      </c>
      <c r="D74" s="8" t="s">
        <v>709</v>
      </c>
      <c r="E74" s="8" t="s">
        <v>710</v>
      </c>
      <c r="F74" s="8" t="s">
        <v>711</v>
      </c>
    </row>
    <row r="75" customHeight="1" spans="1:6">
      <c r="A75" s="6">
        <v>74</v>
      </c>
      <c r="B75" s="8" t="s">
        <v>707</v>
      </c>
      <c r="C75" s="8" t="s">
        <v>708</v>
      </c>
      <c r="D75" s="8" t="s">
        <v>709</v>
      </c>
      <c r="E75" s="8" t="s">
        <v>710</v>
      </c>
      <c r="F75" s="8" t="s">
        <v>711</v>
      </c>
    </row>
    <row r="76" customHeight="1" spans="1:6">
      <c r="A76" s="6">
        <v>75</v>
      </c>
      <c r="B76" s="7" t="str">
        <f t="shared" ref="B76:B78" si="10">"978-7-108-04027-5"</f>
        <v>978-7-108-04027-5</v>
      </c>
      <c r="C76" s="7" t="str">
        <f t="shared" ref="C76:C78" si="11">"为什么不杀光?：种族大屠杀的反思"</f>
        <v>为什么不杀光?：种族大屠杀的反思</v>
      </c>
      <c r="D76" s="7" t="str">
        <f t="shared" ref="D76:D78" si="12">"(法) 丹尼尔·希罗， 克拉克·麦考利著；薛绚译"</f>
        <v>(法) 丹尼尔·希罗， 克拉克·麦考利著；薛绚译</v>
      </c>
      <c r="E76" s="7" t="str">
        <f t="shared" ref="E76:E78" si="13">"三联书店"</f>
        <v>三联书店</v>
      </c>
      <c r="F76" s="7" t="str">
        <f t="shared" ref="F76:F78" si="14">"D066/11"</f>
        <v>D066/11</v>
      </c>
    </row>
    <row r="77" customHeight="1" spans="1:6">
      <c r="A77" s="6">
        <v>76</v>
      </c>
      <c r="B77" s="7" t="str">
        <f t="shared" si="10"/>
        <v>978-7-108-04027-5</v>
      </c>
      <c r="C77" s="7" t="str">
        <f t="shared" si="11"/>
        <v>为什么不杀光?：种族大屠杀的反思</v>
      </c>
      <c r="D77" s="7" t="str">
        <f t="shared" si="12"/>
        <v>(法) 丹尼尔·希罗， 克拉克·麦考利著；薛绚译</v>
      </c>
      <c r="E77" s="7" t="str">
        <f t="shared" si="13"/>
        <v>三联书店</v>
      </c>
      <c r="F77" s="7" t="str">
        <f t="shared" si="14"/>
        <v>D066/11</v>
      </c>
    </row>
    <row r="78" customHeight="1" spans="1:6">
      <c r="A78" s="6">
        <v>77</v>
      </c>
      <c r="B78" s="7" t="str">
        <f t="shared" si="10"/>
        <v>978-7-108-04027-5</v>
      </c>
      <c r="C78" s="7" t="str">
        <f t="shared" si="11"/>
        <v>为什么不杀光?：种族大屠杀的反思</v>
      </c>
      <c r="D78" s="7" t="str">
        <f t="shared" si="12"/>
        <v>(法) 丹尼尔·希罗， 克拉克·麦考利著；薛绚译</v>
      </c>
      <c r="E78" s="7" t="str">
        <f t="shared" si="13"/>
        <v>三联书店</v>
      </c>
      <c r="F78" s="7" t="str">
        <f t="shared" si="14"/>
        <v>D066/11</v>
      </c>
    </row>
    <row r="79" customHeight="1" spans="1:6">
      <c r="A79" s="6">
        <v>78</v>
      </c>
      <c r="B79" s="7" t="str">
        <f>"978-7-5086-4556-8"</f>
        <v>978-7-5086-4556-8</v>
      </c>
      <c r="C79" s="7" t="str">
        <f>"逃离不平等：健康、财富及不平等的起源：health， wealth， and the origins of inequality"</f>
        <v>逃离不平等：健康、财富及不平等的起源：health， wealth， and the origins of inequality</v>
      </c>
      <c r="D79" s="7" t="str">
        <f>"(美) 安格斯·迪顿著Angus Deaton；崔传刚译"</f>
        <v>(美) 安格斯·迪顿著Angus Deaton；崔传刚译</v>
      </c>
      <c r="E79" s="7" t="str">
        <f>"中信出版社"</f>
        <v>中信出版社</v>
      </c>
      <c r="F79" s="7" t="str">
        <f>"D081/61"</f>
        <v>D081/61</v>
      </c>
    </row>
    <row r="80" customHeight="1" spans="1:6">
      <c r="A80" s="6">
        <v>79</v>
      </c>
      <c r="B80" s="7" t="str">
        <f>"978-7-5086-4556-8"</f>
        <v>978-7-5086-4556-8</v>
      </c>
      <c r="C80" s="7" t="str">
        <f>"逃离不平等：健康、财富及不平等的起源：health， wealth， and the origins of inequality"</f>
        <v>逃离不平等：健康、财富及不平等的起源：health， wealth， and the origins of inequality</v>
      </c>
      <c r="D80" s="7" t="str">
        <f>"(美) 安格斯·迪顿著Angus Deaton；崔传刚译"</f>
        <v>(美) 安格斯·迪顿著Angus Deaton；崔传刚译</v>
      </c>
      <c r="E80" s="7" t="str">
        <f>"中信出版社"</f>
        <v>中信出版社</v>
      </c>
      <c r="F80" s="7" t="str">
        <f>"D081/61"</f>
        <v>D081/61</v>
      </c>
    </row>
    <row r="81" customHeight="1" spans="1:6">
      <c r="A81" s="6">
        <v>80</v>
      </c>
      <c r="B81" s="7" t="str">
        <f>"978-7-100-19426-6"</f>
        <v>978-7-100-19426-6</v>
      </c>
      <c r="C81" s="7" t="str">
        <f>"平等"</f>
        <v>平等</v>
      </c>
      <c r="D81" s="7" t="str">
        <f>"(英) R. H. 托尼著；曾允， 陈杰译"</f>
        <v>(英) R. H. 托尼著；曾允， 陈杰译</v>
      </c>
      <c r="E81" s="7" t="str">
        <f>"商务印书馆"</f>
        <v>商务印书馆</v>
      </c>
      <c r="F81" s="7" t="str">
        <f>"D081/62"</f>
        <v>D081/62</v>
      </c>
    </row>
    <row r="82" customHeight="1" spans="1:6">
      <c r="A82" s="6">
        <v>81</v>
      </c>
      <c r="B82" s="7" t="str">
        <f>"978-7-100-19426-6"</f>
        <v>978-7-100-19426-6</v>
      </c>
      <c r="C82" s="7" t="str">
        <f>"平等"</f>
        <v>平等</v>
      </c>
      <c r="D82" s="7" t="str">
        <f>"(英) R. H. 托尼著；曾允， 陈杰译"</f>
        <v>(英) R. H. 托尼著；曾允， 陈杰译</v>
      </c>
      <c r="E82" s="7" t="str">
        <f>"商务印书馆"</f>
        <v>商务印书馆</v>
      </c>
      <c r="F82" s="7" t="str">
        <f>"D081/62"</f>
        <v>D081/62</v>
      </c>
    </row>
    <row r="83" customHeight="1" spans="1:6">
      <c r="A83" s="6">
        <v>82</v>
      </c>
      <c r="B83" s="8" t="s">
        <v>712</v>
      </c>
      <c r="C83" s="8" t="s">
        <v>713</v>
      </c>
      <c r="D83" s="8" t="s">
        <v>714</v>
      </c>
      <c r="E83" s="8" t="s">
        <v>275</v>
      </c>
      <c r="F83" s="8" t="s">
        <v>715</v>
      </c>
    </row>
    <row r="84" customHeight="1" spans="1:6">
      <c r="A84" s="6">
        <v>83</v>
      </c>
      <c r="B84" s="8" t="s">
        <v>712</v>
      </c>
      <c r="C84" s="8" t="s">
        <v>713</v>
      </c>
      <c r="D84" s="8" t="s">
        <v>714</v>
      </c>
      <c r="E84" s="8" t="s">
        <v>275</v>
      </c>
      <c r="F84" s="8" t="s">
        <v>715</v>
      </c>
    </row>
    <row r="85" customHeight="1" spans="1:6">
      <c r="A85" s="6">
        <v>84</v>
      </c>
      <c r="B85" s="8" t="s">
        <v>716</v>
      </c>
      <c r="C85" s="8" t="s">
        <v>717</v>
      </c>
      <c r="D85" s="8" t="s">
        <v>718</v>
      </c>
      <c r="E85" s="8" t="s">
        <v>23</v>
      </c>
      <c r="F85" s="8" t="s">
        <v>719</v>
      </c>
    </row>
    <row r="86" customHeight="1" spans="1:6">
      <c r="A86" s="6">
        <v>85</v>
      </c>
      <c r="B86" s="8" t="s">
        <v>716</v>
      </c>
      <c r="C86" s="8" t="s">
        <v>717</v>
      </c>
      <c r="D86" s="8" t="s">
        <v>718</v>
      </c>
      <c r="E86" s="8" t="s">
        <v>23</v>
      </c>
      <c r="F86" s="8" t="s">
        <v>719</v>
      </c>
    </row>
    <row r="87" customHeight="1" spans="1:6">
      <c r="A87" s="6">
        <v>86</v>
      </c>
      <c r="B87" s="7" t="str">
        <f>"978-7-100-19856-1"</f>
        <v>978-7-100-19856-1</v>
      </c>
      <c r="C87" s="7" t="str">
        <f>"空间共享：新马克思主义与中国城镇化"</f>
        <v>空间共享：新马克思主义与中国城镇化</v>
      </c>
      <c r="D87" s="7" t="str">
        <f>"武廷海， 张能著"</f>
        <v>武廷海， 张能著</v>
      </c>
      <c r="E87" s="7" t="str">
        <f>"商务印书馆"</f>
        <v>商务印书馆</v>
      </c>
      <c r="F87" s="7" t="str">
        <f>"D089/9=2D"</f>
        <v>D089/9=2D</v>
      </c>
    </row>
    <row r="88" customHeight="1" spans="1:6">
      <c r="A88" s="6">
        <v>87</v>
      </c>
      <c r="B88" s="7" t="str">
        <f>"978-7-100-19856-1"</f>
        <v>978-7-100-19856-1</v>
      </c>
      <c r="C88" s="7" t="str">
        <f>"空间共享：新马克思主义与中国城镇化"</f>
        <v>空间共享：新马克思主义与中国城镇化</v>
      </c>
      <c r="D88" s="7" t="str">
        <f>"武廷海， 张能著"</f>
        <v>武廷海， 张能著</v>
      </c>
      <c r="E88" s="7" t="str">
        <f>"商务印书馆"</f>
        <v>商务印书馆</v>
      </c>
      <c r="F88" s="7" t="str">
        <f>"D089/9=2D"</f>
        <v>D089/9=2D</v>
      </c>
    </row>
    <row r="89" customHeight="1" spans="1:6">
      <c r="A89" s="6">
        <v>88</v>
      </c>
      <c r="B89" s="7" t="str">
        <f>"978-7-5194-6233-8"</f>
        <v>978-7-5194-6233-8</v>
      </c>
      <c r="C89" s="7" t="str">
        <f>"西方三大政治思潮"</f>
        <v>西方三大政治思潮</v>
      </c>
      <c r="D89" s="7" t="str">
        <f>"王涛著"</f>
        <v>王涛著</v>
      </c>
      <c r="E89" s="7" t="str">
        <f>"光明日报出版社"</f>
        <v>光明日报出版社</v>
      </c>
      <c r="F89" s="7" t="str">
        <f>"D091.5/62"</f>
        <v>D091.5/62</v>
      </c>
    </row>
    <row r="90" customHeight="1" spans="1:6">
      <c r="A90" s="6">
        <v>89</v>
      </c>
      <c r="B90" s="7" t="str">
        <f>"978-7-5194-6233-8"</f>
        <v>978-7-5194-6233-8</v>
      </c>
      <c r="C90" s="7" t="str">
        <f>"西方三大政治思潮"</f>
        <v>西方三大政治思潮</v>
      </c>
      <c r="D90" s="7" t="str">
        <f>"王涛著"</f>
        <v>王涛著</v>
      </c>
      <c r="E90" s="7" t="str">
        <f>"光明日报出版社"</f>
        <v>光明日报出版社</v>
      </c>
      <c r="F90" s="7" t="str">
        <f>"D091.5/62"</f>
        <v>D091.5/62</v>
      </c>
    </row>
    <row r="91" customHeight="1" spans="1:6">
      <c r="A91" s="6">
        <v>90</v>
      </c>
      <c r="B91" s="8" t="s">
        <v>720</v>
      </c>
      <c r="C91" s="8" t="s">
        <v>721</v>
      </c>
      <c r="D91" s="8" t="s">
        <v>722</v>
      </c>
      <c r="E91" s="8" t="s">
        <v>723</v>
      </c>
      <c r="F91" s="8" t="s">
        <v>724</v>
      </c>
    </row>
    <row r="92" customHeight="1" spans="1:6">
      <c r="A92" s="6">
        <v>91</v>
      </c>
      <c r="B92" s="8" t="s">
        <v>720</v>
      </c>
      <c r="C92" s="8" t="s">
        <v>721</v>
      </c>
      <c r="D92" s="8" t="s">
        <v>722</v>
      </c>
      <c r="E92" s="8" t="s">
        <v>723</v>
      </c>
      <c r="F92" s="8" t="s">
        <v>724</v>
      </c>
    </row>
    <row r="93" customHeight="1" spans="1:6">
      <c r="A93" s="6">
        <v>92</v>
      </c>
      <c r="B93" s="8" t="s">
        <v>725</v>
      </c>
      <c r="C93" s="8" t="s">
        <v>726</v>
      </c>
      <c r="D93" s="8" t="s">
        <v>727</v>
      </c>
      <c r="E93" s="8" t="s">
        <v>23</v>
      </c>
      <c r="F93" s="8" t="s">
        <v>728</v>
      </c>
    </row>
    <row r="94" customHeight="1" spans="1:6">
      <c r="A94" s="6">
        <v>93</v>
      </c>
      <c r="B94" s="8" t="s">
        <v>725</v>
      </c>
      <c r="C94" s="8" t="s">
        <v>726</v>
      </c>
      <c r="D94" s="8" t="s">
        <v>727</v>
      </c>
      <c r="E94" s="8" t="s">
        <v>23</v>
      </c>
      <c r="F94" s="8" t="s">
        <v>728</v>
      </c>
    </row>
    <row r="95" customHeight="1" spans="1:6">
      <c r="A95" s="6">
        <v>94</v>
      </c>
      <c r="B95" s="8" t="s">
        <v>729</v>
      </c>
      <c r="C95" s="8" t="s">
        <v>730</v>
      </c>
      <c r="D95" s="8" t="s">
        <v>731</v>
      </c>
      <c r="E95" s="8" t="s">
        <v>43</v>
      </c>
      <c r="F95" s="8" t="s">
        <v>732</v>
      </c>
    </row>
    <row r="96" customHeight="1" spans="1:6">
      <c r="A96" s="6">
        <v>95</v>
      </c>
      <c r="B96" s="8" t="s">
        <v>729</v>
      </c>
      <c r="C96" s="8" t="s">
        <v>730</v>
      </c>
      <c r="D96" s="8" t="s">
        <v>731</v>
      </c>
      <c r="E96" s="8" t="s">
        <v>43</v>
      </c>
      <c r="F96" s="8" t="s">
        <v>732</v>
      </c>
    </row>
    <row r="97" customHeight="1" spans="1:6">
      <c r="A97" s="6">
        <v>96</v>
      </c>
      <c r="B97" s="7" t="str">
        <f>"978-7-5161-7909-3"</f>
        <v>978-7-5161-7909-3</v>
      </c>
      <c r="C97" s="7" t="str">
        <f>"思想与政治之间：唐玄宗时期政治思想研究"</f>
        <v>思想与政治之间：唐玄宗时期政治思想研究</v>
      </c>
      <c r="D97" s="7" t="str">
        <f>"梁红仙著"</f>
        <v>梁红仙著</v>
      </c>
      <c r="E97" s="7" t="str">
        <f>"中国社会科学出版社"</f>
        <v>中国社会科学出版社</v>
      </c>
      <c r="F97" s="7" t="str">
        <f>"D092.42/2"</f>
        <v>D092.42/2</v>
      </c>
    </row>
    <row r="98" customHeight="1" spans="1:6">
      <c r="A98" s="6">
        <v>97</v>
      </c>
      <c r="B98" s="8" t="s">
        <v>733</v>
      </c>
      <c r="C98" s="8" t="s">
        <v>734</v>
      </c>
      <c r="D98" s="8" t="s">
        <v>735</v>
      </c>
      <c r="E98" s="8" t="s">
        <v>270</v>
      </c>
      <c r="F98" s="8" t="s">
        <v>736</v>
      </c>
    </row>
    <row r="99" customHeight="1" spans="1:6">
      <c r="A99" s="6">
        <v>98</v>
      </c>
      <c r="B99" s="8" t="s">
        <v>733</v>
      </c>
      <c r="C99" s="8" t="s">
        <v>734</v>
      </c>
      <c r="D99" s="8" t="s">
        <v>735</v>
      </c>
      <c r="E99" s="8" t="s">
        <v>270</v>
      </c>
      <c r="F99" s="8" t="s">
        <v>736</v>
      </c>
    </row>
    <row r="100" customHeight="1" spans="1:6">
      <c r="A100" s="6">
        <v>99</v>
      </c>
      <c r="B100" s="7" t="str">
        <f>"978-7-215-12008-2"</f>
        <v>978-7-215-12008-2</v>
      </c>
      <c r="C100" s="7" t="str">
        <f>"汉代的历史变易思想"</f>
        <v>汉代的历史变易思想</v>
      </c>
      <c r="D100" s="7" t="str">
        <f>"汪高鑫著"</f>
        <v>汪高鑫著</v>
      </c>
      <c r="E100" s="7" t="str">
        <f>"河南人民出版社"</f>
        <v>河南人民出版社</v>
      </c>
      <c r="F100" s="7" t="str">
        <f>"D092/33"</f>
        <v>D092/33</v>
      </c>
    </row>
    <row r="101" customHeight="1" spans="1:6">
      <c r="A101" s="6">
        <v>100</v>
      </c>
      <c r="B101" s="7" t="str">
        <f>"978-7-215-12008-2"</f>
        <v>978-7-215-12008-2</v>
      </c>
      <c r="C101" s="7" t="str">
        <f>"汉代的历史变易思想"</f>
        <v>汉代的历史变易思想</v>
      </c>
      <c r="D101" s="7" t="str">
        <f>"汪高鑫著"</f>
        <v>汪高鑫著</v>
      </c>
      <c r="E101" s="7" t="str">
        <f>"河南人民出版社"</f>
        <v>河南人民出版社</v>
      </c>
      <c r="F101" s="7" t="str">
        <f>"D092/33"</f>
        <v>D092/33</v>
      </c>
    </row>
    <row r="102" customHeight="1" spans="1:6">
      <c r="A102" s="6">
        <v>101</v>
      </c>
      <c r="B102" s="8" t="s">
        <v>737</v>
      </c>
      <c r="C102" s="8" t="s">
        <v>738</v>
      </c>
      <c r="D102" s="8" t="s">
        <v>739</v>
      </c>
      <c r="E102" s="8" t="s">
        <v>43</v>
      </c>
      <c r="F102" s="8" t="s">
        <v>740</v>
      </c>
    </row>
    <row r="103" customHeight="1" spans="1:6">
      <c r="A103" s="6">
        <v>102</v>
      </c>
      <c r="B103" s="8" t="s">
        <v>737</v>
      </c>
      <c r="C103" s="8" t="s">
        <v>738</v>
      </c>
      <c r="D103" s="8" t="s">
        <v>739</v>
      </c>
      <c r="E103" s="8" t="s">
        <v>43</v>
      </c>
      <c r="F103" s="8" t="s">
        <v>740</v>
      </c>
    </row>
    <row r="104" customHeight="1" spans="1:6">
      <c r="A104" s="6">
        <v>103</v>
      </c>
      <c r="B104" s="8" t="s">
        <v>741</v>
      </c>
      <c r="C104" s="8" t="s">
        <v>742</v>
      </c>
      <c r="D104" s="8" t="s">
        <v>743</v>
      </c>
      <c r="E104" s="8" t="s">
        <v>744</v>
      </c>
      <c r="F104" s="8" t="s">
        <v>745</v>
      </c>
    </row>
    <row r="105" customHeight="1" spans="1:6">
      <c r="A105" s="6">
        <v>104</v>
      </c>
      <c r="B105" s="8" t="s">
        <v>741</v>
      </c>
      <c r="C105" s="8" t="s">
        <v>742</v>
      </c>
      <c r="D105" s="8" t="s">
        <v>743</v>
      </c>
      <c r="E105" s="8" t="s">
        <v>744</v>
      </c>
      <c r="F105" s="8" t="s">
        <v>745</v>
      </c>
    </row>
    <row r="106" customHeight="1" spans="1:6">
      <c r="A106" s="6">
        <v>105</v>
      </c>
      <c r="B106" s="7" t="str">
        <f>"978-7-108-05728-0"</f>
        <v>978-7-108-05728-0</v>
      </c>
      <c r="C106" s="7" t="str">
        <f>"自然权利与历史"</f>
        <v>自然权利与历史</v>
      </c>
      <c r="D106" s="7" t="str">
        <f>"(美) 列奥·施特劳斯著Leo Strauss；彭刚译"</f>
        <v>(美) 列奥·施特劳斯著Leo Strauss；彭刚译</v>
      </c>
      <c r="E106" s="7" t="str">
        <f>"三联书店"</f>
        <v>三联书店</v>
      </c>
      <c r="F106" s="7" t="str">
        <f>"D097.125/9=3D"</f>
        <v>D097.125/9=3D</v>
      </c>
    </row>
    <row r="107" customHeight="1" spans="1:6">
      <c r="A107" s="6">
        <v>106</v>
      </c>
      <c r="B107" s="7" t="str">
        <f>"978-7-108-05728-0"</f>
        <v>978-7-108-05728-0</v>
      </c>
      <c r="C107" s="7" t="str">
        <f>"自然权利与历史"</f>
        <v>自然权利与历史</v>
      </c>
      <c r="D107" s="7" t="str">
        <f>"(美) 列奥·施特劳斯著Leo Strauss；彭刚译"</f>
        <v>(美) 列奥·施特劳斯著Leo Strauss；彭刚译</v>
      </c>
      <c r="E107" s="7" t="str">
        <f>"三联书店"</f>
        <v>三联书店</v>
      </c>
      <c r="F107" s="7" t="str">
        <f>"D097.125/9=3D"</f>
        <v>D097.125/9=3D</v>
      </c>
    </row>
    <row r="108" customHeight="1" spans="1:6">
      <c r="A108" s="6">
        <v>107</v>
      </c>
      <c r="B108" s="7" t="str">
        <f>"978-7-04-056943-8"</f>
        <v>978-7-04-056943-8</v>
      </c>
      <c r="C108" s="7" t="str">
        <f>"习近平法治思想概论"</f>
        <v>习近平法治思想概论</v>
      </c>
      <c r="D108" s="7" t="str">
        <f>"《习近平法治思想概论》编写组"</f>
        <v>《习近平法治思想概论》编写组</v>
      </c>
      <c r="E108" s="7" t="str">
        <f>"高等教育出版社"</f>
        <v>高等教育出版社</v>
      </c>
      <c r="F108" s="7" t="str">
        <f>"D2-0/79"</f>
        <v>D2-0/79</v>
      </c>
    </row>
    <row r="109" customHeight="1" spans="1:6">
      <c r="A109" s="6">
        <v>108</v>
      </c>
      <c r="B109" s="7" t="str">
        <f>"978-7-04-056943-8"</f>
        <v>978-7-04-056943-8</v>
      </c>
      <c r="C109" s="7" t="str">
        <f>"习近平法治思想概论"</f>
        <v>习近平法治思想概论</v>
      </c>
      <c r="D109" s="7" t="str">
        <f>"《习近平法治思想概论》编写组"</f>
        <v>《习近平法治思想概论》编写组</v>
      </c>
      <c r="E109" s="7" t="str">
        <f>"高等教育出版社"</f>
        <v>高等教育出版社</v>
      </c>
      <c r="F109" s="7" t="str">
        <f>"D2-0/79"</f>
        <v>D2-0/79</v>
      </c>
    </row>
    <row r="110" customHeight="1" spans="1:6">
      <c r="A110" s="6">
        <v>109</v>
      </c>
      <c r="B110" s="8" t="s">
        <v>746</v>
      </c>
      <c r="C110" s="8" t="s">
        <v>747</v>
      </c>
      <c r="D110" s="8" t="s">
        <v>748</v>
      </c>
      <c r="E110" s="8" t="s">
        <v>749</v>
      </c>
      <c r="F110" s="8" t="s">
        <v>750</v>
      </c>
    </row>
    <row r="111" customHeight="1" spans="1:6">
      <c r="A111" s="6">
        <v>110</v>
      </c>
      <c r="B111" s="8" t="s">
        <v>746</v>
      </c>
      <c r="C111" s="8" t="s">
        <v>747</v>
      </c>
      <c r="D111" s="8" t="s">
        <v>748</v>
      </c>
      <c r="E111" s="8" t="s">
        <v>749</v>
      </c>
      <c r="F111" s="8" t="s">
        <v>750</v>
      </c>
    </row>
    <row r="112" customHeight="1" spans="1:6">
      <c r="A112" s="6">
        <v>111</v>
      </c>
      <c r="B112" s="8" t="s">
        <v>751</v>
      </c>
      <c r="C112" s="8" t="s">
        <v>752</v>
      </c>
      <c r="D112" s="8" t="s">
        <v>753</v>
      </c>
      <c r="E112" s="8" t="s">
        <v>754</v>
      </c>
      <c r="F112" s="8" t="s">
        <v>755</v>
      </c>
    </row>
    <row r="113" customHeight="1" spans="1:6">
      <c r="A113" s="6">
        <v>112</v>
      </c>
      <c r="B113" s="8" t="s">
        <v>751</v>
      </c>
      <c r="C113" s="8" t="s">
        <v>752</v>
      </c>
      <c r="D113" s="8" t="s">
        <v>753</v>
      </c>
      <c r="E113" s="8" t="s">
        <v>754</v>
      </c>
      <c r="F113" s="8" t="s">
        <v>755</v>
      </c>
    </row>
    <row r="114" customHeight="1" spans="1:6">
      <c r="A114" s="6">
        <v>113</v>
      </c>
      <c r="B114" s="8" t="s">
        <v>756</v>
      </c>
      <c r="C114" s="8" t="s">
        <v>757</v>
      </c>
      <c r="D114" s="13"/>
      <c r="E114" s="8" t="s">
        <v>43</v>
      </c>
      <c r="F114" s="8" t="s">
        <v>758</v>
      </c>
    </row>
    <row r="115" customHeight="1" spans="1:6">
      <c r="A115" s="6">
        <v>114</v>
      </c>
      <c r="B115" s="8" t="s">
        <v>756</v>
      </c>
      <c r="C115" s="8" t="s">
        <v>757</v>
      </c>
      <c r="D115" s="13"/>
      <c r="E115" s="8" t="s">
        <v>43</v>
      </c>
      <c r="F115" s="8" t="s">
        <v>758</v>
      </c>
    </row>
    <row r="116" customHeight="1" spans="1:6">
      <c r="A116" s="6">
        <v>115</v>
      </c>
      <c r="B116" s="8" t="s">
        <v>759</v>
      </c>
      <c r="C116" s="8" t="s">
        <v>760</v>
      </c>
      <c r="D116" s="8" t="s">
        <v>761</v>
      </c>
      <c r="E116" s="8" t="s">
        <v>762</v>
      </c>
      <c r="F116" s="8" t="s">
        <v>763</v>
      </c>
    </row>
    <row r="117" customHeight="1" spans="1:6">
      <c r="A117" s="6">
        <v>116</v>
      </c>
      <c r="B117" s="8" t="s">
        <v>759</v>
      </c>
      <c r="C117" s="8" t="s">
        <v>760</v>
      </c>
      <c r="D117" s="8" t="s">
        <v>761</v>
      </c>
      <c r="E117" s="8" t="s">
        <v>762</v>
      </c>
      <c r="F117" s="8" t="s">
        <v>763</v>
      </c>
    </row>
    <row r="118" customHeight="1" spans="1:6">
      <c r="A118" s="6">
        <v>117</v>
      </c>
      <c r="B118" s="8" t="s">
        <v>764</v>
      </c>
      <c r="C118" s="8" t="s">
        <v>765</v>
      </c>
      <c r="D118" s="8" t="s">
        <v>766</v>
      </c>
      <c r="E118" s="8" t="s">
        <v>43</v>
      </c>
      <c r="F118" s="8" t="s">
        <v>767</v>
      </c>
    </row>
    <row r="119" customHeight="1" spans="1:6">
      <c r="A119" s="6">
        <v>118</v>
      </c>
      <c r="B119" s="8" t="s">
        <v>764</v>
      </c>
      <c r="C119" s="8" t="s">
        <v>765</v>
      </c>
      <c r="D119" s="8" t="s">
        <v>766</v>
      </c>
      <c r="E119" s="8" t="s">
        <v>43</v>
      </c>
      <c r="F119" s="8" t="s">
        <v>767</v>
      </c>
    </row>
    <row r="120" customHeight="1" spans="1:6">
      <c r="A120" s="6">
        <v>119</v>
      </c>
      <c r="B120" s="8" t="s">
        <v>768</v>
      </c>
      <c r="C120" s="8" t="s">
        <v>769</v>
      </c>
      <c r="D120" s="8" t="s">
        <v>770</v>
      </c>
      <c r="E120" s="8" t="s">
        <v>43</v>
      </c>
      <c r="F120" s="8" t="s">
        <v>771</v>
      </c>
    </row>
    <row r="121" customHeight="1" spans="1:6">
      <c r="A121" s="6">
        <v>120</v>
      </c>
      <c r="B121" s="8" t="s">
        <v>768</v>
      </c>
      <c r="C121" s="8" t="s">
        <v>769</v>
      </c>
      <c r="D121" s="8" t="s">
        <v>770</v>
      </c>
      <c r="E121" s="8" t="s">
        <v>43</v>
      </c>
      <c r="F121" s="8" t="s">
        <v>771</v>
      </c>
    </row>
    <row r="122" customHeight="1" spans="1:6">
      <c r="A122" s="6">
        <v>121</v>
      </c>
      <c r="B122" s="7" t="str">
        <f t="shared" ref="B122:B124" si="15">"978-7-01-023678-0"</f>
        <v>978-7-01-023678-0</v>
      </c>
      <c r="C122" s="7" t="str">
        <f t="shared" ref="C122:C124" si="16">"中国共产党的历史使命与行动价值"</f>
        <v>中国共产党的历史使命与行动价值</v>
      </c>
      <c r="D122" s="7" t="str">
        <f t="shared" ref="D122:D124" si="17">"中共中央宣传部"</f>
        <v>中共中央宣传部</v>
      </c>
      <c r="E122" s="7" t="str">
        <f t="shared" ref="E122:E124" si="18">"人民出版社"</f>
        <v>人民出版社</v>
      </c>
      <c r="F122" s="7" t="str">
        <f t="shared" ref="F122:F124" si="19">"D23/148"</f>
        <v>D23/148</v>
      </c>
    </row>
    <row r="123" customHeight="1" spans="1:6">
      <c r="A123" s="6">
        <v>122</v>
      </c>
      <c r="B123" s="7" t="str">
        <f t="shared" si="15"/>
        <v>978-7-01-023678-0</v>
      </c>
      <c r="C123" s="7" t="str">
        <f t="shared" si="16"/>
        <v>中国共产党的历史使命与行动价值</v>
      </c>
      <c r="D123" s="7" t="str">
        <f t="shared" si="17"/>
        <v>中共中央宣传部</v>
      </c>
      <c r="E123" s="7" t="str">
        <f t="shared" si="18"/>
        <v>人民出版社</v>
      </c>
      <c r="F123" s="7" t="str">
        <f t="shared" si="19"/>
        <v>D23/148</v>
      </c>
    </row>
    <row r="124" customHeight="1" spans="1:6">
      <c r="A124" s="6">
        <v>123</v>
      </c>
      <c r="B124" s="7" t="str">
        <f t="shared" si="15"/>
        <v>978-7-01-023678-0</v>
      </c>
      <c r="C124" s="7" t="str">
        <f t="shared" si="16"/>
        <v>中国共产党的历史使命与行动价值</v>
      </c>
      <c r="D124" s="7" t="str">
        <f t="shared" si="17"/>
        <v>中共中央宣传部</v>
      </c>
      <c r="E124" s="7" t="str">
        <f t="shared" si="18"/>
        <v>人民出版社</v>
      </c>
      <c r="F124" s="7" t="str">
        <f t="shared" si="19"/>
        <v>D23/148</v>
      </c>
    </row>
    <row r="125" customHeight="1" spans="1:6">
      <c r="A125" s="6">
        <v>124</v>
      </c>
      <c r="B125" s="7" t="str">
        <f>"978-7-5051-5259-5"</f>
        <v>978-7-5051-5259-5</v>
      </c>
      <c r="C125" s="7" t="str">
        <f>"百年大党何以引领新时代"</f>
        <v>百年大党何以引领新时代</v>
      </c>
      <c r="D125" s="7" t="str">
        <f>"何毅亭著"</f>
        <v>何毅亭著</v>
      </c>
      <c r="E125" s="7" t="str">
        <f>"红旗出版社"</f>
        <v>红旗出版社</v>
      </c>
      <c r="F125" s="7" t="str">
        <f>"D23/149"</f>
        <v>D23/149</v>
      </c>
    </row>
    <row r="126" customHeight="1" spans="1:6">
      <c r="A126" s="6">
        <v>125</v>
      </c>
      <c r="B126" s="7" t="str">
        <f>"978-7-5051-5259-5"</f>
        <v>978-7-5051-5259-5</v>
      </c>
      <c r="C126" s="7" t="str">
        <f>"百年大党何以引领新时代"</f>
        <v>百年大党何以引领新时代</v>
      </c>
      <c r="D126" s="7" t="str">
        <f>"何毅亭著"</f>
        <v>何毅亭著</v>
      </c>
      <c r="E126" s="7" t="str">
        <f>"红旗出版社"</f>
        <v>红旗出版社</v>
      </c>
      <c r="F126" s="7" t="str">
        <f>"D23/149"</f>
        <v>D23/149</v>
      </c>
    </row>
    <row r="127" customHeight="1" spans="1:6">
      <c r="A127" s="6">
        <v>126</v>
      </c>
      <c r="B127" s="7" t="str">
        <f t="shared" ref="B127:B129" si="20">"978-7-119-12757-6"</f>
        <v>978-7-119-12757-6</v>
      </c>
      <c r="C127" s="7" t="str">
        <f t="shared" ref="C127:C129" si="21">"中华文明与中国共产党"</f>
        <v>中华文明与中国共产党</v>
      </c>
      <c r="D127" s="7" t="str">
        <f t="shared" ref="D127:D129" si="22">"郑必坚著"</f>
        <v>郑必坚著</v>
      </c>
      <c r="E127" s="7" t="str">
        <f t="shared" ref="E127:E129" si="23">"外文出版社有限责任公司"</f>
        <v>外文出版社有限责任公司</v>
      </c>
      <c r="F127" s="7" t="str">
        <f t="shared" ref="F127:F129" si="24">"D23/150"</f>
        <v>D23/150</v>
      </c>
    </row>
    <row r="128" customHeight="1" spans="1:6">
      <c r="A128" s="6">
        <v>127</v>
      </c>
      <c r="B128" s="7" t="str">
        <f t="shared" si="20"/>
        <v>978-7-119-12757-6</v>
      </c>
      <c r="C128" s="7" t="str">
        <f t="shared" si="21"/>
        <v>中华文明与中国共产党</v>
      </c>
      <c r="D128" s="7" t="str">
        <f t="shared" si="22"/>
        <v>郑必坚著</v>
      </c>
      <c r="E128" s="7" t="str">
        <f t="shared" si="23"/>
        <v>外文出版社有限责任公司</v>
      </c>
      <c r="F128" s="7" t="str">
        <f t="shared" si="24"/>
        <v>D23/150</v>
      </c>
    </row>
    <row r="129" customHeight="1" spans="1:6">
      <c r="A129" s="6">
        <v>128</v>
      </c>
      <c r="B129" s="7" t="str">
        <f t="shared" si="20"/>
        <v>978-7-119-12757-6</v>
      </c>
      <c r="C129" s="7" t="str">
        <f t="shared" si="21"/>
        <v>中华文明与中国共产党</v>
      </c>
      <c r="D129" s="7" t="str">
        <f t="shared" si="22"/>
        <v>郑必坚著</v>
      </c>
      <c r="E129" s="7" t="str">
        <f t="shared" si="23"/>
        <v>外文出版社有限责任公司</v>
      </c>
      <c r="F129" s="7" t="str">
        <f t="shared" si="24"/>
        <v>D23/150</v>
      </c>
    </row>
    <row r="130" customHeight="1" spans="1:6">
      <c r="A130" s="6">
        <v>129</v>
      </c>
      <c r="B130" s="8" t="s">
        <v>772</v>
      </c>
      <c r="C130" s="8" t="s">
        <v>773</v>
      </c>
      <c r="D130" s="8" t="s">
        <v>766</v>
      </c>
      <c r="E130" s="8" t="s">
        <v>43</v>
      </c>
      <c r="F130" s="8" t="s">
        <v>774</v>
      </c>
    </row>
    <row r="131" customHeight="1" spans="1:6">
      <c r="A131" s="6">
        <v>130</v>
      </c>
      <c r="B131" s="8" t="s">
        <v>772</v>
      </c>
      <c r="C131" s="8" t="s">
        <v>773</v>
      </c>
      <c r="D131" s="8" t="s">
        <v>766</v>
      </c>
      <c r="E131" s="8" t="s">
        <v>43</v>
      </c>
      <c r="F131" s="8" t="s">
        <v>774</v>
      </c>
    </row>
    <row r="132" customHeight="1" spans="1:6">
      <c r="A132" s="6">
        <v>131</v>
      </c>
      <c r="B132" s="8" t="s">
        <v>775</v>
      </c>
      <c r="C132" s="8" t="s">
        <v>776</v>
      </c>
      <c r="D132" s="8" t="s">
        <v>777</v>
      </c>
      <c r="E132" s="8" t="s">
        <v>762</v>
      </c>
      <c r="F132" s="8" t="s">
        <v>778</v>
      </c>
    </row>
    <row r="133" customHeight="1" spans="1:6">
      <c r="A133" s="6">
        <v>132</v>
      </c>
      <c r="B133" s="8" t="s">
        <v>775</v>
      </c>
      <c r="C133" s="8" t="s">
        <v>776</v>
      </c>
      <c r="D133" s="8" t="s">
        <v>777</v>
      </c>
      <c r="E133" s="8" t="s">
        <v>762</v>
      </c>
      <c r="F133" s="8" t="s">
        <v>778</v>
      </c>
    </row>
    <row r="134" customHeight="1" spans="1:6">
      <c r="A134" s="6">
        <v>133</v>
      </c>
      <c r="B134" s="8" t="s">
        <v>779</v>
      </c>
      <c r="C134" s="8" t="s">
        <v>780</v>
      </c>
      <c r="D134" s="8" t="s">
        <v>781</v>
      </c>
      <c r="E134" s="8" t="s">
        <v>43</v>
      </c>
      <c r="F134" s="8" t="s">
        <v>782</v>
      </c>
    </row>
    <row r="135" customHeight="1" spans="1:6">
      <c r="A135" s="6">
        <v>134</v>
      </c>
      <c r="B135" s="8" t="s">
        <v>779</v>
      </c>
      <c r="C135" s="8" t="s">
        <v>780</v>
      </c>
      <c r="D135" s="8" t="s">
        <v>781</v>
      </c>
      <c r="E135" s="8" t="s">
        <v>43</v>
      </c>
      <c r="F135" s="8" t="s">
        <v>782</v>
      </c>
    </row>
    <row r="136" customHeight="1" spans="1:6">
      <c r="A136" s="6">
        <v>135</v>
      </c>
      <c r="B136" s="8" t="s">
        <v>783</v>
      </c>
      <c r="C136" s="8" t="s">
        <v>784</v>
      </c>
      <c r="D136" s="8" t="s">
        <v>785</v>
      </c>
      <c r="E136" s="8" t="s">
        <v>786</v>
      </c>
      <c r="F136" s="8" t="s">
        <v>787</v>
      </c>
    </row>
    <row r="137" customHeight="1" spans="1:6">
      <c r="A137" s="6">
        <v>136</v>
      </c>
      <c r="B137" s="8" t="s">
        <v>783</v>
      </c>
      <c r="C137" s="8" t="s">
        <v>784</v>
      </c>
      <c r="D137" s="8" t="s">
        <v>785</v>
      </c>
      <c r="E137" s="8" t="s">
        <v>786</v>
      </c>
      <c r="F137" s="8" t="s">
        <v>787</v>
      </c>
    </row>
    <row r="138" customHeight="1" spans="1:6">
      <c r="A138" s="6">
        <v>137</v>
      </c>
      <c r="B138" s="8" t="s">
        <v>788</v>
      </c>
      <c r="C138" s="8" t="s">
        <v>789</v>
      </c>
      <c r="D138" s="8" t="s">
        <v>766</v>
      </c>
      <c r="E138" s="8" t="s">
        <v>43</v>
      </c>
      <c r="F138" s="8" t="s">
        <v>790</v>
      </c>
    </row>
    <row r="139" customHeight="1" spans="1:6">
      <c r="A139" s="6">
        <v>138</v>
      </c>
      <c r="B139" s="8" t="s">
        <v>788</v>
      </c>
      <c r="C139" s="8" t="s">
        <v>789</v>
      </c>
      <c r="D139" s="8" t="s">
        <v>766</v>
      </c>
      <c r="E139" s="8" t="s">
        <v>43</v>
      </c>
      <c r="F139" s="8" t="s">
        <v>790</v>
      </c>
    </row>
    <row r="140" customHeight="1" spans="1:6">
      <c r="A140" s="6">
        <v>139</v>
      </c>
      <c r="B140" s="8" t="s">
        <v>791</v>
      </c>
      <c r="C140" s="8" t="s">
        <v>792</v>
      </c>
      <c r="D140" s="8" t="s">
        <v>793</v>
      </c>
      <c r="E140" s="8" t="s">
        <v>43</v>
      </c>
      <c r="F140" s="8" t="s">
        <v>794</v>
      </c>
    </row>
    <row r="141" customHeight="1" spans="1:6">
      <c r="A141" s="6">
        <v>140</v>
      </c>
      <c r="B141" s="8" t="s">
        <v>791</v>
      </c>
      <c r="C141" s="8" t="s">
        <v>792</v>
      </c>
      <c r="D141" s="8" t="s">
        <v>793</v>
      </c>
      <c r="E141" s="8" t="s">
        <v>43</v>
      </c>
      <c r="F141" s="8" t="s">
        <v>794</v>
      </c>
    </row>
    <row r="142" customHeight="1" spans="1:6">
      <c r="A142" s="6">
        <v>141</v>
      </c>
      <c r="B142" s="8" t="s">
        <v>795</v>
      </c>
      <c r="C142" s="8" t="s">
        <v>796</v>
      </c>
      <c r="D142" s="8" t="s">
        <v>797</v>
      </c>
      <c r="E142" s="8" t="s">
        <v>330</v>
      </c>
      <c r="F142" s="8" t="s">
        <v>798</v>
      </c>
    </row>
    <row r="143" customHeight="1" spans="1:6">
      <c r="A143" s="6">
        <v>142</v>
      </c>
      <c r="B143" s="8" t="s">
        <v>795</v>
      </c>
      <c r="C143" s="8" t="s">
        <v>796</v>
      </c>
      <c r="D143" s="8" t="s">
        <v>797</v>
      </c>
      <c r="E143" s="8" t="s">
        <v>330</v>
      </c>
      <c r="F143" s="8" t="s">
        <v>798</v>
      </c>
    </row>
    <row r="144" customHeight="1" spans="1:6">
      <c r="A144" s="6">
        <v>143</v>
      </c>
      <c r="B144" s="8" t="s">
        <v>799</v>
      </c>
      <c r="C144" s="8" t="s">
        <v>800</v>
      </c>
      <c r="D144" s="8" t="s">
        <v>801</v>
      </c>
      <c r="E144" s="8" t="s">
        <v>33</v>
      </c>
      <c r="F144" s="8" t="s">
        <v>802</v>
      </c>
    </row>
    <row r="145" customHeight="1" spans="1:6">
      <c r="A145" s="6">
        <v>144</v>
      </c>
      <c r="B145" s="8" t="s">
        <v>799</v>
      </c>
      <c r="C145" s="8" t="s">
        <v>800</v>
      </c>
      <c r="D145" s="8" t="s">
        <v>801</v>
      </c>
      <c r="E145" s="8" t="s">
        <v>33</v>
      </c>
      <c r="F145" s="8" t="s">
        <v>802</v>
      </c>
    </row>
    <row r="146" customHeight="1" spans="1:6">
      <c r="A146" s="6">
        <v>145</v>
      </c>
      <c r="B146" s="8" t="s">
        <v>803</v>
      </c>
      <c r="C146" s="8" t="s">
        <v>804</v>
      </c>
      <c r="D146" s="8" t="s">
        <v>805</v>
      </c>
      <c r="E146" s="8" t="s">
        <v>43</v>
      </c>
      <c r="F146" s="8" t="s">
        <v>806</v>
      </c>
    </row>
    <row r="147" customHeight="1" spans="1:6">
      <c r="A147" s="6">
        <v>146</v>
      </c>
      <c r="B147" s="8" t="s">
        <v>803</v>
      </c>
      <c r="C147" s="8" t="s">
        <v>804</v>
      </c>
      <c r="D147" s="8" t="s">
        <v>805</v>
      </c>
      <c r="E147" s="8" t="s">
        <v>43</v>
      </c>
      <c r="F147" s="8" t="s">
        <v>806</v>
      </c>
    </row>
    <row r="148" customHeight="1" spans="1:6">
      <c r="A148" s="6">
        <v>147</v>
      </c>
      <c r="B148" s="8" t="s">
        <v>807</v>
      </c>
      <c r="C148" s="8" t="s">
        <v>808</v>
      </c>
      <c r="D148" s="8" t="s">
        <v>809</v>
      </c>
      <c r="E148" s="8" t="s">
        <v>810</v>
      </c>
      <c r="F148" s="8" t="s">
        <v>811</v>
      </c>
    </row>
    <row r="149" customHeight="1" spans="1:6">
      <c r="A149" s="6">
        <v>148</v>
      </c>
      <c r="B149" s="8" t="s">
        <v>807</v>
      </c>
      <c r="C149" s="8" t="s">
        <v>808</v>
      </c>
      <c r="D149" s="8" t="s">
        <v>809</v>
      </c>
      <c r="E149" s="8" t="s">
        <v>810</v>
      </c>
      <c r="F149" s="8" t="s">
        <v>811</v>
      </c>
    </row>
    <row r="150" customHeight="1" spans="1:6">
      <c r="A150" s="6">
        <v>149</v>
      </c>
      <c r="B150" s="8" t="s">
        <v>812</v>
      </c>
      <c r="C150" s="8" t="s">
        <v>813</v>
      </c>
      <c r="D150" s="8" t="s">
        <v>814</v>
      </c>
      <c r="E150" s="8" t="s">
        <v>815</v>
      </c>
      <c r="F150" s="8" t="s">
        <v>816</v>
      </c>
    </row>
    <row r="151" customHeight="1" spans="1:6">
      <c r="A151" s="6">
        <v>150</v>
      </c>
      <c r="B151" s="8" t="s">
        <v>812</v>
      </c>
      <c r="C151" s="8" t="s">
        <v>813</v>
      </c>
      <c r="D151" s="8" t="s">
        <v>814</v>
      </c>
      <c r="E151" s="8" t="s">
        <v>815</v>
      </c>
      <c r="F151" s="8" t="s">
        <v>816</v>
      </c>
    </row>
    <row r="152" customHeight="1" spans="1:6">
      <c r="A152" s="6">
        <v>151</v>
      </c>
      <c r="B152" s="8" t="s">
        <v>812</v>
      </c>
      <c r="C152" s="8" t="s">
        <v>817</v>
      </c>
      <c r="D152" s="8" t="s">
        <v>814</v>
      </c>
      <c r="E152" s="8" t="s">
        <v>815</v>
      </c>
      <c r="F152" s="8" t="s">
        <v>818</v>
      </c>
    </row>
    <row r="153" customHeight="1" spans="1:6">
      <c r="A153" s="6">
        <v>152</v>
      </c>
      <c r="B153" s="8" t="s">
        <v>812</v>
      </c>
      <c r="C153" s="8" t="s">
        <v>817</v>
      </c>
      <c r="D153" s="8" t="s">
        <v>814</v>
      </c>
      <c r="E153" s="8" t="s">
        <v>815</v>
      </c>
      <c r="F153" s="8" t="s">
        <v>818</v>
      </c>
    </row>
    <row r="154" customHeight="1" spans="1:6">
      <c r="A154" s="6">
        <v>153</v>
      </c>
      <c r="B154" s="8" t="s">
        <v>819</v>
      </c>
      <c r="C154" s="8" t="s">
        <v>820</v>
      </c>
      <c r="D154" s="8" t="s">
        <v>809</v>
      </c>
      <c r="E154" s="8" t="s">
        <v>43</v>
      </c>
      <c r="F154" s="8" t="s">
        <v>821</v>
      </c>
    </row>
    <row r="155" customHeight="1" spans="1:6">
      <c r="A155" s="6">
        <v>154</v>
      </c>
      <c r="B155" s="8" t="s">
        <v>819</v>
      </c>
      <c r="C155" s="8" t="s">
        <v>820</v>
      </c>
      <c r="D155" s="8" t="s">
        <v>809</v>
      </c>
      <c r="E155" s="8" t="s">
        <v>43</v>
      </c>
      <c r="F155" s="8" t="s">
        <v>821</v>
      </c>
    </row>
    <row r="156" customHeight="1" spans="1:6">
      <c r="A156" s="6">
        <v>155</v>
      </c>
      <c r="B156" s="8" t="s">
        <v>822</v>
      </c>
      <c r="C156" s="8" t="s">
        <v>823</v>
      </c>
      <c r="D156" s="8" t="s">
        <v>824</v>
      </c>
      <c r="E156" s="8" t="s">
        <v>762</v>
      </c>
      <c r="F156" s="8" t="s">
        <v>825</v>
      </c>
    </row>
    <row r="157" customHeight="1" spans="1:6">
      <c r="A157" s="6">
        <v>156</v>
      </c>
      <c r="B157" s="8" t="s">
        <v>822</v>
      </c>
      <c r="C157" s="8" t="s">
        <v>823</v>
      </c>
      <c r="D157" s="8" t="s">
        <v>824</v>
      </c>
      <c r="E157" s="8" t="s">
        <v>762</v>
      </c>
      <c r="F157" s="8" t="s">
        <v>825</v>
      </c>
    </row>
    <row r="158" customHeight="1" spans="1:6">
      <c r="A158" s="6">
        <v>157</v>
      </c>
      <c r="B158" s="8" t="s">
        <v>826</v>
      </c>
      <c r="C158" s="8" t="s">
        <v>827</v>
      </c>
      <c r="D158" s="8" t="s">
        <v>828</v>
      </c>
      <c r="E158" s="8" t="s">
        <v>829</v>
      </c>
      <c r="F158" s="8" t="s">
        <v>830</v>
      </c>
    </row>
    <row r="159" customHeight="1" spans="1:6">
      <c r="A159" s="6">
        <v>158</v>
      </c>
      <c r="B159" s="8" t="s">
        <v>826</v>
      </c>
      <c r="C159" s="8" t="s">
        <v>827</v>
      </c>
      <c r="D159" s="8" t="s">
        <v>828</v>
      </c>
      <c r="E159" s="8" t="s">
        <v>829</v>
      </c>
      <c r="F159" s="8" t="s">
        <v>830</v>
      </c>
    </row>
    <row r="160" customHeight="1" spans="1:6">
      <c r="A160" s="6">
        <v>159</v>
      </c>
      <c r="B160" s="8" t="s">
        <v>831</v>
      </c>
      <c r="C160" s="8" t="s">
        <v>832</v>
      </c>
      <c r="D160" s="8" t="s">
        <v>833</v>
      </c>
      <c r="E160" s="8" t="s">
        <v>58</v>
      </c>
      <c r="F160" s="8" t="s">
        <v>834</v>
      </c>
    </row>
    <row r="161" customHeight="1" spans="1:6">
      <c r="A161" s="6">
        <v>160</v>
      </c>
      <c r="B161" s="8" t="s">
        <v>831</v>
      </c>
      <c r="C161" s="8" t="s">
        <v>832</v>
      </c>
      <c r="D161" s="8" t="s">
        <v>833</v>
      </c>
      <c r="E161" s="8" t="s">
        <v>58</v>
      </c>
      <c r="F161" s="8" t="s">
        <v>834</v>
      </c>
    </row>
    <row r="162" customHeight="1" spans="1:6">
      <c r="A162" s="6">
        <v>161</v>
      </c>
      <c r="B162" s="8" t="s">
        <v>835</v>
      </c>
      <c r="C162" s="8" t="s">
        <v>836</v>
      </c>
      <c r="D162" s="8" t="s">
        <v>837</v>
      </c>
      <c r="E162" s="8" t="s">
        <v>838</v>
      </c>
      <c r="F162" s="8" t="s">
        <v>839</v>
      </c>
    </row>
    <row r="163" customHeight="1" spans="1:6">
      <c r="A163" s="6">
        <v>162</v>
      </c>
      <c r="B163" s="8" t="s">
        <v>835</v>
      </c>
      <c r="C163" s="8" t="s">
        <v>836</v>
      </c>
      <c r="D163" s="8" t="s">
        <v>837</v>
      </c>
      <c r="E163" s="8" t="s">
        <v>838</v>
      </c>
      <c r="F163" s="8" t="s">
        <v>839</v>
      </c>
    </row>
    <row r="164" customHeight="1" spans="1:6">
      <c r="A164" s="6">
        <v>163</v>
      </c>
      <c r="B164" s="8" t="s">
        <v>840</v>
      </c>
      <c r="C164" s="8" t="s">
        <v>841</v>
      </c>
      <c r="D164" s="8" t="s">
        <v>805</v>
      </c>
      <c r="E164" s="8" t="s">
        <v>43</v>
      </c>
      <c r="F164" s="8" t="s">
        <v>842</v>
      </c>
    </row>
    <row r="165" customHeight="1" spans="1:6">
      <c r="A165" s="6">
        <v>164</v>
      </c>
      <c r="B165" s="8" t="s">
        <v>840</v>
      </c>
      <c r="C165" s="8" t="s">
        <v>841</v>
      </c>
      <c r="D165" s="8" t="s">
        <v>805</v>
      </c>
      <c r="E165" s="8" t="s">
        <v>43</v>
      </c>
      <c r="F165" s="8" t="s">
        <v>842</v>
      </c>
    </row>
    <row r="166" customHeight="1" spans="1:6">
      <c r="A166" s="6">
        <v>165</v>
      </c>
      <c r="B166" s="8" t="s">
        <v>843</v>
      </c>
      <c r="C166" s="8" t="s">
        <v>844</v>
      </c>
      <c r="D166" s="8" t="s">
        <v>845</v>
      </c>
      <c r="E166" s="8" t="s">
        <v>810</v>
      </c>
      <c r="F166" s="8" t="s">
        <v>846</v>
      </c>
    </row>
    <row r="167" customHeight="1" spans="1:6">
      <c r="A167" s="6">
        <v>166</v>
      </c>
      <c r="B167" s="8" t="s">
        <v>843</v>
      </c>
      <c r="C167" s="8" t="s">
        <v>844</v>
      </c>
      <c r="D167" s="8" t="s">
        <v>845</v>
      </c>
      <c r="E167" s="8" t="s">
        <v>810</v>
      </c>
      <c r="F167" s="8" t="s">
        <v>846</v>
      </c>
    </row>
    <row r="168" customHeight="1" spans="1:6">
      <c r="A168" s="6">
        <v>167</v>
      </c>
      <c r="B168" s="8" t="s">
        <v>847</v>
      </c>
      <c r="C168" s="8" t="s">
        <v>848</v>
      </c>
      <c r="D168" s="8" t="s">
        <v>849</v>
      </c>
      <c r="E168" s="8" t="s">
        <v>754</v>
      </c>
      <c r="F168" s="8" t="s">
        <v>850</v>
      </c>
    </row>
    <row r="169" customHeight="1" spans="1:6">
      <c r="A169" s="6">
        <v>168</v>
      </c>
      <c r="B169" s="7" t="str">
        <f>"978-7-121-19540-2"</f>
        <v>978-7-121-19540-2</v>
      </c>
      <c r="C169" s="7" t="str">
        <f>"博物馆里的党史故事"</f>
        <v>博物馆里的党史故事</v>
      </c>
      <c r="D169" s="7" t="str">
        <f>"周彪编著"</f>
        <v>周彪编著</v>
      </c>
      <c r="E169" s="7" t="str">
        <f>"电子工业出版社"</f>
        <v>电子工业出版社</v>
      </c>
      <c r="F169" s="7" t="str">
        <f>"D231/38"</f>
        <v>D231/38</v>
      </c>
    </row>
    <row r="170" customHeight="1" spans="1:6">
      <c r="A170" s="6">
        <v>169</v>
      </c>
      <c r="B170" s="7" t="str">
        <f>"978-7-121-19540-2"</f>
        <v>978-7-121-19540-2</v>
      </c>
      <c r="C170" s="7" t="str">
        <f>"博物馆里的党史故事"</f>
        <v>博物馆里的党史故事</v>
      </c>
      <c r="D170" s="7" t="str">
        <f>"周彪编著"</f>
        <v>周彪编著</v>
      </c>
      <c r="E170" s="7" t="str">
        <f>"电子工业出版社"</f>
        <v>电子工业出版社</v>
      </c>
      <c r="F170" s="7" t="str">
        <f>"D231/38"</f>
        <v>D231/38</v>
      </c>
    </row>
    <row r="171" customHeight="1" spans="1:6">
      <c r="A171" s="6">
        <v>170</v>
      </c>
      <c r="B171" s="7" t="str">
        <f>"978-7-208-17351-4"</f>
        <v>978-7-208-17351-4</v>
      </c>
      <c r="C171" s="7" t="str">
        <f>"半小时漫画党史：1921-1949"</f>
        <v>半小时漫画党史：1921-1949</v>
      </c>
      <c r="D171" s="7" t="str">
        <f>"本社， 半小时漫画团队编绘；吴波撰"</f>
        <v>本社， 半小时漫画团队编绘；吴波撰</v>
      </c>
      <c r="E171" s="7" t="str">
        <f>"上海人民出版社"</f>
        <v>上海人民出版社</v>
      </c>
      <c r="F171" s="7" t="str">
        <f>"D231/39"</f>
        <v>D231/39</v>
      </c>
    </row>
    <row r="172" customHeight="1" spans="1:6">
      <c r="A172" s="6">
        <v>171</v>
      </c>
      <c r="B172" s="7" t="str">
        <f>"978-7-208-17351-4"</f>
        <v>978-7-208-17351-4</v>
      </c>
      <c r="C172" s="7" t="str">
        <f>"半小时漫画党史：1921-1949"</f>
        <v>半小时漫画党史：1921-1949</v>
      </c>
      <c r="D172" s="7" t="str">
        <f>"本社， 半小时漫画团队编绘；吴波撰"</f>
        <v>本社， 半小时漫画团队编绘；吴波撰</v>
      </c>
      <c r="E172" s="7" t="str">
        <f>"上海人民出版社"</f>
        <v>上海人民出版社</v>
      </c>
      <c r="F172" s="7" t="str">
        <f>"D231/39"</f>
        <v>D231/39</v>
      </c>
    </row>
    <row r="173" customHeight="1" spans="1:6">
      <c r="A173" s="6">
        <v>172</v>
      </c>
      <c r="B173" s="8" t="s">
        <v>851</v>
      </c>
      <c r="C173" s="8" t="s">
        <v>852</v>
      </c>
      <c r="D173" s="8" t="s">
        <v>853</v>
      </c>
      <c r="E173" s="8" t="s">
        <v>854</v>
      </c>
      <c r="F173" s="8" t="s">
        <v>855</v>
      </c>
    </row>
    <row r="174" customHeight="1" spans="1:6">
      <c r="A174" s="6">
        <v>173</v>
      </c>
      <c r="B174" s="8" t="s">
        <v>851</v>
      </c>
      <c r="C174" s="8" t="s">
        <v>852</v>
      </c>
      <c r="D174" s="8" t="s">
        <v>853</v>
      </c>
      <c r="E174" s="8" t="s">
        <v>854</v>
      </c>
      <c r="F174" s="8" t="s">
        <v>855</v>
      </c>
    </row>
    <row r="175" customHeight="1" spans="1:6">
      <c r="A175" s="6">
        <v>174</v>
      </c>
      <c r="B175" s="8" t="s">
        <v>856</v>
      </c>
      <c r="C175" s="8" t="s">
        <v>857</v>
      </c>
      <c r="D175" s="8" t="s">
        <v>858</v>
      </c>
      <c r="E175" s="8" t="s">
        <v>33</v>
      </c>
      <c r="F175" s="8" t="s">
        <v>859</v>
      </c>
    </row>
    <row r="176" customHeight="1" spans="1:6">
      <c r="A176" s="6">
        <v>175</v>
      </c>
      <c r="B176" s="8" t="s">
        <v>856</v>
      </c>
      <c r="C176" s="8" t="s">
        <v>857</v>
      </c>
      <c r="D176" s="8" t="s">
        <v>858</v>
      </c>
      <c r="E176" s="8" t="s">
        <v>33</v>
      </c>
      <c r="F176" s="8" t="s">
        <v>859</v>
      </c>
    </row>
    <row r="177" customHeight="1" spans="1:6">
      <c r="A177" s="6">
        <v>176</v>
      </c>
      <c r="B177" s="8" t="s">
        <v>860</v>
      </c>
      <c r="C177" s="8" t="s">
        <v>861</v>
      </c>
      <c r="D177" s="8" t="s">
        <v>862</v>
      </c>
      <c r="E177" s="8" t="s">
        <v>28</v>
      </c>
      <c r="F177" s="8" t="s">
        <v>863</v>
      </c>
    </row>
    <row r="178" customHeight="1" spans="1:6">
      <c r="A178" s="6">
        <v>177</v>
      </c>
      <c r="B178" s="8" t="s">
        <v>860</v>
      </c>
      <c r="C178" s="8" t="s">
        <v>861</v>
      </c>
      <c r="D178" s="8" t="s">
        <v>862</v>
      </c>
      <c r="E178" s="8" t="s">
        <v>28</v>
      </c>
      <c r="F178" s="8" t="s">
        <v>863</v>
      </c>
    </row>
    <row r="179" customHeight="1" spans="1:6">
      <c r="A179" s="6">
        <v>178</v>
      </c>
      <c r="B179" s="8" t="s">
        <v>864</v>
      </c>
      <c r="C179" s="8" t="s">
        <v>865</v>
      </c>
      <c r="D179" s="8" t="s">
        <v>866</v>
      </c>
      <c r="E179" s="8" t="s">
        <v>634</v>
      </c>
      <c r="F179" s="8" t="s">
        <v>867</v>
      </c>
    </row>
    <row r="180" customHeight="1" spans="1:6">
      <c r="A180" s="6">
        <v>179</v>
      </c>
      <c r="B180" s="8" t="s">
        <v>864</v>
      </c>
      <c r="C180" s="8" t="s">
        <v>865</v>
      </c>
      <c r="D180" s="8" t="s">
        <v>866</v>
      </c>
      <c r="E180" s="8" t="s">
        <v>634</v>
      </c>
      <c r="F180" s="8" t="s">
        <v>867</v>
      </c>
    </row>
    <row r="181" customHeight="1" spans="1:6">
      <c r="A181" s="6">
        <v>180</v>
      </c>
      <c r="B181" s="8" t="s">
        <v>868</v>
      </c>
      <c r="C181" s="8" t="s">
        <v>869</v>
      </c>
      <c r="D181" s="8" t="s">
        <v>870</v>
      </c>
      <c r="E181" s="8" t="s">
        <v>762</v>
      </c>
      <c r="F181" s="8" t="s">
        <v>871</v>
      </c>
    </row>
    <row r="182" customHeight="1" spans="1:6">
      <c r="A182" s="6">
        <v>181</v>
      </c>
      <c r="B182" s="8" t="s">
        <v>868</v>
      </c>
      <c r="C182" s="8" t="s">
        <v>869</v>
      </c>
      <c r="D182" s="8" t="s">
        <v>870</v>
      </c>
      <c r="E182" s="8" t="s">
        <v>762</v>
      </c>
      <c r="F182" s="8" t="s">
        <v>871</v>
      </c>
    </row>
    <row r="183" customHeight="1" spans="1:6">
      <c r="A183" s="6">
        <v>182</v>
      </c>
      <c r="B183" s="8" t="s">
        <v>872</v>
      </c>
      <c r="C183" s="8" t="s">
        <v>873</v>
      </c>
      <c r="D183" s="8" t="s">
        <v>874</v>
      </c>
      <c r="E183" s="8" t="s">
        <v>762</v>
      </c>
      <c r="F183" s="8" t="s">
        <v>875</v>
      </c>
    </row>
    <row r="184" customHeight="1" spans="1:6">
      <c r="A184" s="6">
        <v>183</v>
      </c>
      <c r="B184" s="8" t="s">
        <v>872</v>
      </c>
      <c r="C184" s="8" t="s">
        <v>873</v>
      </c>
      <c r="D184" s="8" t="s">
        <v>874</v>
      </c>
      <c r="E184" s="8" t="s">
        <v>762</v>
      </c>
      <c r="F184" s="8" t="s">
        <v>875</v>
      </c>
    </row>
    <row r="185" customHeight="1" spans="1:6">
      <c r="A185" s="6">
        <v>184</v>
      </c>
      <c r="B185" s="8" t="s">
        <v>872</v>
      </c>
      <c r="C185" s="8" t="s">
        <v>876</v>
      </c>
      <c r="D185" s="8" t="s">
        <v>874</v>
      </c>
      <c r="E185" s="8" t="s">
        <v>762</v>
      </c>
      <c r="F185" s="8" t="s">
        <v>877</v>
      </c>
    </row>
    <row r="186" customHeight="1" spans="1:6">
      <c r="A186" s="6">
        <v>185</v>
      </c>
      <c r="B186" s="8" t="s">
        <v>872</v>
      </c>
      <c r="C186" s="8" t="s">
        <v>876</v>
      </c>
      <c r="D186" s="8" t="s">
        <v>874</v>
      </c>
      <c r="E186" s="8" t="s">
        <v>762</v>
      </c>
      <c r="F186" s="8" t="s">
        <v>877</v>
      </c>
    </row>
    <row r="187" customHeight="1" spans="1:6">
      <c r="A187" s="6">
        <v>186</v>
      </c>
      <c r="B187" s="8" t="s">
        <v>878</v>
      </c>
      <c r="C187" s="8" t="s">
        <v>879</v>
      </c>
      <c r="D187" s="8" t="s">
        <v>880</v>
      </c>
      <c r="E187" s="8" t="s">
        <v>881</v>
      </c>
      <c r="F187" s="8" t="s">
        <v>882</v>
      </c>
    </row>
    <row r="188" customHeight="1" spans="1:6">
      <c r="A188" s="6">
        <v>187</v>
      </c>
      <c r="B188" s="8" t="s">
        <v>878</v>
      </c>
      <c r="C188" s="8" t="s">
        <v>879</v>
      </c>
      <c r="D188" s="8" t="s">
        <v>880</v>
      </c>
      <c r="E188" s="8" t="s">
        <v>881</v>
      </c>
      <c r="F188" s="8" t="s">
        <v>882</v>
      </c>
    </row>
    <row r="189" customHeight="1" spans="1:6">
      <c r="A189" s="6">
        <v>188</v>
      </c>
      <c r="B189" s="8" t="s">
        <v>883</v>
      </c>
      <c r="C189" s="8" t="s">
        <v>884</v>
      </c>
      <c r="D189" s="8" t="s">
        <v>885</v>
      </c>
      <c r="E189" s="8" t="s">
        <v>701</v>
      </c>
      <c r="F189" s="8" t="s">
        <v>886</v>
      </c>
    </row>
    <row r="190" customHeight="1" spans="1:6">
      <c r="A190" s="6">
        <v>189</v>
      </c>
      <c r="B190" s="8" t="s">
        <v>883</v>
      </c>
      <c r="C190" s="8" t="s">
        <v>884</v>
      </c>
      <c r="D190" s="8" t="s">
        <v>885</v>
      </c>
      <c r="E190" s="8" t="s">
        <v>701</v>
      </c>
      <c r="F190" s="8" t="s">
        <v>886</v>
      </c>
    </row>
    <row r="191" customHeight="1" spans="1:6">
      <c r="A191" s="6">
        <v>190</v>
      </c>
      <c r="B191" s="8" t="s">
        <v>887</v>
      </c>
      <c r="C191" s="8" t="s">
        <v>888</v>
      </c>
      <c r="D191" s="8" t="s">
        <v>889</v>
      </c>
      <c r="E191" s="8" t="s">
        <v>890</v>
      </c>
      <c r="F191" s="8" t="s">
        <v>891</v>
      </c>
    </row>
    <row r="192" customHeight="1" spans="1:6">
      <c r="A192" s="6">
        <v>191</v>
      </c>
      <c r="B192" s="8" t="s">
        <v>887</v>
      </c>
      <c r="C192" s="8" t="s">
        <v>888</v>
      </c>
      <c r="D192" s="8" t="s">
        <v>889</v>
      </c>
      <c r="E192" s="8" t="s">
        <v>890</v>
      </c>
      <c r="F192" s="8" t="s">
        <v>891</v>
      </c>
    </row>
    <row r="193" customHeight="1" spans="1:6">
      <c r="A193" s="6">
        <v>192</v>
      </c>
      <c r="B193" s="8" t="s">
        <v>892</v>
      </c>
      <c r="C193" s="8" t="s">
        <v>893</v>
      </c>
      <c r="D193" s="8" t="s">
        <v>894</v>
      </c>
      <c r="E193" s="8" t="s">
        <v>402</v>
      </c>
      <c r="F193" s="8" t="s">
        <v>895</v>
      </c>
    </row>
    <row r="194" customHeight="1" spans="1:6">
      <c r="A194" s="6">
        <v>193</v>
      </c>
      <c r="B194" s="8" t="s">
        <v>892</v>
      </c>
      <c r="C194" s="8" t="s">
        <v>893</v>
      </c>
      <c r="D194" s="8" t="s">
        <v>894</v>
      </c>
      <c r="E194" s="8" t="s">
        <v>402</v>
      </c>
      <c r="F194" s="8" t="s">
        <v>895</v>
      </c>
    </row>
    <row r="195" customHeight="1" spans="1:6">
      <c r="A195" s="6">
        <v>194</v>
      </c>
      <c r="B195" s="8" t="s">
        <v>896</v>
      </c>
      <c r="C195" s="8" t="s">
        <v>897</v>
      </c>
      <c r="D195" s="8" t="s">
        <v>898</v>
      </c>
      <c r="E195" s="8" t="s">
        <v>899</v>
      </c>
      <c r="F195" s="8" t="s">
        <v>900</v>
      </c>
    </row>
    <row r="196" customHeight="1" spans="1:6">
      <c r="A196" s="6">
        <v>195</v>
      </c>
      <c r="B196" s="8" t="s">
        <v>896</v>
      </c>
      <c r="C196" s="8" t="s">
        <v>897</v>
      </c>
      <c r="D196" s="8" t="s">
        <v>898</v>
      </c>
      <c r="E196" s="8" t="s">
        <v>899</v>
      </c>
      <c r="F196" s="8" t="s">
        <v>900</v>
      </c>
    </row>
    <row r="197" customHeight="1" spans="1:6">
      <c r="A197" s="6">
        <v>196</v>
      </c>
      <c r="B197" s="8" t="s">
        <v>901</v>
      </c>
      <c r="C197" s="8" t="s">
        <v>902</v>
      </c>
      <c r="D197" s="8" t="s">
        <v>903</v>
      </c>
      <c r="E197" s="8" t="s">
        <v>43</v>
      </c>
      <c r="F197" s="8" t="s">
        <v>904</v>
      </c>
    </row>
    <row r="198" customHeight="1" spans="1:6">
      <c r="A198" s="6">
        <v>197</v>
      </c>
      <c r="B198" s="8" t="s">
        <v>901</v>
      </c>
      <c r="C198" s="8" t="s">
        <v>902</v>
      </c>
      <c r="D198" s="8" t="s">
        <v>903</v>
      </c>
      <c r="E198" s="8" t="s">
        <v>43</v>
      </c>
      <c r="F198" s="8" t="s">
        <v>904</v>
      </c>
    </row>
    <row r="199" customHeight="1" spans="1:6">
      <c r="A199" s="6">
        <v>198</v>
      </c>
      <c r="B199" s="8" t="s">
        <v>905</v>
      </c>
      <c r="C199" s="8" t="s">
        <v>906</v>
      </c>
      <c r="D199" s="8" t="s">
        <v>907</v>
      </c>
      <c r="E199" s="8" t="s">
        <v>43</v>
      </c>
      <c r="F199" s="8" t="s">
        <v>908</v>
      </c>
    </row>
    <row r="200" customHeight="1" spans="1:6">
      <c r="A200" s="6">
        <v>199</v>
      </c>
      <c r="B200" s="8" t="s">
        <v>905</v>
      </c>
      <c r="C200" s="8" t="s">
        <v>906</v>
      </c>
      <c r="D200" s="8" t="s">
        <v>907</v>
      </c>
      <c r="E200" s="8" t="s">
        <v>43</v>
      </c>
      <c r="F200" s="8" t="s">
        <v>908</v>
      </c>
    </row>
    <row r="201" customHeight="1" spans="1:6">
      <c r="A201" s="6">
        <v>200</v>
      </c>
      <c r="B201" s="8" t="s">
        <v>909</v>
      </c>
      <c r="C201" s="8" t="s">
        <v>910</v>
      </c>
      <c r="D201" s="8" t="s">
        <v>911</v>
      </c>
      <c r="E201" s="8" t="s">
        <v>23</v>
      </c>
      <c r="F201" s="8" t="s">
        <v>912</v>
      </c>
    </row>
    <row r="202" customHeight="1" spans="1:6">
      <c r="A202" s="6">
        <v>201</v>
      </c>
      <c r="B202" s="8" t="s">
        <v>909</v>
      </c>
      <c r="C202" s="8" t="s">
        <v>910</v>
      </c>
      <c r="D202" s="8" t="s">
        <v>911</v>
      </c>
      <c r="E202" s="8" t="s">
        <v>23</v>
      </c>
      <c r="F202" s="8" t="s">
        <v>912</v>
      </c>
    </row>
    <row r="203" customHeight="1" spans="1:6">
      <c r="A203" s="6">
        <v>202</v>
      </c>
      <c r="B203" s="7" t="str">
        <f t="shared" ref="B203:B205" si="25">"978-7-01-022792-4"</f>
        <v>978-7-01-022792-4</v>
      </c>
      <c r="C203" s="7" t="str">
        <f t="shared" ref="C203:C205" si="26">"砥柱中流：中国共产党与中华民族伟大复兴"</f>
        <v>砥柱中流：中国共产党与中华民族伟大复兴</v>
      </c>
      <c r="D203" s="7" t="str">
        <f t="shared" ref="D203:D205" si="27">"冯海波， 张梧著"</f>
        <v>冯海波， 张梧著</v>
      </c>
      <c r="E203" s="7" t="str">
        <f t="shared" ref="E203:E205" si="28">"人民出版社"</f>
        <v>人民出版社</v>
      </c>
      <c r="F203" s="7" t="str">
        <f t="shared" ref="F203:F205" si="29">"D25/91"</f>
        <v>D25/91</v>
      </c>
    </row>
    <row r="204" customHeight="1" spans="1:6">
      <c r="A204" s="6">
        <v>203</v>
      </c>
      <c r="B204" s="7" t="str">
        <f t="shared" si="25"/>
        <v>978-7-01-022792-4</v>
      </c>
      <c r="C204" s="7" t="str">
        <f t="shared" si="26"/>
        <v>砥柱中流：中国共产党与中华民族伟大复兴</v>
      </c>
      <c r="D204" s="7" t="str">
        <f t="shared" si="27"/>
        <v>冯海波， 张梧著</v>
      </c>
      <c r="E204" s="7" t="str">
        <f t="shared" si="28"/>
        <v>人民出版社</v>
      </c>
      <c r="F204" s="7" t="str">
        <f t="shared" si="29"/>
        <v>D25/91</v>
      </c>
    </row>
    <row r="205" customHeight="1" spans="1:6">
      <c r="A205" s="6">
        <v>204</v>
      </c>
      <c r="B205" s="7" t="str">
        <f t="shared" si="25"/>
        <v>978-7-01-022792-4</v>
      </c>
      <c r="C205" s="7" t="str">
        <f t="shared" si="26"/>
        <v>砥柱中流：中国共产党与中华民族伟大复兴</v>
      </c>
      <c r="D205" s="7" t="str">
        <f t="shared" si="27"/>
        <v>冯海波， 张梧著</v>
      </c>
      <c r="E205" s="7" t="str">
        <f t="shared" si="28"/>
        <v>人民出版社</v>
      </c>
      <c r="F205" s="7" t="str">
        <f t="shared" si="29"/>
        <v>D25/91</v>
      </c>
    </row>
    <row r="206" customHeight="1" spans="1:6">
      <c r="A206" s="6">
        <v>205</v>
      </c>
      <c r="B206" s="8" t="s">
        <v>913</v>
      </c>
      <c r="C206" s="8" t="s">
        <v>914</v>
      </c>
      <c r="D206" s="8" t="s">
        <v>915</v>
      </c>
      <c r="E206" s="8" t="s">
        <v>916</v>
      </c>
      <c r="F206" s="8" t="s">
        <v>917</v>
      </c>
    </row>
    <row r="207" customHeight="1" spans="1:6">
      <c r="A207" s="6">
        <v>206</v>
      </c>
      <c r="B207" s="8" t="s">
        <v>913</v>
      </c>
      <c r="C207" s="8" t="s">
        <v>914</v>
      </c>
      <c r="D207" s="8" t="s">
        <v>915</v>
      </c>
      <c r="E207" s="8" t="s">
        <v>916</v>
      </c>
      <c r="F207" s="8" t="s">
        <v>917</v>
      </c>
    </row>
    <row r="208" customHeight="1" spans="1:6">
      <c r="A208" s="6">
        <v>207</v>
      </c>
      <c r="B208" s="8" t="s">
        <v>918</v>
      </c>
      <c r="C208" s="8" t="s">
        <v>919</v>
      </c>
      <c r="D208" s="8" t="s">
        <v>920</v>
      </c>
      <c r="E208" s="8" t="s">
        <v>43</v>
      </c>
      <c r="F208" s="8" t="s">
        <v>921</v>
      </c>
    </row>
    <row r="209" customHeight="1" spans="1:6">
      <c r="A209" s="6">
        <v>208</v>
      </c>
      <c r="B209" s="8" t="s">
        <v>918</v>
      </c>
      <c r="C209" s="8" t="s">
        <v>919</v>
      </c>
      <c r="D209" s="8" t="s">
        <v>920</v>
      </c>
      <c r="E209" s="8" t="s">
        <v>43</v>
      </c>
      <c r="F209" s="8" t="s">
        <v>921</v>
      </c>
    </row>
    <row r="210" customHeight="1" spans="1:6">
      <c r="A210" s="6">
        <v>209</v>
      </c>
      <c r="B210" s="8" t="s">
        <v>922</v>
      </c>
      <c r="C210" s="8" t="s">
        <v>923</v>
      </c>
      <c r="D210" s="8" t="s">
        <v>924</v>
      </c>
      <c r="E210" s="8" t="s">
        <v>762</v>
      </c>
      <c r="F210" s="8" t="s">
        <v>925</v>
      </c>
    </row>
    <row r="211" customHeight="1" spans="1:6">
      <c r="A211" s="6">
        <v>210</v>
      </c>
      <c r="B211" s="8" t="s">
        <v>922</v>
      </c>
      <c r="C211" s="8" t="s">
        <v>923</v>
      </c>
      <c r="D211" s="8" t="s">
        <v>924</v>
      </c>
      <c r="E211" s="8" t="s">
        <v>762</v>
      </c>
      <c r="F211" s="8" t="s">
        <v>925</v>
      </c>
    </row>
    <row r="212" customHeight="1" spans="1:6">
      <c r="A212" s="6">
        <v>211</v>
      </c>
      <c r="B212" s="8" t="s">
        <v>926</v>
      </c>
      <c r="C212" s="8" t="s">
        <v>927</v>
      </c>
      <c r="D212" s="8" t="s">
        <v>928</v>
      </c>
      <c r="E212" s="8" t="s">
        <v>43</v>
      </c>
      <c r="F212" s="8" t="s">
        <v>929</v>
      </c>
    </row>
    <row r="213" customHeight="1" spans="1:6">
      <c r="A213" s="6">
        <v>212</v>
      </c>
      <c r="B213" s="8" t="s">
        <v>926</v>
      </c>
      <c r="C213" s="8" t="s">
        <v>927</v>
      </c>
      <c r="D213" s="8" t="s">
        <v>928</v>
      </c>
      <c r="E213" s="8" t="s">
        <v>43</v>
      </c>
      <c r="F213" s="8" t="s">
        <v>929</v>
      </c>
    </row>
    <row r="214" customHeight="1" spans="1:6">
      <c r="A214" s="6">
        <v>213</v>
      </c>
      <c r="B214" s="8" t="s">
        <v>930</v>
      </c>
      <c r="C214" s="8" t="s">
        <v>931</v>
      </c>
      <c r="D214" s="8" t="s">
        <v>932</v>
      </c>
      <c r="E214" s="8" t="s">
        <v>933</v>
      </c>
      <c r="F214" s="8" t="s">
        <v>934</v>
      </c>
    </row>
    <row r="215" customHeight="1" spans="1:6">
      <c r="A215" s="6">
        <v>214</v>
      </c>
      <c r="B215" s="8" t="s">
        <v>930</v>
      </c>
      <c r="C215" s="8" t="s">
        <v>931</v>
      </c>
      <c r="D215" s="8" t="s">
        <v>932</v>
      </c>
      <c r="E215" s="8" t="s">
        <v>933</v>
      </c>
      <c r="F215" s="8" t="s">
        <v>934</v>
      </c>
    </row>
    <row r="216" customHeight="1" spans="1:6">
      <c r="A216" s="6">
        <v>215</v>
      </c>
      <c r="B216" s="8" t="s">
        <v>935</v>
      </c>
      <c r="C216" s="8" t="s">
        <v>936</v>
      </c>
      <c r="D216" s="8" t="s">
        <v>937</v>
      </c>
      <c r="E216" s="8" t="s">
        <v>749</v>
      </c>
      <c r="F216" s="8" t="s">
        <v>938</v>
      </c>
    </row>
    <row r="217" customHeight="1" spans="1:6">
      <c r="A217" s="6">
        <v>216</v>
      </c>
      <c r="B217" s="8" t="s">
        <v>935</v>
      </c>
      <c r="C217" s="8" t="s">
        <v>936</v>
      </c>
      <c r="D217" s="8" t="s">
        <v>937</v>
      </c>
      <c r="E217" s="8" t="s">
        <v>749</v>
      </c>
      <c r="F217" s="8" t="s">
        <v>938</v>
      </c>
    </row>
    <row r="218" customHeight="1" spans="1:6">
      <c r="A218" s="6">
        <v>217</v>
      </c>
      <c r="B218" s="7" t="str">
        <f>"978-7-5098-3802-0"</f>
        <v>978-7-5098-3802-0</v>
      </c>
      <c r="C218" s="7" t="str">
        <f>"红船精神"</f>
        <v>红船精神</v>
      </c>
      <c r="D218" s="7" t="str">
        <f>"吕延勤， 赵金飞主编"</f>
        <v>吕延勤， 赵金飞主编</v>
      </c>
      <c r="E218" s="7" t="str">
        <f>"中共党史出版社"</f>
        <v>中共党史出版社</v>
      </c>
      <c r="F218" s="7" t="str">
        <f>"D26/279"</f>
        <v>D26/279</v>
      </c>
    </row>
    <row r="219" customHeight="1" spans="1:6">
      <c r="A219" s="6">
        <v>218</v>
      </c>
      <c r="B219" s="7" t="str">
        <f>"978-7-5098-3802-0"</f>
        <v>978-7-5098-3802-0</v>
      </c>
      <c r="C219" s="7" t="str">
        <f>"红船精神"</f>
        <v>红船精神</v>
      </c>
      <c r="D219" s="7" t="str">
        <f>"吕延勤， 赵金飞主编"</f>
        <v>吕延勤， 赵金飞主编</v>
      </c>
      <c r="E219" s="7" t="str">
        <f>"中共党史出版社"</f>
        <v>中共党史出版社</v>
      </c>
      <c r="F219" s="7" t="str">
        <f>"D26/279"</f>
        <v>D26/279</v>
      </c>
    </row>
    <row r="220" customHeight="1" spans="1:6">
      <c r="A220" s="6">
        <v>219</v>
      </c>
      <c r="B220" s="8" t="s">
        <v>939</v>
      </c>
      <c r="C220" s="8" t="s">
        <v>940</v>
      </c>
      <c r="D220" s="8" t="s">
        <v>941</v>
      </c>
      <c r="E220" s="8" t="s">
        <v>58</v>
      </c>
      <c r="F220" s="8" t="s">
        <v>942</v>
      </c>
    </row>
    <row r="221" customHeight="1" spans="1:6">
      <c r="A221" s="6">
        <v>220</v>
      </c>
      <c r="B221" s="8" t="s">
        <v>939</v>
      </c>
      <c r="C221" s="8" t="s">
        <v>940</v>
      </c>
      <c r="D221" s="8" t="s">
        <v>941</v>
      </c>
      <c r="E221" s="8" t="s">
        <v>58</v>
      </c>
      <c r="F221" s="8" t="s">
        <v>942</v>
      </c>
    </row>
    <row r="222" customHeight="1" spans="1:6">
      <c r="A222" s="6">
        <v>221</v>
      </c>
      <c r="B222" s="8" t="s">
        <v>943</v>
      </c>
      <c r="C222" s="8" t="s">
        <v>944</v>
      </c>
      <c r="D222" s="8" t="s">
        <v>945</v>
      </c>
      <c r="E222" s="8" t="s">
        <v>762</v>
      </c>
      <c r="F222" s="8" t="s">
        <v>946</v>
      </c>
    </row>
    <row r="223" customHeight="1" spans="1:6">
      <c r="A223" s="6">
        <v>222</v>
      </c>
      <c r="B223" s="8" t="s">
        <v>943</v>
      </c>
      <c r="C223" s="8" t="s">
        <v>944</v>
      </c>
      <c r="D223" s="8" t="s">
        <v>945</v>
      </c>
      <c r="E223" s="8" t="s">
        <v>762</v>
      </c>
      <c r="F223" s="8" t="s">
        <v>946</v>
      </c>
    </row>
    <row r="224" customHeight="1" spans="1:6">
      <c r="A224" s="6">
        <v>223</v>
      </c>
      <c r="B224" s="8" t="s">
        <v>947</v>
      </c>
      <c r="C224" s="8" t="s">
        <v>948</v>
      </c>
      <c r="D224" s="8" t="s">
        <v>949</v>
      </c>
      <c r="E224" s="8" t="s">
        <v>881</v>
      </c>
      <c r="F224" s="8" t="s">
        <v>950</v>
      </c>
    </row>
    <row r="225" customHeight="1" spans="1:6">
      <c r="A225" s="6">
        <v>224</v>
      </c>
      <c r="B225" s="8" t="s">
        <v>947</v>
      </c>
      <c r="C225" s="8" t="s">
        <v>948</v>
      </c>
      <c r="D225" s="8" t="s">
        <v>949</v>
      </c>
      <c r="E225" s="8" t="s">
        <v>881</v>
      </c>
      <c r="F225" s="8" t="s">
        <v>950</v>
      </c>
    </row>
    <row r="226" customHeight="1" spans="1:6">
      <c r="A226" s="6">
        <v>225</v>
      </c>
      <c r="B226" s="8" t="s">
        <v>951</v>
      </c>
      <c r="C226" s="8" t="s">
        <v>952</v>
      </c>
      <c r="D226" s="8" t="s">
        <v>953</v>
      </c>
      <c r="E226" s="8" t="s">
        <v>43</v>
      </c>
      <c r="F226" s="8" t="s">
        <v>954</v>
      </c>
    </row>
    <row r="227" customHeight="1" spans="1:6">
      <c r="A227" s="6">
        <v>226</v>
      </c>
      <c r="B227" s="8" t="s">
        <v>951</v>
      </c>
      <c r="C227" s="8" t="s">
        <v>952</v>
      </c>
      <c r="D227" s="8" t="s">
        <v>953</v>
      </c>
      <c r="E227" s="8" t="s">
        <v>43</v>
      </c>
      <c r="F227" s="8" t="s">
        <v>954</v>
      </c>
    </row>
    <row r="228" customHeight="1" spans="1:6">
      <c r="A228" s="6">
        <v>227</v>
      </c>
      <c r="B228" s="8" t="s">
        <v>955</v>
      </c>
      <c r="C228" s="8" t="s">
        <v>956</v>
      </c>
      <c r="D228" s="8" t="s">
        <v>766</v>
      </c>
      <c r="E228" s="8" t="s">
        <v>43</v>
      </c>
      <c r="F228" s="8" t="s">
        <v>957</v>
      </c>
    </row>
    <row r="229" customHeight="1" spans="1:6">
      <c r="A229" s="6">
        <v>228</v>
      </c>
      <c r="B229" s="8" t="s">
        <v>955</v>
      </c>
      <c r="C229" s="8" t="s">
        <v>956</v>
      </c>
      <c r="D229" s="8" t="s">
        <v>766</v>
      </c>
      <c r="E229" s="8" t="s">
        <v>43</v>
      </c>
      <c r="F229" s="8" t="s">
        <v>957</v>
      </c>
    </row>
    <row r="230" customHeight="1" spans="1:6">
      <c r="A230" s="6">
        <v>229</v>
      </c>
      <c r="B230" s="8" t="s">
        <v>958</v>
      </c>
      <c r="C230" s="8" t="s">
        <v>959</v>
      </c>
      <c r="D230" s="8" t="s">
        <v>960</v>
      </c>
      <c r="E230" s="8" t="s">
        <v>28</v>
      </c>
      <c r="F230" s="8" t="s">
        <v>961</v>
      </c>
    </row>
    <row r="231" customHeight="1" spans="1:6">
      <c r="A231" s="6">
        <v>230</v>
      </c>
      <c r="B231" s="8" t="s">
        <v>958</v>
      </c>
      <c r="C231" s="8" t="s">
        <v>959</v>
      </c>
      <c r="D231" s="8" t="s">
        <v>960</v>
      </c>
      <c r="E231" s="8" t="s">
        <v>28</v>
      </c>
      <c r="F231" s="8" t="s">
        <v>961</v>
      </c>
    </row>
    <row r="232" customHeight="1" spans="1:6">
      <c r="A232" s="6">
        <v>231</v>
      </c>
      <c r="B232" s="8" t="s">
        <v>962</v>
      </c>
      <c r="C232" s="8" t="s">
        <v>963</v>
      </c>
      <c r="D232" s="8" t="s">
        <v>964</v>
      </c>
      <c r="E232" s="8" t="s">
        <v>810</v>
      </c>
      <c r="F232" s="8" t="s">
        <v>965</v>
      </c>
    </row>
    <row r="233" customHeight="1" spans="1:6">
      <c r="A233" s="6">
        <v>232</v>
      </c>
      <c r="B233" s="8" t="s">
        <v>962</v>
      </c>
      <c r="C233" s="8" t="s">
        <v>963</v>
      </c>
      <c r="D233" s="8" t="s">
        <v>964</v>
      </c>
      <c r="E233" s="8" t="s">
        <v>810</v>
      </c>
      <c r="F233" s="8" t="s">
        <v>965</v>
      </c>
    </row>
    <row r="234" customHeight="1" spans="1:6">
      <c r="A234" s="6">
        <v>233</v>
      </c>
      <c r="B234" s="8" t="s">
        <v>966</v>
      </c>
      <c r="C234" s="8" t="s">
        <v>967</v>
      </c>
      <c r="D234" s="8" t="s">
        <v>968</v>
      </c>
      <c r="E234" s="8" t="s">
        <v>58</v>
      </c>
      <c r="F234" s="8" t="s">
        <v>969</v>
      </c>
    </row>
    <row r="235" customHeight="1" spans="1:6">
      <c r="A235" s="6">
        <v>234</v>
      </c>
      <c r="B235" s="8" t="s">
        <v>966</v>
      </c>
      <c r="C235" s="8" t="s">
        <v>967</v>
      </c>
      <c r="D235" s="8" t="s">
        <v>968</v>
      </c>
      <c r="E235" s="8" t="s">
        <v>58</v>
      </c>
      <c r="F235" s="8" t="s">
        <v>969</v>
      </c>
    </row>
    <row r="236" customHeight="1" spans="1:6">
      <c r="A236" s="6">
        <v>235</v>
      </c>
      <c r="B236" s="8" t="s">
        <v>970</v>
      </c>
      <c r="C236" s="8" t="s">
        <v>971</v>
      </c>
      <c r="D236" s="8" t="s">
        <v>972</v>
      </c>
      <c r="E236" s="8" t="s">
        <v>58</v>
      </c>
      <c r="F236" s="8" t="s">
        <v>973</v>
      </c>
    </row>
    <row r="237" customHeight="1" spans="1:6">
      <c r="A237" s="6">
        <v>236</v>
      </c>
      <c r="B237" s="8" t="s">
        <v>970</v>
      </c>
      <c r="C237" s="8" t="s">
        <v>971</v>
      </c>
      <c r="D237" s="8" t="s">
        <v>972</v>
      </c>
      <c r="E237" s="8" t="s">
        <v>58</v>
      </c>
      <c r="F237" s="8" t="s">
        <v>973</v>
      </c>
    </row>
    <row r="238" customHeight="1" spans="1:6">
      <c r="A238" s="6">
        <v>237</v>
      </c>
      <c r="B238" s="8" t="s">
        <v>974</v>
      </c>
      <c r="C238" s="8" t="s">
        <v>975</v>
      </c>
      <c r="D238" s="8" t="s">
        <v>976</v>
      </c>
      <c r="E238" s="8" t="s">
        <v>415</v>
      </c>
      <c r="F238" s="8" t="s">
        <v>977</v>
      </c>
    </row>
    <row r="239" customHeight="1" spans="1:6">
      <c r="A239" s="6">
        <v>238</v>
      </c>
      <c r="B239" s="8" t="s">
        <v>974</v>
      </c>
      <c r="C239" s="8" t="s">
        <v>975</v>
      </c>
      <c r="D239" s="8" t="s">
        <v>976</v>
      </c>
      <c r="E239" s="8" t="s">
        <v>415</v>
      </c>
      <c r="F239" s="8" t="s">
        <v>977</v>
      </c>
    </row>
    <row r="240" customHeight="1" spans="1:6">
      <c r="A240" s="6">
        <v>239</v>
      </c>
      <c r="B240" s="8" t="s">
        <v>978</v>
      </c>
      <c r="C240" s="8" t="s">
        <v>979</v>
      </c>
      <c r="D240" s="8" t="s">
        <v>980</v>
      </c>
      <c r="E240" s="8" t="s">
        <v>58</v>
      </c>
      <c r="F240" s="8" t="s">
        <v>981</v>
      </c>
    </row>
    <row r="241" customHeight="1" spans="1:6">
      <c r="A241" s="6">
        <v>240</v>
      </c>
      <c r="B241" s="8" t="s">
        <v>978</v>
      </c>
      <c r="C241" s="8" t="s">
        <v>979</v>
      </c>
      <c r="D241" s="8" t="s">
        <v>980</v>
      </c>
      <c r="E241" s="8" t="s">
        <v>58</v>
      </c>
      <c r="F241" s="8" t="s">
        <v>981</v>
      </c>
    </row>
    <row r="242" customHeight="1" spans="1:6">
      <c r="A242" s="6">
        <v>241</v>
      </c>
      <c r="B242" s="7" t="str">
        <f>"978-7-5098-3803-7"</f>
        <v>978-7-5098-3803-7</v>
      </c>
      <c r="C242" s="7" t="str">
        <f>"苏区精神"</f>
        <v>苏区精神</v>
      </c>
      <c r="D242" s="7" t="str">
        <f>"邱小云主编"</f>
        <v>邱小云主编</v>
      </c>
      <c r="E242" s="7" t="str">
        <f>"中共党史出版社"</f>
        <v>中共党史出版社</v>
      </c>
      <c r="F242" s="7" t="str">
        <f>"D261.3/109"</f>
        <v>D261.3/109</v>
      </c>
    </row>
    <row r="243" customHeight="1" spans="1:6">
      <c r="A243" s="6">
        <v>242</v>
      </c>
      <c r="B243" s="7" t="str">
        <f>"978-7-5098-3803-7"</f>
        <v>978-7-5098-3803-7</v>
      </c>
      <c r="C243" s="7" t="str">
        <f>"苏区精神"</f>
        <v>苏区精神</v>
      </c>
      <c r="D243" s="7" t="str">
        <f>"邱小云主编"</f>
        <v>邱小云主编</v>
      </c>
      <c r="E243" s="7" t="str">
        <f>"中共党史出版社"</f>
        <v>中共党史出版社</v>
      </c>
      <c r="F243" s="7" t="str">
        <f>"D261.3/109"</f>
        <v>D261.3/109</v>
      </c>
    </row>
    <row r="244" customHeight="1" spans="1:6">
      <c r="A244" s="6">
        <v>243</v>
      </c>
      <c r="B244" s="7" t="str">
        <f t="shared" ref="B244:B246" si="30">"978-7-5115-6528-0"</f>
        <v>978-7-5115-6528-0</v>
      </c>
      <c r="C244" s="7" t="str">
        <f t="shared" ref="C244:C246" si="31">"中国共产党廉政简史"</f>
        <v>中国共产党廉政简史</v>
      </c>
      <c r="D244" s="7" t="str">
        <f t="shared" ref="D244:D246" si="32">"赵晓强， 官蕊， 李倩著"</f>
        <v>赵晓强， 官蕊， 李倩著</v>
      </c>
      <c r="E244" s="7" t="str">
        <f t="shared" ref="E244:E246" si="33">"人民日报出版社"</f>
        <v>人民日报出版社</v>
      </c>
      <c r="F244" s="7" t="str">
        <f t="shared" ref="F244:F246" si="34">"D261.3/110"</f>
        <v>D261.3/110</v>
      </c>
    </row>
    <row r="245" customHeight="1" spans="1:6">
      <c r="A245" s="6">
        <v>244</v>
      </c>
      <c r="B245" s="7" t="str">
        <f t="shared" si="30"/>
        <v>978-7-5115-6528-0</v>
      </c>
      <c r="C245" s="7" t="str">
        <f t="shared" si="31"/>
        <v>中国共产党廉政简史</v>
      </c>
      <c r="D245" s="7" t="str">
        <f t="shared" si="32"/>
        <v>赵晓强， 官蕊， 李倩著</v>
      </c>
      <c r="E245" s="7" t="str">
        <f t="shared" si="33"/>
        <v>人民日报出版社</v>
      </c>
      <c r="F245" s="7" t="str">
        <f t="shared" si="34"/>
        <v>D261.3/110</v>
      </c>
    </row>
    <row r="246" customHeight="1" spans="1:6">
      <c r="A246" s="6">
        <v>245</v>
      </c>
      <c r="B246" s="7" t="str">
        <f t="shared" si="30"/>
        <v>978-7-5115-6528-0</v>
      </c>
      <c r="C246" s="7" t="str">
        <f t="shared" si="31"/>
        <v>中国共产党廉政简史</v>
      </c>
      <c r="D246" s="7" t="str">
        <f t="shared" si="32"/>
        <v>赵晓强， 官蕊， 李倩著</v>
      </c>
      <c r="E246" s="7" t="str">
        <f t="shared" si="33"/>
        <v>人民日报出版社</v>
      </c>
      <c r="F246" s="7" t="str">
        <f t="shared" si="34"/>
        <v>D261.3/110</v>
      </c>
    </row>
    <row r="247" customHeight="1" spans="1:6">
      <c r="A247" s="6">
        <v>246</v>
      </c>
      <c r="B247" s="7" t="str">
        <f>"978-7-5051-5103-1"</f>
        <v>978-7-5051-5103-1</v>
      </c>
      <c r="C247" s="7" t="str">
        <f>"力量：中国共产党的伟大精神"</f>
        <v>力量：中国共产党的伟大精神</v>
      </c>
      <c r="D247" s="7" t="str">
        <f>"张荣臣， 蒋成会主编"</f>
        <v>张荣臣， 蒋成会主编</v>
      </c>
      <c r="E247" s="7" t="str">
        <f>"红旗出版社"</f>
        <v>红旗出版社</v>
      </c>
      <c r="F247" s="7" t="str">
        <f>"D261.3/111"</f>
        <v>D261.3/111</v>
      </c>
    </row>
    <row r="248" customHeight="1" spans="1:6">
      <c r="A248" s="6">
        <v>247</v>
      </c>
      <c r="B248" s="7" t="str">
        <f>"978-7-5051-5103-1"</f>
        <v>978-7-5051-5103-1</v>
      </c>
      <c r="C248" s="7" t="str">
        <f>"力量：中国共产党的伟大精神"</f>
        <v>力量：中国共产党的伟大精神</v>
      </c>
      <c r="D248" s="7" t="str">
        <f>"张荣臣， 蒋成会主编"</f>
        <v>张荣臣， 蒋成会主编</v>
      </c>
      <c r="E248" s="7" t="str">
        <f>"红旗出版社"</f>
        <v>红旗出版社</v>
      </c>
      <c r="F248" s="7" t="str">
        <f>"D261.3/111"</f>
        <v>D261.3/111</v>
      </c>
    </row>
    <row r="249" customHeight="1" spans="1:6">
      <c r="A249" s="6">
        <v>248</v>
      </c>
      <c r="B249" s="8" t="s">
        <v>982</v>
      </c>
      <c r="C249" s="8" t="s">
        <v>983</v>
      </c>
      <c r="D249" s="8" t="s">
        <v>984</v>
      </c>
      <c r="E249" s="8" t="s">
        <v>985</v>
      </c>
      <c r="F249" s="8" t="s">
        <v>986</v>
      </c>
    </row>
    <row r="250" customHeight="1" spans="1:6">
      <c r="A250" s="6">
        <v>249</v>
      </c>
      <c r="B250" s="8" t="s">
        <v>982</v>
      </c>
      <c r="C250" s="8" t="s">
        <v>983</v>
      </c>
      <c r="D250" s="8" t="s">
        <v>984</v>
      </c>
      <c r="E250" s="8" t="s">
        <v>985</v>
      </c>
      <c r="F250" s="8" t="s">
        <v>986</v>
      </c>
    </row>
    <row r="251" customHeight="1" spans="1:6">
      <c r="A251" s="6">
        <v>250</v>
      </c>
      <c r="B251" s="8" t="s">
        <v>987</v>
      </c>
      <c r="C251" s="8" t="s">
        <v>988</v>
      </c>
      <c r="D251" s="8" t="s">
        <v>833</v>
      </c>
      <c r="E251" s="8" t="s">
        <v>58</v>
      </c>
      <c r="F251" s="8" t="s">
        <v>989</v>
      </c>
    </row>
    <row r="252" customHeight="1" spans="1:6">
      <c r="A252" s="6">
        <v>251</v>
      </c>
      <c r="B252" s="8" t="s">
        <v>987</v>
      </c>
      <c r="C252" s="8" t="s">
        <v>988</v>
      </c>
      <c r="D252" s="8" t="s">
        <v>833</v>
      </c>
      <c r="E252" s="8" t="s">
        <v>58</v>
      </c>
      <c r="F252" s="8" t="s">
        <v>989</v>
      </c>
    </row>
    <row r="253" customHeight="1" spans="1:6">
      <c r="A253" s="6">
        <v>252</v>
      </c>
      <c r="B253" s="8" t="s">
        <v>990</v>
      </c>
      <c r="C253" s="8" t="s">
        <v>991</v>
      </c>
      <c r="D253" s="8" t="s">
        <v>992</v>
      </c>
      <c r="E253" s="8" t="s">
        <v>28</v>
      </c>
      <c r="F253" s="8" t="s">
        <v>993</v>
      </c>
    </row>
    <row r="254" customHeight="1" spans="1:6">
      <c r="A254" s="6">
        <v>253</v>
      </c>
      <c r="B254" s="8" t="s">
        <v>990</v>
      </c>
      <c r="C254" s="8" t="s">
        <v>991</v>
      </c>
      <c r="D254" s="8" t="s">
        <v>992</v>
      </c>
      <c r="E254" s="8" t="s">
        <v>28</v>
      </c>
      <c r="F254" s="8" t="s">
        <v>993</v>
      </c>
    </row>
    <row r="255" customHeight="1" spans="1:6">
      <c r="A255" s="6">
        <v>254</v>
      </c>
      <c r="B255" s="8" t="s">
        <v>994</v>
      </c>
      <c r="C255" s="8" t="s">
        <v>995</v>
      </c>
      <c r="D255" s="8" t="s">
        <v>996</v>
      </c>
      <c r="E255" s="8" t="s">
        <v>28</v>
      </c>
      <c r="F255" s="8" t="s">
        <v>997</v>
      </c>
    </row>
    <row r="256" customHeight="1" spans="1:6">
      <c r="A256" s="6">
        <v>255</v>
      </c>
      <c r="B256" s="8" t="s">
        <v>994</v>
      </c>
      <c r="C256" s="8" t="s">
        <v>995</v>
      </c>
      <c r="D256" s="8" t="s">
        <v>996</v>
      </c>
      <c r="E256" s="8" t="s">
        <v>28</v>
      </c>
      <c r="F256" s="8" t="s">
        <v>997</v>
      </c>
    </row>
    <row r="257" customHeight="1" spans="1:6">
      <c r="A257" s="6">
        <v>256</v>
      </c>
      <c r="B257" s="8" t="s">
        <v>998</v>
      </c>
      <c r="C257" s="8" t="s">
        <v>999</v>
      </c>
      <c r="D257" s="8" t="s">
        <v>1000</v>
      </c>
      <c r="E257" s="8" t="s">
        <v>415</v>
      </c>
      <c r="F257" s="8" t="s">
        <v>1001</v>
      </c>
    </row>
    <row r="258" customHeight="1" spans="1:6">
      <c r="A258" s="6">
        <v>257</v>
      </c>
      <c r="B258" s="8" t="s">
        <v>998</v>
      </c>
      <c r="C258" s="8" t="s">
        <v>999</v>
      </c>
      <c r="D258" s="8" t="s">
        <v>1000</v>
      </c>
      <c r="E258" s="8" t="s">
        <v>415</v>
      </c>
      <c r="F258" s="8" t="s">
        <v>1001</v>
      </c>
    </row>
    <row r="259" customHeight="1" spans="1:6">
      <c r="A259" s="6">
        <v>258</v>
      </c>
      <c r="B259" s="8" t="s">
        <v>1002</v>
      </c>
      <c r="C259" s="8" t="s">
        <v>1003</v>
      </c>
      <c r="D259" s="8" t="s">
        <v>972</v>
      </c>
      <c r="E259" s="8" t="s">
        <v>762</v>
      </c>
      <c r="F259" s="8" t="s">
        <v>1004</v>
      </c>
    </row>
    <row r="260" customHeight="1" spans="1:6">
      <c r="A260" s="6">
        <v>259</v>
      </c>
      <c r="B260" s="8" t="s">
        <v>1002</v>
      </c>
      <c r="C260" s="8" t="s">
        <v>1003</v>
      </c>
      <c r="D260" s="8" t="s">
        <v>972</v>
      </c>
      <c r="E260" s="8" t="s">
        <v>762</v>
      </c>
      <c r="F260" s="8" t="s">
        <v>1004</v>
      </c>
    </row>
    <row r="261" customHeight="1" spans="1:6">
      <c r="A261" s="6">
        <v>260</v>
      </c>
      <c r="B261" s="8" t="s">
        <v>1005</v>
      </c>
      <c r="C261" s="8" t="s">
        <v>1006</v>
      </c>
      <c r="D261" s="8" t="s">
        <v>1007</v>
      </c>
      <c r="E261" s="8" t="s">
        <v>1008</v>
      </c>
      <c r="F261" s="8" t="s">
        <v>1009</v>
      </c>
    </row>
    <row r="262" customHeight="1" spans="1:6">
      <c r="A262" s="6">
        <v>261</v>
      </c>
      <c r="B262" s="8" t="s">
        <v>1005</v>
      </c>
      <c r="C262" s="8" t="s">
        <v>1006</v>
      </c>
      <c r="D262" s="8" t="s">
        <v>1007</v>
      </c>
      <c r="E262" s="8" t="s">
        <v>1008</v>
      </c>
      <c r="F262" s="8" t="s">
        <v>1009</v>
      </c>
    </row>
    <row r="263" customHeight="1" spans="1:6">
      <c r="A263" s="6">
        <v>262</v>
      </c>
      <c r="B263" s="8" t="s">
        <v>1010</v>
      </c>
      <c r="C263" s="8" t="s">
        <v>1011</v>
      </c>
      <c r="D263" s="8" t="s">
        <v>1012</v>
      </c>
      <c r="E263" s="8" t="s">
        <v>8</v>
      </c>
      <c r="F263" s="8" t="s">
        <v>1013</v>
      </c>
    </row>
    <row r="264" customHeight="1" spans="1:6">
      <c r="A264" s="6">
        <v>263</v>
      </c>
      <c r="B264" s="8" t="s">
        <v>1010</v>
      </c>
      <c r="C264" s="8" t="s">
        <v>1011</v>
      </c>
      <c r="D264" s="8" t="s">
        <v>1012</v>
      </c>
      <c r="E264" s="8" t="s">
        <v>8</v>
      </c>
      <c r="F264" s="8" t="s">
        <v>1013</v>
      </c>
    </row>
    <row r="265" customHeight="1" spans="1:6">
      <c r="A265" s="6">
        <v>264</v>
      </c>
      <c r="B265" s="8" t="s">
        <v>1014</v>
      </c>
      <c r="C265" s="8" t="s">
        <v>1006</v>
      </c>
      <c r="D265" s="8" t="s">
        <v>1015</v>
      </c>
      <c r="E265" s="8" t="s">
        <v>762</v>
      </c>
      <c r="F265" s="8" t="s">
        <v>1016</v>
      </c>
    </row>
    <row r="266" customHeight="1" spans="1:6">
      <c r="A266" s="6">
        <v>265</v>
      </c>
      <c r="B266" s="8" t="s">
        <v>1014</v>
      </c>
      <c r="C266" s="8" t="s">
        <v>1006</v>
      </c>
      <c r="D266" s="8" t="s">
        <v>1015</v>
      </c>
      <c r="E266" s="8" t="s">
        <v>762</v>
      </c>
      <c r="F266" s="8" t="s">
        <v>1016</v>
      </c>
    </row>
    <row r="267" customHeight="1" spans="1:6">
      <c r="A267" s="6">
        <v>266</v>
      </c>
      <c r="B267" s="7" t="str">
        <f t="shared" ref="B267:B269" si="35">"978-7-5207-2148-6"</f>
        <v>978-7-5207-2148-6</v>
      </c>
      <c r="C267" s="7" t="str">
        <f t="shared" ref="C267:C269" si="36">"新时代高素质党员干部三十六种理念"</f>
        <v>新时代高素质党员干部三十六种理念</v>
      </c>
      <c r="D267" s="7" t="str">
        <f t="shared" ref="D267:D272" si="37">"晓山著"</f>
        <v>晓山著</v>
      </c>
      <c r="E267" s="7" t="str">
        <f t="shared" ref="E267:E272" si="38">"东方出版社"</f>
        <v>东方出版社</v>
      </c>
      <c r="F267" s="7" t="str">
        <f t="shared" ref="F267:F269" si="39">"D261.4/10"</f>
        <v>D261.4/10</v>
      </c>
    </row>
    <row r="268" customHeight="1" spans="1:6">
      <c r="A268" s="6">
        <v>267</v>
      </c>
      <c r="B268" s="7" t="str">
        <f t="shared" si="35"/>
        <v>978-7-5207-2148-6</v>
      </c>
      <c r="C268" s="7" t="str">
        <f t="shared" si="36"/>
        <v>新时代高素质党员干部三十六种理念</v>
      </c>
      <c r="D268" s="7" t="str">
        <f t="shared" si="37"/>
        <v>晓山著</v>
      </c>
      <c r="E268" s="7" t="str">
        <f t="shared" si="38"/>
        <v>东方出版社</v>
      </c>
      <c r="F268" s="7" t="str">
        <f t="shared" si="39"/>
        <v>D261.4/10</v>
      </c>
    </row>
    <row r="269" customHeight="1" spans="1:6">
      <c r="A269" s="6">
        <v>268</v>
      </c>
      <c r="B269" s="7" t="str">
        <f t="shared" si="35"/>
        <v>978-7-5207-2148-6</v>
      </c>
      <c r="C269" s="7" t="str">
        <f t="shared" si="36"/>
        <v>新时代高素质党员干部三十六种理念</v>
      </c>
      <c r="D269" s="7" t="str">
        <f t="shared" si="37"/>
        <v>晓山著</v>
      </c>
      <c r="E269" s="7" t="str">
        <f t="shared" si="38"/>
        <v>东方出版社</v>
      </c>
      <c r="F269" s="7" t="str">
        <f t="shared" si="39"/>
        <v>D261.4/10</v>
      </c>
    </row>
    <row r="270" customHeight="1" spans="1:6">
      <c r="A270" s="6">
        <v>269</v>
      </c>
      <c r="B270" s="7" t="str">
        <f t="shared" ref="B270:B272" si="40">"978-7-5207-0024-5"</f>
        <v>978-7-5207-0024-5</v>
      </c>
      <c r="C270" s="7" t="str">
        <f t="shared" ref="C270:C272" si="41">"新时代高素质党员干部三十六种意识"</f>
        <v>新时代高素质党员干部三十六种意识</v>
      </c>
      <c r="D270" s="7" t="str">
        <f t="shared" si="37"/>
        <v>晓山著</v>
      </c>
      <c r="E270" s="7" t="str">
        <f t="shared" si="38"/>
        <v>东方出版社</v>
      </c>
      <c r="F270" s="7" t="str">
        <f t="shared" ref="F270:F272" si="42">"D261.4/9"</f>
        <v>D261.4/9</v>
      </c>
    </row>
    <row r="271" customHeight="1" spans="1:6">
      <c r="A271" s="6">
        <v>270</v>
      </c>
      <c r="B271" s="7" t="str">
        <f t="shared" si="40"/>
        <v>978-7-5207-0024-5</v>
      </c>
      <c r="C271" s="7" t="str">
        <f t="shared" si="41"/>
        <v>新时代高素质党员干部三十六种意识</v>
      </c>
      <c r="D271" s="7" t="str">
        <f t="shared" si="37"/>
        <v>晓山著</v>
      </c>
      <c r="E271" s="7" t="str">
        <f t="shared" si="38"/>
        <v>东方出版社</v>
      </c>
      <c r="F271" s="7" t="str">
        <f t="shared" si="42"/>
        <v>D261.4/9</v>
      </c>
    </row>
    <row r="272" customHeight="1" spans="1:6">
      <c r="A272" s="6">
        <v>271</v>
      </c>
      <c r="B272" s="7" t="str">
        <f t="shared" si="40"/>
        <v>978-7-5207-0024-5</v>
      </c>
      <c r="C272" s="7" t="str">
        <f t="shared" si="41"/>
        <v>新时代高素质党员干部三十六种意识</v>
      </c>
      <c r="D272" s="7" t="str">
        <f t="shared" si="37"/>
        <v>晓山著</v>
      </c>
      <c r="E272" s="7" t="str">
        <f t="shared" si="38"/>
        <v>东方出版社</v>
      </c>
      <c r="F272" s="7" t="str">
        <f t="shared" si="42"/>
        <v>D261.4/9</v>
      </c>
    </row>
    <row r="273" customHeight="1" spans="1:6">
      <c r="A273" s="6">
        <v>272</v>
      </c>
      <c r="B273" s="8" t="s">
        <v>1017</v>
      </c>
      <c r="C273" s="8" t="s">
        <v>1018</v>
      </c>
      <c r="D273" s="8" t="s">
        <v>1019</v>
      </c>
      <c r="E273" s="8" t="s">
        <v>43</v>
      </c>
      <c r="F273" s="8" t="s">
        <v>1020</v>
      </c>
    </row>
    <row r="274" customHeight="1" spans="1:6">
      <c r="A274" s="6">
        <v>273</v>
      </c>
      <c r="B274" s="8" t="s">
        <v>1017</v>
      </c>
      <c r="C274" s="8" t="s">
        <v>1018</v>
      </c>
      <c r="D274" s="8" t="s">
        <v>1019</v>
      </c>
      <c r="E274" s="8" t="s">
        <v>43</v>
      </c>
      <c r="F274" s="8" t="s">
        <v>1020</v>
      </c>
    </row>
    <row r="275" customHeight="1" spans="1:6">
      <c r="A275" s="6">
        <v>274</v>
      </c>
      <c r="B275" s="7" t="str">
        <f>"978-7-5192-6309-6"</f>
        <v>978-7-5192-6309-6</v>
      </c>
      <c r="C275" s="7" t="str">
        <f>"信任：新时代党员健心实践篇"</f>
        <v>信任：新时代党员健心实践篇</v>
      </c>
      <c r="D275" s="7" t="str">
        <f t="shared" ref="D275:D278" si="43">"中航集团 (在京) 财务系统党建课题组， 北京大学心理与认知科学学院编著"</f>
        <v>中航集团 (在京) 财务系统党建课题组， 北京大学心理与认知科学学院编著</v>
      </c>
      <c r="E275" s="7" t="str">
        <f t="shared" ref="E275:E280" si="44">"世界图书出版有限公司北京分公司"</f>
        <v>世界图书出版有限公司北京分公司</v>
      </c>
      <c r="F275" s="7" t="str">
        <f>"D261.42/219"</f>
        <v>D261.42/219</v>
      </c>
    </row>
    <row r="276" customHeight="1" spans="1:6">
      <c r="A276" s="6">
        <v>275</v>
      </c>
      <c r="B276" s="7" t="str">
        <f>"978-7-5192-6309-6"</f>
        <v>978-7-5192-6309-6</v>
      </c>
      <c r="C276" s="7" t="str">
        <f>"信任：新时代党员健心实践篇"</f>
        <v>信任：新时代党员健心实践篇</v>
      </c>
      <c r="D276" s="7" t="str">
        <f t="shared" si="43"/>
        <v>中航集团 (在京) 财务系统党建课题组， 北京大学心理与认知科学学院编著</v>
      </c>
      <c r="E276" s="7" t="str">
        <f t="shared" si="44"/>
        <v>世界图书出版有限公司北京分公司</v>
      </c>
      <c r="F276" s="7" t="str">
        <f>"D261.42/219"</f>
        <v>D261.42/219</v>
      </c>
    </row>
    <row r="277" customHeight="1" spans="1:6">
      <c r="A277" s="6">
        <v>276</v>
      </c>
      <c r="B277" s="7" t="str">
        <f>"978-7-5192-6320-1"</f>
        <v>978-7-5192-6320-1</v>
      </c>
      <c r="C277" s="7" t="str">
        <f>"正直：新时代党员健心实践篇"</f>
        <v>正直：新时代党员健心实践篇</v>
      </c>
      <c r="D277" s="7" t="str">
        <f t="shared" si="43"/>
        <v>中航集团 (在京) 财务系统党建课题组， 北京大学心理与认知科学学院编著</v>
      </c>
      <c r="E277" s="7" t="str">
        <f t="shared" si="44"/>
        <v>世界图书出版有限公司北京分公司</v>
      </c>
      <c r="F277" s="7" t="str">
        <f>"D261.42/220"</f>
        <v>D261.42/220</v>
      </c>
    </row>
    <row r="278" customHeight="1" spans="1:6">
      <c r="A278" s="6">
        <v>277</v>
      </c>
      <c r="B278" s="7" t="str">
        <f>"978-7-5192-6320-1"</f>
        <v>978-7-5192-6320-1</v>
      </c>
      <c r="C278" s="7" t="str">
        <f>"正直：新时代党员健心实践篇"</f>
        <v>正直：新时代党员健心实践篇</v>
      </c>
      <c r="D278" s="7" t="str">
        <f t="shared" si="43"/>
        <v>中航集团 (在京) 财务系统党建课题组， 北京大学心理与认知科学学院编著</v>
      </c>
      <c r="E278" s="7" t="str">
        <f t="shared" si="44"/>
        <v>世界图书出版有限公司北京分公司</v>
      </c>
      <c r="F278" s="7" t="str">
        <f>"D261.42/220"</f>
        <v>D261.42/220</v>
      </c>
    </row>
    <row r="279" customHeight="1" spans="1:6">
      <c r="A279" s="6">
        <v>278</v>
      </c>
      <c r="B279" s="7" t="str">
        <f>"978-7-5192-6312-6"</f>
        <v>978-7-5192-6312-6</v>
      </c>
      <c r="C279" s="7" t="str">
        <f>"责任：新时代党员健心实践篇"</f>
        <v>责任：新时代党员健心实践篇</v>
      </c>
      <c r="D279" s="7" t="str">
        <f>"北京大学心理与认知科学学院， 中航集团 (在京) 财务系统党建课题组编著"</f>
        <v>北京大学心理与认知科学学院， 中航集团 (在京) 财务系统党建课题组编著</v>
      </c>
      <c r="E279" s="7" t="str">
        <f t="shared" si="44"/>
        <v>世界图书出版有限公司北京分公司</v>
      </c>
      <c r="F279" s="7" t="str">
        <f>"D261.42/221"</f>
        <v>D261.42/221</v>
      </c>
    </row>
    <row r="280" customHeight="1" spans="1:6">
      <c r="A280" s="6">
        <v>279</v>
      </c>
      <c r="B280" s="7" t="str">
        <f>"978-7-5192-6312-6"</f>
        <v>978-7-5192-6312-6</v>
      </c>
      <c r="C280" s="7" t="str">
        <f>"责任：新时代党员健心实践篇"</f>
        <v>责任：新时代党员健心实践篇</v>
      </c>
      <c r="D280" s="7" t="str">
        <f>"北京大学心理与认知科学学院， 中航集团 (在京) 财务系统党建课题组编著"</f>
        <v>北京大学心理与认知科学学院， 中航集团 (在京) 财务系统党建课题组编著</v>
      </c>
      <c r="E280" s="7" t="str">
        <f t="shared" si="44"/>
        <v>世界图书出版有限公司北京分公司</v>
      </c>
      <c r="F280" s="7" t="str">
        <f>"D261.42/221"</f>
        <v>D261.42/221</v>
      </c>
    </row>
    <row r="281" customHeight="1" spans="1:6">
      <c r="A281" s="6">
        <v>280</v>
      </c>
      <c r="B281" s="8" t="s">
        <v>1021</v>
      </c>
      <c r="C281" s="8" t="s">
        <v>1022</v>
      </c>
      <c r="D281" s="8" t="s">
        <v>1023</v>
      </c>
      <c r="E281" s="8" t="s">
        <v>43</v>
      </c>
      <c r="F281" s="8" t="s">
        <v>1024</v>
      </c>
    </row>
    <row r="282" customHeight="1" spans="1:6">
      <c r="A282" s="6">
        <v>281</v>
      </c>
      <c r="B282" s="8" t="s">
        <v>1021</v>
      </c>
      <c r="C282" s="8" t="s">
        <v>1022</v>
      </c>
      <c r="D282" s="8" t="s">
        <v>1023</v>
      </c>
      <c r="E282" s="8" t="s">
        <v>43</v>
      </c>
      <c r="F282" s="8" t="s">
        <v>1024</v>
      </c>
    </row>
    <row r="283" customHeight="1" spans="1:6">
      <c r="A283" s="6">
        <v>282</v>
      </c>
      <c r="B283" s="8" t="s">
        <v>1025</v>
      </c>
      <c r="C283" s="8" t="s">
        <v>1026</v>
      </c>
      <c r="D283" s="8" t="s">
        <v>1027</v>
      </c>
      <c r="E283" s="8" t="s">
        <v>1028</v>
      </c>
      <c r="F283" s="8" t="s">
        <v>1029</v>
      </c>
    </row>
    <row r="284" customHeight="1" spans="1:6">
      <c r="A284" s="6">
        <v>283</v>
      </c>
      <c r="B284" s="8" t="s">
        <v>1025</v>
      </c>
      <c r="C284" s="8" t="s">
        <v>1026</v>
      </c>
      <c r="D284" s="8" t="s">
        <v>1027</v>
      </c>
      <c r="E284" s="8" t="s">
        <v>1028</v>
      </c>
      <c r="F284" s="8" t="s">
        <v>1029</v>
      </c>
    </row>
    <row r="285" customHeight="1" spans="1:6">
      <c r="A285" s="6">
        <v>284</v>
      </c>
      <c r="B285" s="8" t="s">
        <v>1030</v>
      </c>
      <c r="C285" s="8" t="s">
        <v>1031</v>
      </c>
      <c r="D285" s="8" t="s">
        <v>1032</v>
      </c>
      <c r="E285" s="8" t="s">
        <v>810</v>
      </c>
      <c r="F285" s="8" t="s">
        <v>1033</v>
      </c>
    </row>
    <row r="286" customHeight="1" spans="1:6">
      <c r="A286" s="6">
        <v>285</v>
      </c>
      <c r="B286" s="8" t="s">
        <v>1030</v>
      </c>
      <c r="C286" s="8" t="s">
        <v>1031</v>
      </c>
      <c r="D286" s="8" t="s">
        <v>1032</v>
      </c>
      <c r="E286" s="8" t="s">
        <v>810</v>
      </c>
      <c r="F286" s="8" t="s">
        <v>1033</v>
      </c>
    </row>
    <row r="287" customHeight="1" spans="1:6">
      <c r="A287" s="6">
        <v>286</v>
      </c>
      <c r="B287" s="8" t="s">
        <v>1034</v>
      </c>
      <c r="C287" s="8" t="s">
        <v>1035</v>
      </c>
      <c r="D287" s="8" t="s">
        <v>1036</v>
      </c>
      <c r="E287" s="8" t="s">
        <v>530</v>
      </c>
      <c r="F287" s="8" t="s">
        <v>1037</v>
      </c>
    </row>
    <row r="288" customHeight="1" spans="1:6">
      <c r="A288" s="6">
        <v>287</v>
      </c>
      <c r="B288" s="8" t="s">
        <v>1034</v>
      </c>
      <c r="C288" s="8" t="s">
        <v>1035</v>
      </c>
      <c r="D288" s="8" t="s">
        <v>1036</v>
      </c>
      <c r="E288" s="8" t="s">
        <v>530</v>
      </c>
      <c r="F288" s="8" t="s">
        <v>1037</v>
      </c>
    </row>
    <row r="289" customHeight="1" spans="1:6">
      <c r="A289" s="6">
        <v>288</v>
      </c>
      <c r="B289" s="8" t="s">
        <v>1038</v>
      </c>
      <c r="C289" s="8" t="s">
        <v>1039</v>
      </c>
      <c r="D289" s="8" t="s">
        <v>1040</v>
      </c>
      <c r="E289" s="8" t="s">
        <v>762</v>
      </c>
      <c r="F289" s="8" t="s">
        <v>1041</v>
      </c>
    </row>
    <row r="290" customHeight="1" spans="1:6">
      <c r="A290" s="6">
        <v>289</v>
      </c>
      <c r="B290" s="8" t="s">
        <v>1038</v>
      </c>
      <c r="C290" s="8" t="s">
        <v>1039</v>
      </c>
      <c r="D290" s="8" t="s">
        <v>1040</v>
      </c>
      <c r="E290" s="8" t="s">
        <v>762</v>
      </c>
      <c r="F290" s="8" t="s">
        <v>1041</v>
      </c>
    </row>
    <row r="291" customHeight="1" spans="1:6">
      <c r="A291" s="6">
        <v>290</v>
      </c>
      <c r="B291" s="8" t="s">
        <v>1042</v>
      </c>
      <c r="C291" s="8" t="s">
        <v>1043</v>
      </c>
      <c r="D291" s="8" t="s">
        <v>1044</v>
      </c>
      <c r="E291" s="8" t="s">
        <v>58</v>
      </c>
      <c r="F291" s="8" t="s">
        <v>1045</v>
      </c>
    </row>
    <row r="292" customHeight="1" spans="1:6">
      <c r="A292" s="6">
        <v>291</v>
      </c>
      <c r="B292" s="8" t="s">
        <v>1042</v>
      </c>
      <c r="C292" s="8" t="s">
        <v>1043</v>
      </c>
      <c r="D292" s="8" t="s">
        <v>1044</v>
      </c>
      <c r="E292" s="8" t="s">
        <v>58</v>
      </c>
      <c r="F292" s="8" t="s">
        <v>1045</v>
      </c>
    </row>
    <row r="293" customHeight="1" spans="1:6">
      <c r="A293" s="6">
        <v>292</v>
      </c>
      <c r="B293" s="8" t="s">
        <v>1046</v>
      </c>
      <c r="C293" s="8" t="s">
        <v>1047</v>
      </c>
      <c r="D293" s="8" t="s">
        <v>1048</v>
      </c>
      <c r="E293" s="8" t="s">
        <v>58</v>
      </c>
      <c r="F293" s="8" t="s">
        <v>1049</v>
      </c>
    </row>
    <row r="294" customHeight="1" spans="1:6">
      <c r="A294" s="6">
        <v>293</v>
      </c>
      <c r="B294" s="8" t="s">
        <v>1046</v>
      </c>
      <c r="C294" s="8" t="s">
        <v>1047</v>
      </c>
      <c r="D294" s="8" t="s">
        <v>1048</v>
      </c>
      <c r="E294" s="8" t="s">
        <v>58</v>
      </c>
      <c r="F294" s="8" t="s">
        <v>1049</v>
      </c>
    </row>
    <row r="295" customHeight="1" spans="1:6">
      <c r="A295" s="6">
        <v>294</v>
      </c>
      <c r="B295" s="8" t="s">
        <v>1050</v>
      </c>
      <c r="C295" s="8" t="s">
        <v>1051</v>
      </c>
      <c r="D295" s="8" t="s">
        <v>1052</v>
      </c>
      <c r="E295" s="8" t="s">
        <v>58</v>
      </c>
      <c r="F295" s="8" t="s">
        <v>1053</v>
      </c>
    </row>
    <row r="296" customHeight="1" spans="1:6">
      <c r="A296" s="6">
        <v>295</v>
      </c>
      <c r="B296" s="8" t="s">
        <v>1050</v>
      </c>
      <c r="C296" s="8" t="s">
        <v>1051</v>
      </c>
      <c r="D296" s="8" t="s">
        <v>1052</v>
      </c>
      <c r="E296" s="8" t="s">
        <v>58</v>
      </c>
      <c r="F296" s="8" t="s">
        <v>1053</v>
      </c>
    </row>
    <row r="297" customHeight="1" spans="1:6">
      <c r="A297" s="6">
        <v>296</v>
      </c>
      <c r="B297" s="8" t="s">
        <v>1054</v>
      </c>
      <c r="C297" s="8" t="s">
        <v>1055</v>
      </c>
      <c r="D297" s="8" t="s">
        <v>1056</v>
      </c>
      <c r="E297" s="8" t="s">
        <v>1057</v>
      </c>
      <c r="F297" s="8" t="s">
        <v>1058</v>
      </c>
    </row>
    <row r="298" customHeight="1" spans="1:6">
      <c r="A298" s="6">
        <v>297</v>
      </c>
      <c r="B298" s="8" t="s">
        <v>1054</v>
      </c>
      <c r="C298" s="8" t="s">
        <v>1055</v>
      </c>
      <c r="D298" s="8" t="s">
        <v>1056</v>
      </c>
      <c r="E298" s="8" t="s">
        <v>1057</v>
      </c>
      <c r="F298" s="8" t="s">
        <v>1058</v>
      </c>
    </row>
    <row r="299" customHeight="1" spans="1:6">
      <c r="A299" s="6">
        <v>298</v>
      </c>
      <c r="B299" s="7" t="str">
        <f>"978-7-5115-6931-8"</f>
        <v>978-7-5115-6931-8</v>
      </c>
      <c r="C299" s="7" t="str">
        <f>"宣传工作常用规范表述300例"</f>
        <v>宣传工作常用规范表述300例</v>
      </c>
      <c r="D299" s="7" t="str">
        <f>"吕飞编著"</f>
        <v>吕飞编著</v>
      </c>
      <c r="E299" s="7" t="str">
        <f>"人民日报出版社"</f>
        <v>人民日报出版社</v>
      </c>
      <c r="F299" s="7" t="str">
        <f>"D261.5/11"</f>
        <v>D261.5/11</v>
      </c>
    </row>
    <row r="300" customHeight="1" spans="1:6">
      <c r="A300" s="6">
        <v>299</v>
      </c>
      <c r="B300" s="7" t="str">
        <f>"978-7-5115-6931-8"</f>
        <v>978-7-5115-6931-8</v>
      </c>
      <c r="C300" s="7" t="str">
        <f>"宣传工作常用规范表述300例"</f>
        <v>宣传工作常用规范表述300例</v>
      </c>
      <c r="D300" s="7" t="str">
        <f>"吕飞编著"</f>
        <v>吕飞编著</v>
      </c>
      <c r="E300" s="7" t="str">
        <f>"人民日报出版社"</f>
        <v>人民日报出版社</v>
      </c>
      <c r="F300" s="7" t="str">
        <f>"D261.5/11"</f>
        <v>D261.5/11</v>
      </c>
    </row>
    <row r="301" customHeight="1" spans="1:6">
      <c r="A301" s="6">
        <v>300</v>
      </c>
      <c r="B301" s="8" t="s">
        <v>1059</v>
      </c>
      <c r="C301" s="8" t="s">
        <v>1060</v>
      </c>
      <c r="D301" s="8" t="s">
        <v>1061</v>
      </c>
      <c r="E301" s="8" t="s">
        <v>58</v>
      </c>
      <c r="F301" s="8" t="s">
        <v>1062</v>
      </c>
    </row>
    <row r="302" customHeight="1" spans="1:6">
      <c r="A302" s="6">
        <v>301</v>
      </c>
      <c r="B302" s="8" t="s">
        <v>1059</v>
      </c>
      <c r="C302" s="8" t="s">
        <v>1060</v>
      </c>
      <c r="D302" s="8" t="s">
        <v>1061</v>
      </c>
      <c r="E302" s="8" t="s">
        <v>58</v>
      </c>
      <c r="F302" s="8" t="s">
        <v>1062</v>
      </c>
    </row>
    <row r="303" customHeight="1" spans="1:6">
      <c r="A303" s="6">
        <v>302</v>
      </c>
      <c r="B303" s="8" t="s">
        <v>1063</v>
      </c>
      <c r="C303" s="8" t="s">
        <v>1064</v>
      </c>
      <c r="D303" s="8" t="s">
        <v>1065</v>
      </c>
      <c r="E303" s="8" t="s">
        <v>762</v>
      </c>
      <c r="F303" s="8" t="s">
        <v>1066</v>
      </c>
    </row>
    <row r="304" customHeight="1" spans="1:6">
      <c r="A304" s="6">
        <v>303</v>
      </c>
      <c r="B304" s="8" t="s">
        <v>1063</v>
      </c>
      <c r="C304" s="8" t="s">
        <v>1064</v>
      </c>
      <c r="D304" s="8" t="s">
        <v>1065</v>
      </c>
      <c r="E304" s="8" t="s">
        <v>762</v>
      </c>
      <c r="F304" s="8" t="s">
        <v>1066</v>
      </c>
    </row>
    <row r="305" customHeight="1" spans="1:6">
      <c r="A305" s="6">
        <v>304</v>
      </c>
      <c r="B305" s="8" t="s">
        <v>1067</v>
      </c>
      <c r="C305" s="8" t="s">
        <v>1068</v>
      </c>
      <c r="D305" s="8" t="s">
        <v>968</v>
      </c>
      <c r="E305" s="8" t="s">
        <v>58</v>
      </c>
      <c r="F305" s="8" t="s">
        <v>1069</v>
      </c>
    </row>
    <row r="306" customHeight="1" spans="1:6">
      <c r="A306" s="6">
        <v>305</v>
      </c>
      <c r="B306" s="8" t="s">
        <v>1067</v>
      </c>
      <c r="C306" s="8" t="s">
        <v>1068</v>
      </c>
      <c r="D306" s="8" t="s">
        <v>968</v>
      </c>
      <c r="E306" s="8" t="s">
        <v>58</v>
      </c>
      <c r="F306" s="8" t="s">
        <v>1069</v>
      </c>
    </row>
    <row r="307" customHeight="1" spans="1:6">
      <c r="A307" s="6">
        <v>306</v>
      </c>
      <c r="B307" s="8" t="s">
        <v>1070</v>
      </c>
      <c r="C307" s="8" t="s">
        <v>1071</v>
      </c>
      <c r="D307" s="8" t="s">
        <v>968</v>
      </c>
      <c r="E307" s="8" t="s">
        <v>58</v>
      </c>
      <c r="F307" s="8" t="s">
        <v>1072</v>
      </c>
    </row>
    <row r="308" customHeight="1" spans="1:6">
      <c r="A308" s="6">
        <v>307</v>
      </c>
      <c r="B308" s="8" t="s">
        <v>1070</v>
      </c>
      <c r="C308" s="8" t="s">
        <v>1071</v>
      </c>
      <c r="D308" s="8" t="s">
        <v>968</v>
      </c>
      <c r="E308" s="8" t="s">
        <v>58</v>
      </c>
      <c r="F308" s="8" t="s">
        <v>1072</v>
      </c>
    </row>
    <row r="309" customHeight="1" spans="1:6">
      <c r="A309" s="6">
        <v>308</v>
      </c>
      <c r="B309" s="7" t="str">
        <f t="shared" ref="B309:B311" si="45">"978-7-5207-2203-2"</f>
        <v>978-7-5207-2203-2</v>
      </c>
      <c r="C309" s="7" t="str">
        <f t="shared" ref="C309:C311" si="46">"新时代高素质党员干部三十六种能力"</f>
        <v>新时代高素质党员干部三十六种能力</v>
      </c>
      <c r="D309" s="7" t="str">
        <f t="shared" ref="D309:D311" si="47">"晓山著"</f>
        <v>晓山著</v>
      </c>
      <c r="E309" s="7" t="str">
        <f t="shared" ref="E309:E313" si="48">"东方出版社"</f>
        <v>东方出版社</v>
      </c>
      <c r="F309" s="7" t="str">
        <f t="shared" ref="F309:F311" si="49">"D262.3/111"</f>
        <v>D262.3/111</v>
      </c>
    </row>
    <row r="310" customHeight="1" spans="1:6">
      <c r="A310" s="6">
        <v>309</v>
      </c>
      <c r="B310" s="7" t="str">
        <f t="shared" si="45"/>
        <v>978-7-5207-2203-2</v>
      </c>
      <c r="C310" s="7" t="str">
        <f t="shared" si="46"/>
        <v>新时代高素质党员干部三十六种能力</v>
      </c>
      <c r="D310" s="7" t="str">
        <f t="shared" si="47"/>
        <v>晓山著</v>
      </c>
      <c r="E310" s="7" t="str">
        <f t="shared" si="48"/>
        <v>东方出版社</v>
      </c>
      <c r="F310" s="7" t="str">
        <f t="shared" si="49"/>
        <v>D262.3/111</v>
      </c>
    </row>
    <row r="311" customHeight="1" spans="1:6">
      <c r="A311" s="6">
        <v>310</v>
      </c>
      <c r="B311" s="7" t="str">
        <f t="shared" si="45"/>
        <v>978-7-5207-2203-2</v>
      </c>
      <c r="C311" s="7" t="str">
        <f t="shared" si="46"/>
        <v>新时代高素质党员干部三十六种能力</v>
      </c>
      <c r="D311" s="7" t="str">
        <f t="shared" si="47"/>
        <v>晓山著</v>
      </c>
      <c r="E311" s="7" t="str">
        <f t="shared" si="48"/>
        <v>东方出版社</v>
      </c>
      <c r="F311" s="7" t="str">
        <f t="shared" si="49"/>
        <v>D262.3/111</v>
      </c>
    </row>
    <row r="312" customHeight="1" spans="1:6">
      <c r="A312" s="6">
        <v>311</v>
      </c>
      <c r="B312" s="7" t="str">
        <f>"978-7-5207-2217-9"</f>
        <v>978-7-5207-2217-9</v>
      </c>
      <c r="C312" s="7" t="str">
        <f>"再赶考：走向新百年的中国共产党"</f>
        <v>再赶考：走向新百年的中国共产党</v>
      </c>
      <c r="D312" s="7" t="str">
        <f>"鄢一龙 ... [等] 著"</f>
        <v>鄢一龙 ... [等] 著</v>
      </c>
      <c r="E312" s="7" t="str">
        <f t="shared" si="48"/>
        <v>东方出版社</v>
      </c>
      <c r="F312" s="7" t="str">
        <f>"D262.3/112"</f>
        <v>D262.3/112</v>
      </c>
    </row>
    <row r="313" customHeight="1" spans="1:6">
      <c r="A313" s="6">
        <v>312</v>
      </c>
      <c r="B313" s="7" t="str">
        <f>"978-7-5207-2217-9"</f>
        <v>978-7-5207-2217-9</v>
      </c>
      <c r="C313" s="7" t="str">
        <f>"再赶考：走向新百年的中国共产党"</f>
        <v>再赶考：走向新百年的中国共产党</v>
      </c>
      <c r="D313" s="7" t="str">
        <f>"鄢一龙 ... [等] 著"</f>
        <v>鄢一龙 ... [等] 著</v>
      </c>
      <c r="E313" s="7" t="str">
        <f t="shared" si="48"/>
        <v>东方出版社</v>
      </c>
      <c r="F313" s="7" t="str">
        <f>"D262.3/112"</f>
        <v>D262.3/112</v>
      </c>
    </row>
    <row r="314" customHeight="1" spans="1:6">
      <c r="A314" s="6">
        <v>313</v>
      </c>
      <c r="B314" s="8" t="s">
        <v>1073</v>
      </c>
      <c r="C314" s="8" t="s">
        <v>1074</v>
      </c>
      <c r="D314" s="8" t="s">
        <v>1075</v>
      </c>
      <c r="E314" s="8" t="s">
        <v>33</v>
      </c>
      <c r="F314" s="8" t="s">
        <v>1076</v>
      </c>
    </row>
    <row r="315" customHeight="1" spans="1:6">
      <c r="A315" s="6">
        <v>314</v>
      </c>
      <c r="B315" s="8" t="s">
        <v>1073</v>
      </c>
      <c r="C315" s="8" t="s">
        <v>1074</v>
      </c>
      <c r="D315" s="8" t="s">
        <v>1075</v>
      </c>
      <c r="E315" s="8" t="s">
        <v>33</v>
      </c>
      <c r="F315" s="8" t="s">
        <v>1076</v>
      </c>
    </row>
    <row r="316" customHeight="1" spans="1:6">
      <c r="A316" s="6">
        <v>315</v>
      </c>
      <c r="B316" s="8" t="s">
        <v>1077</v>
      </c>
      <c r="C316" s="8" t="s">
        <v>1078</v>
      </c>
      <c r="D316" s="8" t="s">
        <v>1079</v>
      </c>
      <c r="E316" s="8" t="s">
        <v>810</v>
      </c>
      <c r="F316" s="8" t="s">
        <v>1080</v>
      </c>
    </row>
    <row r="317" customHeight="1" spans="1:6">
      <c r="A317" s="6">
        <v>316</v>
      </c>
      <c r="B317" s="8" t="s">
        <v>1077</v>
      </c>
      <c r="C317" s="8" t="s">
        <v>1078</v>
      </c>
      <c r="D317" s="8" t="s">
        <v>1079</v>
      </c>
      <c r="E317" s="8" t="s">
        <v>810</v>
      </c>
      <c r="F317" s="8" t="s">
        <v>1080</v>
      </c>
    </row>
    <row r="318" customHeight="1" spans="1:6">
      <c r="A318" s="6">
        <v>317</v>
      </c>
      <c r="B318" s="8" t="s">
        <v>1081</v>
      </c>
      <c r="C318" s="8" t="s">
        <v>1082</v>
      </c>
      <c r="D318" s="8" t="s">
        <v>1083</v>
      </c>
      <c r="E318" s="8" t="s">
        <v>665</v>
      </c>
      <c r="F318" s="8" t="s">
        <v>1084</v>
      </c>
    </row>
    <row r="319" customHeight="1" spans="1:6">
      <c r="A319" s="6">
        <v>318</v>
      </c>
      <c r="B319" s="8" t="s">
        <v>1081</v>
      </c>
      <c r="C319" s="8" t="s">
        <v>1082</v>
      </c>
      <c r="D319" s="8" t="s">
        <v>1083</v>
      </c>
      <c r="E319" s="8" t="s">
        <v>665</v>
      </c>
      <c r="F319" s="8" t="s">
        <v>1084</v>
      </c>
    </row>
    <row r="320" customHeight="1" spans="1:6">
      <c r="A320" s="6">
        <v>319</v>
      </c>
      <c r="B320" s="8" t="s">
        <v>1085</v>
      </c>
      <c r="C320" s="8" t="s">
        <v>1086</v>
      </c>
      <c r="D320" s="8" t="s">
        <v>1083</v>
      </c>
      <c r="E320" s="8" t="s">
        <v>665</v>
      </c>
      <c r="F320" s="8" t="s">
        <v>1087</v>
      </c>
    </row>
    <row r="321" customHeight="1" spans="1:6">
      <c r="A321" s="6">
        <v>320</v>
      </c>
      <c r="B321" s="8" t="s">
        <v>1085</v>
      </c>
      <c r="C321" s="8" t="s">
        <v>1086</v>
      </c>
      <c r="D321" s="8" t="s">
        <v>1083</v>
      </c>
      <c r="E321" s="8" t="s">
        <v>665</v>
      </c>
      <c r="F321" s="8" t="s">
        <v>1087</v>
      </c>
    </row>
    <row r="322" customHeight="1" spans="1:6">
      <c r="A322" s="6">
        <v>321</v>
      </c>
      <c r="B322" s="8" t="s">
        <v>1088</v>
      </c>
      <c r="C322" s="8" t="s">
        <v>1089</v>
      </c>
      <c r="D322" s="8" t="s">
        <v>1083</v>
      </c>
      <c r="E322" s="8" t="s">
        <v>665</v>
      </c>
      <c r="F322" s="8" t="s">
        <v>1090</v>
      </c>
    </row>
    <row r="323" customHeight="1" spans="1:6">
      <c r="A323" s="6">
        <v>322</v>
      </c>
      <c r="B323" s="8" t="s">
        <v>1088</v>
      </c>
      <c r="C323" s="8" t="s">
        <v>1089</v>
      </c>
      <c r="D323" s="8" t="s">
        <v>1083</v>
      </c>
      <c r="E323" s="8" t="s">
        <v>665</v>
      </c>
      <c r="F323" s="8" t="s">
        <v>1090</v>
      </c>
    </row>
    <row r="324" customHeight="1" spans="1:6">
      <c r="A324" s="6">
        <v>323</v>
      </c>
      <c r="B324" s="8" t="s">
        <v>1091</v>
      </c>
      <c r="C324" s="8" t="s">
        <v>1092</v>
      </c>
      <c r="D324" s="8" t="s">
        <v>1083</v>
      </c>
      <c r="E324" s="8" t="s">
        <v>665</v>
      </c>
      <c r="F324" s="8" t="s">
        <v>1093</v>
      </c>
    </row>
    <row r="325" customHeight="1" spans="1:6">
      <c r="A325" s="6">
        <v>324</v>
      </c>
      <c r="B325" s="8" t="s">
        <v>1091</v>
      </c>
      <c r="C325" s="8" t="s">
        <v>1092</v>
      </c>
      <c r="D325" s="8" t="s">
        <v>1083</v>
      </c>
      <c r="E325" s="8" t="s">
        <v>665</v>
      </c>
      <c r="F325" s="8" t="s">
        <v>1093</v>
      </c>
    </row>
    <row r="326" customHeight="1" spans="1:6">
      <c r="A326" s="6">
        <v>325</v>
      </c>
      <c r="B326" s="8" t="s">
        <v>1094</v>
      </c>
      <c r="C326" s="8" t="s">
        <v>1095</v>
      </c>
      <c r="D326" s="8" t="s">
        <v>1096</v>
      </c>
      <c r="E326" s="8" t="s">
        <v>28</v>
      </c>
      <c r="F326" s="8" t="s">
        <v>1097</v>
      </c>
    </row>
    <row r="327" customHeight="1" spans="1:6">
      <c r="A327" s="6">
        <v>326</v>
      </c>
      <c r="B327" s="8" t="s">
        <v>1094</v>
      </c>
      <c r="C327" s="8" t="s">
        <v>1095</v>
      </c>
      <c r="D327" s="8" t="s">
        <v>1096</v>
      </c>
      <c r="E327" s="8" t="s">
        <v>28</v>
      </c>
      <c r="F327" s="8" t="s">
        <v>1097</v>
      </c>
    </row>
    <row r="328" customHeight="1" spans="1:6">
      <c r="A328" s="6">
        <v>327</v>
      </c>
      <c r="B328" s="8" t="s">
        <v>1098</v>
      </c>
      <c r="C328" s="8" t="s">
        <v>1099</v>
      </c>
      <c r="D328" s="8" t="s">
        <v>766</v>
      </c>
      <c r="E328" s="8" t="s">
        <v>43</v>
      </c>
      <c r="F328" s="8" t="s">
        <v>1100</v>
      </c>
    </row>
    <row r="329" customHeight="1" spans="1:6">
      <c r="A329" s="6">
        <v>328</v>
      </c>
      <c r="B329" s="8" t="s">
        <v>1098</v>
      </c>
      <c r="C329" s="8" t="s">
        <v>1099</v>
      </c>
      <c r="D329" s="8" t="s">
        <v>766</v>
      </c>
      <c r="E329" s="8" t="s">
        <v>43</v>
      </c>
      <c r="F329" s="8" t="s">
        <v>1100</v>
      </c>
    </row>
    <row r="330" customHeight="1" spans="1:6">
      <c r="A330" s="6">
        <v>329</v>
      </c>
      <c r="B330" s="8" t="s">
        <v>1101</v>
      </c>
      <c r="C330" s="8" t="s">
        <v>1102</v>
      </c>
      <c r="D330" s="8" t="s">
        <v>1103</v>
      </c>
      <c r="E330" s="8" t="s">
        <v>43</v>
      </c>
      <c r="F330" s="8" t="s">
        <v>1104</v>
      </c>
    </row>
    <row r="331" customHeight="1" spans="1:6">
      <c r="A331" s="6">
        <v>330</v>
      </c>
      <c r="B331" s="8" t="s">
        <v>1101</v>
      </c>
      <c r="C331" s="8" t="s">
        <v>1102</v>
      </c>
      <c r="D331" s="8" t="s">
        <v>1103</v>
      </c>
      <c r="E331" s="8" t="s">
        <v>43</v>
      </c>
      <c r="F331" s="8" t="s">
        <v>1104</v>
      </c>
    </row>
    <row r="332" customHeight="1" spans="1:6">
      <c r="A332" s="6">
        <v>331</v>
      </c>
      <c r="B332" s="8" t="s">
        <v>1105</v>
      </c>
      <c r="C332" s="8" t="s">
        <v>1106</v>
      </c>
      <c r="D332" s="8" t="s">
        <v>833</v>
      </c>
      <c r="E332" s="8" t="s">
        <v>58</v>
      </c>
      <c r="F332" s="8" t="s">
        <v>1107</v>
      </c>
    </row>
    <row r="333" customHeight="1" spans="1:6">
      <c r="A333" s="6">
        <v>332</v>
      </c>
      <c r="B333" s="8" t="s">
        <v>1105</v>
      </c>
      <c r="C333" s="8" t="s">
        <v>1106</v>
      </c>
      <c r="D333" s="8" t="s">
        <v>833</v>
      </c>
      <c r="E333" s="8" t="s">
        <v>58</v>
      </c>
      <c r="F333" s="8" t="s">
        <v>1107</v>
      </c>
    </row>
    <row r="334" customHeight="1" spans="1:6">
      <c r="A334" s="6">
        <v>333</v>
      </c>
      <c r="B334" s="8" t="s">
        <v>1108</v>
      </c>
      <c r="C334" s="8" t="s">
        <v>1109</v>
      </c>
      <c r="D334" s="8" t="s">
        <v>1012</v>
      </c>
      <c r="E334" s="8" t="s">
        <v>8</v>
      </c>
      <c r="F334" s="8" t="s">
        <v>1110</v>
      </c>
    </row>
    <row r="335" customHeight="1" spans="1:6">
      <c r="A335" s="6">
        <v>334</v>
      </c>
      <c r="B335" s="8" t="s">
        <v>1108</v>
      </c>
      <c r="C335" s="8" t="s">
        <v>1109</v>
      </c>
      <c r="D335" s="8" t="s">
        <v>1012</v>
      </c>
      <c r="E335" s="8" t="s">
        <v>8</v>
      </c>
      <c r="F335" s="8" t="s">
        <v>1110</v>
      </c>
    </row>
    <row r="336" customHeight="1" spans="1:6">
      <c r="A336" s="6">
        <v>335</v>
      </c>
      <c r="B336" s="8" t="s">
        <v>1108</v>
      </c>
      <c r="C336" s="8" t="s">
        <v>1109</v>
      </c>
      <c r="D336" s="8" t="s">
        <v>1012</v>
      </c>
      <c r="E336" s="8" t="s">
        <v>8</v>
      </c>
      <c r="F336" s="8" t="s">
        <v>1110</v>
      </c>
    </row>
    <row r="337" customHeight="1" spans="1:6">
      <c r="A337" s="6">
        <v>336</v>
      </c>
      <c r="B337" s="8" t="s">
        <v>1111</v>
      </c>
      <c r="C337" s="8" t="s">
        <v>1112</v>
      </c>
      <c r="D337" s="8" t="s">
        <v>766</v>
      </c>
      <c r="E337" s="8" t="s">
        <v>810</v>
      </c>
      <c r="F337" s="8" t="s">
        <v>1113</v>
      </c>
    </row>
    <row r="338" customHeight="1" spans="1:6">
      <c r="A338" s="6">
        <v>337</v>
      </c>
      <c r="B338" s="8" t="s">
        <v>1111</v>
      </c>
      <c r="C338" s="8" t="s">
        <v>1112</v>
      </c>
      <c r="D338" s="8" t="s">
        <v>766</v>
      </c>
      <c r="E338" s="8" t="s">
        <v>810</v>
      </c>
      <c r="F338" s="8" t="s">
        <v>1113</v>
      </c>
    </row>
    <row r="339" customHeight="1" spans="1:6">
      <c r="A339" s="6">
        <v>338</v>
      </c>
      <c r="B339" s="8" t="s">
        <v>1114</v>
      </c>
      <c r="C339" s="8" t="s">
        <v>1115</v>
      </c>
      <c r="D339" s="8" t="s">
        <v>960</v>
      </c>
      <c r="E339" s="8" t="s">
        <v>28</v>
      </c>
      <c r="F339" s="8" t="s">
        <v>1116</v>
      </c>
    </row>
    <row r="340" customHeight="1" spans="1:6">
      <c r="A340" s="6">
        <v>339</v>
      </c>
      <c r="B340" s="8" t="s">
        <v>1114</v>
      </c>
      <c r="C340" s="8" t="s">
        <v>1115</v>
      </c>
      <c r="D340" s="8" t="s">
        <v>960</v>
      </c>
      <c r="E340" s="8" t="s">
        <v>28</v>
      </c>
      <c r="F340" s="8" t="s">
        <v>1116</v>
      </c>
    </row>
    <row r="341" customHeight="1" spans="1:6">
      <c r="A341" s="6">
        <v>340</v>
      </c>
      <c r="B341" s="8" t="s">
        <v>1117</v>
      </c>
      <c r="C341" s="8" t="s">
        <v>1118</v>
      </c>
      <c r="D341" s="8" t="s">
        <v>996</v>
      </c>
      <c r="E341" s="8" t="s">
        <v>43</v>
      </c>
      <c r="F341" s="8" t="s">
        <v>1119</v>
      </c>
    </row>
    <row r="342" customHeight="1" spans="1:6">
      <c r="A342" s="6">
        <v>341</v>
      </c>
      <c r="B342" s="8" t="s">
        <v>1117</v>
      </c>
      <c r="C342" s="8" t="s">
        <v>1118</v>
      </c>
      <c r="D342" s="8" t="s">
        <v>996</v>
      </c>
      <c r="E342" s="8" t="s">
        <v>43</v>
      </c>
      <c r="F342" s="8" t="s">
        <v>1119</v>
      </c>
    </row>
    <row r="343" customHeight="1" spans="1:6">
      <c r="A343" s="6">
        <v>342</v>
      </c>
      <c r="B343" s="8" t="s">
        <v>1120</v>
      </c>
      <c r="C343" s="8" t="s">
        <v>1121</v>
      </c>
      <c r="D343" s="8" t="s">
        <v>1122</v>
      </c>
      <c r="E343" s="8" t="s">
        <v>1123</v>
      </c>
      <c r="F343" s="8" t="s">
        <v>1124</v>
      </c>
    </row>
    <row r="344" customHeight="1" spans="1:6">
      <c r="A344" s="6">
        <v>343</v>
      </c>
      <c r="B344" s="8" t="s">
        <v>1120</v>
      </c>
      <c r="C344" s="8" t="s">
        <v>1121</v>
      </c>
      <c r="D344" s="8" t="s">
        <v>1122</v>
      </c>
      <c r="E344" s="8" t="s">
        <v>1123</v>
      </c>
      <c r="F344" s="8" t="s">
        <v>1124</v>
      </c>
    </row>
    <row r="345" customHeight="1" spans="1:6">
      <c r="A345" s="6">
        <v>344</v>
      </c>
      <c r="B345" s="8" t="s">
        <v>1125</v>
      </c>
      <c r="C345" s="8" t="s">
        <v>1126</v>
      </c>
      <c r="D345" s="8" t="s">
        <v>1127</v>
      </c>
      <c r="E345" s="8" t="s">
        <v>18</v>
      </c>
      <c r="F345" s="8" t="s">
        <v>1128</v>
      </c>
    </row>
    <row r="346" customHeight="1" spans="1:6">
      <c r="A346" s="6">
        <v>345</v>
      </c>
      <c r="B346" s="8" t="s">
        <v>1125</v>
      </c>
      <c r="C346" s="8" t="s">
        <v>1126</v>
      </c>
      <c r="D346" s="8" t="s">
        <v>1127</v>
      </c>
      <c r="E346" s="8" t="s">
        <v>18</v>
      </c>
      <c r="F346" s="8" t="s">
        <v>1128</v>
      </c>
    </row>
    <row r="347" customHeight="1" spans="1:6">
      <c r="A347" s="6">
        <v>346</v>
      </c>
      <c r="B347" s="8" t="s">
        <v>1129</v>
      </c>
      <c r="C347" s="8" t="s">
        <v>1130</v>
      </c>
      <c r="D347" s="8" t="s">
        <v>1131</v>
      </c>
      <c r="E347" s="8" t="s">
        <v>415</v>
      </c>
      <c r="F347" s="8" t="s">
        <v>1132</v>
      </c>
    </row>
    <row r="348" customHeight="1" spans="1:6">
      <c r="A348" s="6">
        <v>347</v>
      </c>
      <c r="B348" s="8" t="s">
        <v>1129</v>
      </c>
      <c r="C348" s="8" t="s">
        <v>1130</v>
      </c>
      <c r="D348" s="8" t="s">
        <v>1131</v>
      </c>
      <c r="E348" s="8" t="s">
        <v>415</v>
      </c>
      <c r="F348" s="8" t="s">
        <v>1132</v>
      </c>
    </row>
    <row r="349" customHeight="1" spans="1:6">
      <c r="A349" s="6">
        <v>348</v>
      </c>
      <c r="B349" s="8" t="s">
        <v>1133</v>
      </c>
      <c r="C349" s="8" t="s">
        <v>1134</v>
      </c>
      <c r="D349" s="8" t="s">
        <v>1135</v>
      </c>
      <c r="E349" s="8" t="s">
        <v>43</v>
      </c>
      <c r="F349" s="8" t="s">
        <v>1136</v>
      </c>
    </row>
    <row r="350" customHeight="1" spans="1:6">
      <c r="A350" s="6">
        <v>349</v>
      </c>
      <c r="B350" s="8" t="s">
        <v>1133</v>
      </c>
      <c r="C350" s="8" t="s">
        <v>1134</v>
      </c>
      <c r="D350" s="8" t="s">
        <v>1135</v>
      </c>
      <c r="E350" s="8" t="s">
        <v>43</v>
      </c>
      <c r="F350" s="8" t="s">
        <v>1136</v>
      </c>
    </row>
    <row r="351" customHeight="1" spans="1:6">
      <c r="A351" s="6">
        <v>350</v>
      </c>
      <c r="B351" s="8" t="s">
        <v>1137</v>
      </c>
      <c r="C351" s="8" t="s">
        <v>1138</v>
      </c>
      <c r="D351" s="8" t="s">
        <v>1139</v>
      </c>
      <c r="E351" s="8" t="s">
        <v>1140</v>
      </c>
      <c r="F351" s="8" t="s">
        <v>1141</v>
      </c>
    </row>
    <row r="352" customHeight="1" spans="1:6">
      <c r="A352" s="6">
        <v>351</v>
      </c>
      <c r="B352" s="8" t="s">
        <v>1137</v>
      </c>
      <c r="C352" s="8" t="s">
        <v>1138</v>
      </c>
      <c r="D352" s="8" t="s">
        <v>1139</v>
      </c>
      <c r="E352" s="8" t="s">
        <v>1140</v>
      </c>
      <c r="F352" s="8" t="s">
        <v>1141</v>
      </c>
    </row>
    <row r="353" customHeight="1" spans="1:6">
      <c r="A353" s="6">
        <v>352</v>
      </c>
      <c r="B353" s="8" t="s">
        <v>1142</v>
      </c>
      <c r="C353" s="8" t="s">
        <v>1143</v>
      </c>
      <c r="D353" s="8" t="s">
        <v>1144</v>
      </c>
      <c r="E353" s="8" t="s">
        <v>1145</v>
      </c>
      <c r="F353" s="8" t="s">
        <v>1146</v>
      </c>
    </row>
    <row r="354" customHeight="1" spans="1:6">
      <c r="A354" s="6">
        <v>353</v>
      </c>
      <c r="B354" s="8" t="s">
        <v>1142</v>
      </c>
      <c r="C354" s="8" t="s">
        <v>1143</v>
      </c>
      <c r="D354" s="8" t="s">
        <v>1144</v>
      </c>
      <c r="E354" s="8" t="s">
        <v>1145</v>
      </c>
      <c r="F354" s="8" t="s">
        <v>1146</v>
      </c>
    </row>
    <row r="355" customHeight="1" spans="1:6">
      <c r="A355" s="6">
        <v>354</v>
      </c>
      <c r="B355" s="8" t="s">
        <v>1147</v>
      </c>
      <c r="C355" s="8" t="s">
        <v>1148</v>
      </c>
      <c r="D355" s="8" t="s">
        <v>1144</v>
      </c>
      <c r="E355" s="8" t="s">
        <v>1145</v>
      </c>
      <c r="F355" s="8" t="s">
        <v>1149</v>
      </c>
    </row>
    <row r="356" customHeight="1" spans="1:6">
      <c r="A356" s="6">
        <v>355</v>
      </c>
      <c r="B356" s="8" t="s">
        <v>1147</v>
      </c>
      <c r="C356" s="8" t="s">
        <v>1148</v>
      </c>
      <c r="D356" s="8" t="s">
        <v>1144</v>
      </c>
      <c r="E356" s="8" t="s">
        <v>1145</v>
      </c>
      <c r="F356" s="8" t="s">
        <v>1149</v>
      </c>
    </row>
    <row r="357" customHeight="1" spans="1:6">
      <c r="A357" s="6">
        <v>356</v>
      </c>
      <c r="B357" s="8" t="s">
        <v>1150</v>
      </c>
      <c r="C357" s="8" t="s">
        <v>1151</v>
      </c>
      <c r="D357" s="8" t="s">
        <v>766</v>
      </c>
      <c r="E357" s="8" t="s">
        <v>1145</v>
      </c>
      <c r="F357" s="8" t="s">
        <v>1152</v>
      </c>
    </row>
    <row r="358" customHeight="1" spans="1:6">
      <c r="A358" s="6">
        <v>357</v>
      </c>
      <c r="B358" s="8" t="s">
        <v>1150</v>
      </c>
      <c r="C358" s="8" t="s">
        <v>1151</v>
      </c>
      <c r="D358" s="8" t="s">
        <v>766</v>
      </c>
      <c r="E358" s="8" t="s">
        <v>1145</v>
      </c>
      <c r="F358" s="8" t="s">
        <v>1152</v>
      </c>
    </row>
    <row r="359" customHeight="1" spans="1:6">
      <c r="A359" s="6">
        <v>358</v>
      </c>
      <c r="B359" s="8" t="s">
        <v>1153</v>
      </c>
      <c r="C359" s="8" t="s">
        <v>1154</v>
      </c>
      <c r="D359" s="8" t="s">
        <v>1155</v>
      </c>
      <c r="E359" s="8" t="s">
        <v>58</v>
      </c>
      <c r="F359" s="8" t="s">
        <v>1156</v>
      </c>
    </row>
    <row r="360" customHeight="1" spans="1:6">
      <c r="A360" s="6">
        <v>359</v>
      </c>
      <c r="B360" s="8" t="s">
        <v>1153</v>
      </c>
      <c r="C360" s="8" t="s">
        <v>1154</v>
      </c>
      <c r="D360" s="8" t="s">
        <v>1155</v>
      </c>
      <c r="E360" s="8" t="s">
        <v>58</v>
      </c>
      <c r="F360" s="8" t="s">
        <v>1156</v>
      </c>
    </row>
    <row r="361" customHeight="1" spans="1:6">
      <c r="A361" s="6">
        <v>360</v>
      </c>
      <c r="B361" s="8" t="s">
        <v>1157</v>
      </c>
      <c r="C361" s="8" t="s">
        <v>1158</v>
      </c>
      <c r="D361" s="8" t="s">
        <v>1159</v>
      </c>
      <c r="E361" s="8" t="s">
        <v>58</v>
      </c>
      <c r="F361" s="8" t="s">
        <v>1160</v>
      </c>
    </row>
    <row r="362" customHeight="1" spans="1:6">
      <c r="A362" s="6">
        <v>361</v>
      </c>
      <c r="B362" s="8" t="s">
        <v>1157</v>
      </c>
      <c r="C362" s="8" t="s">
        <v>1158</v>
      </c>
      <c r="D362" s="8" t="s">
        <v>1159</v>
      </c>
      <c r="E362" s="8" t="s">
        <v>58</v>
      </c>
      <c r="F362" s="8" t="s">
        <v>1160</v>
      </c>
    </row>
    <row r="363" customHeight="1" spans="1:6">
      <c r="A363" s="6">
        <v>362</v>
      </c>
      <c r="B363" s="7" t="str">
        <f>"978-7-5519-0659-3"</f>
        <v>978-7-5519-0659-3</v>
      </c>
      <c r="C363" s="7" t="str">
        <f>"红色基因．忠诚篇"</f>
        <v>红色基因．忠诚篇</v>
      </c>
      <c r="D363" s="7" t="str">
        <f>"蒋海升主编；张家豪， 李元勋编著"</f>
        <v>蒋海升主编；张家豪， 李元勋编著</v>
      </c>
      <c r="E363" s="7" t="str">
        <f t="shared" ref="E363:E376" si="50">"泰山出版社"</f>
        <v>泰山出版社</v>
      </c>
      <c r="F363" s="7" t="str">
        <f>"D263/100/1"</f>
        <v>D263/100/1</v>
      </c>
    </row>
    <row r="364" customHeight="1" spans="1:6">
      <c r="A364" s="6">
        <v>363</v>
      </c>
      <c r="B364" s="7" t="str">
        <f>"978-7-5519-0659-3"</f>
        <v>978-7-5519-0659-3</v>
      </c>
      <c r="C364" s="7" t="str">
        <f>"红色基因．忠诚篇"</f>
        <v>红色基因．忠诚篇</v>
      </c>
      <c r="D364" s="7" t="str">
        <f>"蒋海升主编；张家豪， 李元勋编著"</f>
        <v>蒋海升主编；张家豪， 李元勋编著</v>
      </c>
      <c r="E364" s="7" t="str">
        <f t="shared" si="50"/>
        <v>泰山出版社</v>
      </c>
      <c r="F364" s="7" t="str">
        <f>"D263/100/1"</f>
        <v>D263/100/1</v>
      </c>
    </row>
    <row r="365" customHeight="1" spans="1:6">
      <c r="A365" s="6">
        <v>364</v>
      </c>
      <c r="B365" s="7" t="str">
        <f t="shared" ref="B365:B367" si="51">"978-7-5519-0655-5"</f>
        <v>978-7-5519-0655-5</v>
      </c>
      <c r="C365" s="7" t="str">
        <f t="shared" ref="C365:C367" si="52">"红色基因．奋斗篇"</f>
        <v>红色基因．奋斗篇</v>
      </c>
      <c r="D365" s="7" t="str">
        <f t="shared" ref="D365:D367" si="53">"蒋海升主编；徐杰， 宫春辉编著"</f>
        <v>蒋海升主编；徐杰， 宫春辉编著</v>
      </c>
      <c r="E365" s="7" t="str">
        <f t="shared" si="50"/>
        <v>泰山出版社</v>
      </c>
      <c r="F365" s="7" t="str">
        <f t="shared" ref="F365:F367" si="54">"D263/100/2"</f>
        <v>D263/100/2</v>
      </c>
    </row>
    <row r="366" customHeight="1" spans="1:6">
      <c r="A366" s="6">
        <v>365</v>
      </c>
      <c r="B366" s="7" t="str">
        <f t="shared" si="51"/>
        <v>978-7-5519-0655-5</v>
      </c>
      <c r="C366" s="7" t="str">
        <f t="shared" si="52"/>
        <v>红色基因．奋斗篇</v>
      </c>
      <c r="D366" s="7" t="str">
        <f t="shared" si="53"/>
        <v>蒋海升主编；徐杰， 宫春辉编著</v>
      </c>
      <c r="E366" s="7" t="str">
        <f t="shared" si="50"/>
        <v>泰山出版社</v>
      </c>
      <c r="F366" s="7" t="str">
        <f t="shared" si="54"/>
        <v>D263/100/2</v>
      </c>
    </row>
    <row r="367" customHeight="1" spans="1:6">
      <c r="A367" s="6">
        <v>366</v>
      </c>
      <c r="B367" s="7" t="str">
        <f t="shared" si="51"/>
        <v>978-7-5519-0655-5</v>
      </c>
      <c r="C367" s="7" t="str">
        <f t="shared" si="52"/>
        <v>红色基因．奋斗篇</v>
      </c>
      <c r="D367" s="7" t="str">
        <f t="shared" si="53"/>
        <v>蒋海升主编；徐杰， 宫春辉编著</v>
      </c>
      <c r="E367" s="7" t="str">
        <f t="shared" si="50"/>
        <v>泰山出版社</v>
      </c>
      <c r="F367" s="7" t="str">
        <f t="shared" si="54"/>
        <v>D263/100/2</v>
      </c>
    </row>
    <row r="368" customHeight="1" spans="1:6">
      <c r="A368" s="6">
        <v>367</v>
      </c>
      <c r="B368" s="7" t="str">
        <f t="shared" ref="B368:B370" si="55">"978-7-5519-0656-2"</f>
        <v>978-7-5519-0656-2</v>
      </c>
      <c r="C368" s="7" t="str">
        <f t="shared" ref="C368:C370" si="56">"红色基因．为民篇"</f>
        <v>红色基因．为民篇</v>
      </c>
      <c r="D368" s="7" t="str">
        <f t="shared" ref="D368:D370" si="57">"蒋海升主编；宋健， 孟冲编著"</f>
        <v>蒋海升主编；宋健， 孟冲编著</v>
      </c>
      <c r="E368" s="7" t="str">
        <f t="shared" si="50"/>
        <v>泰山出版社</v>
      </c>
      <c r="F368" s="7" t="str">
        <f t="shared" ref="F368:F370" si="58">"D263/100/3"</f>
        <v>D263/100/3</v>
      </c>
    </row>
    <row r="369" customHeight="1" spans="1:6">
      <c r="A369" s="6">
        <v>368</v>
      </c>
      <c r="B369" s="7" t="str">
        <f t="shared" si="55"/>
        <v>978-7-5519-0656-2</v>
      </c>
      <c r="C369" s="7" t="str">
        <f t="shared" si="56"/>
        <v>红色基因．为民篇</v>
      </c>
      <c r="D369" s="7" t="str">
        <f t="shared" si="57"/>
        <v>蒋海升主编；宋健， 孟冲编著</v>
      </c>
      <c r="E369" s="7" t="str">
        <f t="shared" si="50"/>
        <v>泰山出版社</v>
      </c>
      <c r="F369" s="7" t="str">
        <f t="shared" si="58"/>
        <v>D263/100/3</v>
      </c>
    </row>
    <row r="370" customHeight="1" spans="1:6">
      <c r="A370" s="6">
        <v>369</v>
      </c>
      <c r="B370" s="7" t="str">
        <f t="shared" si="55"/>
        <v>978-7-5519-0656-2</v>
      </c>
      <c r="C370" s="7" t="str">
        <f t="shared" si="56"/>
        <v>红色基因．为民篇</v>
      </c>
      <c r="D370" s="7" t="str">
        <f t="shared" si="57"/>
        <v>蒋海升主编；宋健， 孟冲编著</v>
      </c>
      <c r="E370" s="7" t="str">
        <f t="shared" si="50"/>
        <v>泰山出版社</v>
      </c>
      <c r="F370" s="7" t="str">
        <f t="shared" si="58"/>
        <v>D263/100/3</v>
      </c>
    </row>
    <row r="371" customHeight="1" spans="1:6">
      <c r="A371" s="6">
        <v>370</v>
      </c>
      <c r="B371" s="7" t="str">
        <f t="shared" ref="B371:B373" si="59">"978-7-5519-0657-9"</f>
        <v>978-7-5519-0657-9</v>
      </c>
      <c r="C371" s="7" t="str">
        <f t="shared" ref="C371:C373" si="60">"红色基因．信念篇"</f>
        <v>红色基因．信念篇</v>
      </c>
      <c r="D371" s="7" t="str">
        <f t="shared" ref="D371:D373" si="61">"蒋海升主编；毕晓莹， 迟晓静编著"</f>
        <v>蒋海升主编；毕晓莹， 迟晓静编著</v>
      </c>
      <c r="E371" s="7" t="str">
        <f t="shared" si="50"/>
        <v>泰山出版社</v>
      </c>
      <c r="F371" s="7" t="str">
        <f t="shared" ref="F371:F373" si="62">"D263/100/4"</f>
        <v>D263/100/4</v>
      </c>
    </row>
    <row r="372" customHeight="1" spans="1:6">
      <c r="A372" s="6">
        <v>371</v>
      </c>
      <c r="B372" s="7" t="str">
        <f t="shared" si="59"/>
        <v>978-7-5519-0657-9</v>
      </c>
      <c r="C372" s="7" t="str">
        <f t="shared" si="60"/>
        <v>红色基因．信念篇</v>
      </c>
      <c r="D372" s="7" t="str">
        <f t="shared" si="61"/>
        <v>蒋海升主编；毕晓莹， 迟晓静编著</v>
      </c>
      <c r="E372" s="7" t="str">
        <f t="shared" si="50"/>
        <v>泰山出版社</v>
      </c>
      <c r="F372" s="7" t="str">
        <f t="shared" si="62"/>
        <v>D263/100/4</v>
      </c>
    </row>
    <row r="373" customHeight="1" spans="1:6">
      <c r="A373" s="6">
        <v>372</v>
      </c>
      <c r="B373" s="7" t="str">
        <f t="shared" si="59"/>
        <v>978-7-5519-0657-9</v>
      </c>
      <c r="C373" s="7" t="str">
        <f t="shared" si="60"/>
        <v>红色基因．信念篇</v>
      </c>
      <c r="D373" s="7" t="str">
        <f t="shared" si="61"/>
        <v>蒋海升主编；毕晓莹， 迟晓静编著</v>
      </c>
      <c r="E373" s="7" t="str">
        <f t="shared" si="50"/>
        <v>泰山出版社</v>
      </c>
      <c r="F373" s="7" t="str">
        <f t="shared" si="62"/>
        <v>D263/100/4</v>
      </c>
    </row>
    <row r="374" customHeight="1" spans="1:6">
      <c r="A374" s="6">
        <v>373</v>
      </c>
      <c r="B374" s="7" t="str">
        <f t="shared" ref="B374:B376" si="63">"978-7-5519-0658-6"</f>
        <v>978-7-5519-0658-6</v>
      </c>
      <c r="C374" s="7" t="str">
        <f t="shared" ref="C374:C376" si="64">"红色基因．意志篇"</f>
        <v>红色基因．意志篇</v>
      </c>
      <c r="D374" s="7" t="str">
        <f t="shared" ref="D374:D376" si="65">"蒋海升主编；陈平， 刘桂华， 翟真编著"</f>
        <v>蒋海升主编；陈平， 刘桂华， 翟真编著</v>
      </c>
      <c r="E374" s="7" t="str">
        <f t="shared" si="50"/>
        <v>泰山出版社</v>
      </c>
      <c r="F374" s="7" t="str">
        <f t="shared" ref="F374:F376" si="66">"D263/100/5"</f>
        <v>D263/100/5</v>
      </c>
    </row>
    <row r="375" customHeight="1" spans="1:6">
      <c r="A375" s="6">
        <v>374</v>
      </c>
      <c r="B375" s="7" t="str">
        <f t="shared" si="63"/>
        <v>978-7-5519-0658-6</v>
      </c>
      <c r="C375" s="7" t="str">
        <f t="shared" si="64"/>
        <v>红色基因．意志篇</v>
      </c>
      <c r="D375" s="7" t="str">
        <f t="shared" si="65"/>
        <v>蒋海升主编；陈平， 刘桂华， 翟真编著</v>
      </c>
      <c r="E375" s="7" t="str">
        <f t="shared" si="50"/>
        <v>泰山出版社</v>
      </c>
      <c r="F375" s="7" t="str">
        <f t="shared" si="66"/>
        <v>D263/100/5</v>
      </c>
    </row>
    <row r="376" customHeight="1" spans="1:6">
      <c r="A376" s="6">
        <v>375</v>
      </c>
      <c r="B376" s="7" t="str">
        <f t="shared" si="63"/>
        <v>978-7-5519-0658-6</v>
      </c>
      <c r="C376" s="7" t="str">
        <f t="shared" si="64"/>
        <v>红色基因．意志篇</v>
      </c>
      <c r="D376" s="7" t="str">
        <f t="shared" si="65"/>
        <v>蒋海升主编；陈平， 刘桂华， 翟真编著</v>
      </c>
      <c r="E376" s="7" t="str">
        <f t="shared" si="50"/>
        <v>泰山出版社</v>
      </c>
      <c r="F376" s="7" t="str">
        <f t="shared" si="66"/>
        <v>D263/100/5</v>
      </c>
    </row>
    <row r="377" customHeight="1" spans="1:6">
      <c r="A377" s="6">
        <v>376</v>
      </c>
      <c r="B377" s="7" t="str">
        <f t="shared" ref="B377:B379" si="67">"978-7-5196-0879-8"</f>
        <v>978-7-5196-0879-8</v>
      </c>
      <c r="C377" s="7" t="str">
        <f t="shared" ref="C377:C379" si="68">"黄文秀的故事"</f>
        <v>黄文秀的故事</v>
      </c>
      <c r="D377" s="7" t="str">
        <f t="shared" ref="D377:D379" si="69">"中共百色市委宣传部， 百色市文学艺术界联合会编"</f>
        <v>中共百色市委宣传部， 百色市文学艺术界联合会编</v>
      </c>
      <c r="E377" s="7" t="str">
        <f t="shared" ref="E377:E379" si="70">"经济日报出版社"</f>
        <v>经济日报出版社</v>
      </c>
      <c r="F377" s="7" t="str">
        <f t="shared" ref="F377:F379" si="71">"D263/101"</f>
        <v>D263/101</v>
      </c>
    </row>
    <row r="378" customHeight="1" spans="1:6">
      <c r="A378" s="6">
        <v>377</v>
      </c>
      <c r="B378" s="7" t="str">
        <f t="shared" si="67"/>
        <v>978-7-5196-0879-8</v>
      </c>
      <c r="C378" s="7" t="str">
        <f t="shared" si="68"/>
        <v>黄文秀的故事</v>
      </c>
      <c r="D378" s="7" t="str">
        <f t="shared" si="69"/>
        <v>中共百色市委宣传部， 百色市文学艺术界联合会编</v>
      </c>
      <c r="E378" s="7" t="str">
        <f t="shared" si="70"/>
        <v>经济日报出版社</v>
      </c>
      <c r="F378" s="7" t="str">
        <f t="shared" si="71"/>
        <v>D263/101</v>
      </c>
    </row>
    <row r="379" customHeight="1" spans="1:6">
      <c r="A379" s="6">
        <v>378</v>
      </c>
      <c r="B379" s="7" t="str">
        <f t="shared" si="67"/>
        <v>978-7-5196-0879-8</v>
      </c>
      <c r="C379" s="7" t="str">
        <f t="shared" si="68"/>
        <v>黄文秀的故事</v>
      </c>
      <c r="D379" s="7" t="str">
        <f t="shared" si="69"/>
        <v>中共百色市委宣传部， 百色市文学艺术界联合会编</v>
      </c>
      <c r="E379" s="7" t="str">
        <f t="shared" si="70"/>
        <v>经济日报出版社</v>
      </c>
      <c r="F379" s="7" t="str">
        <f t="shared" si="71"/>
        <v>D263/101</v>
      </c>
    </row>
    <row r="380" customHeight="1" spans="1:6">
      <c r="A380" s="6">
        <v>379</v>
      </c>
      <c r="B380" s="8" t="s">
        <v>1161</v>
      </c>
      <c r="C380" s="8" t="s">
        <v>1162</v>
      </c>
      <c r="D380" s="8" t="s">
        <v>1163</v>
      </c>
      <c r="E380" s="8" t="s">
        <v>1164</v>
      </c>
      <c r="F380" s="8" t="s">
        <v>1165</v>
      </c>
    </row>
    <row r="381" customHeight="1" spans="1:6">
      <c r="A381" s="6">
        <v>380</v>
      </c>
      <c r="B381" s="8" t="s">
        <v>1161</v>
      </c>
      <c r="C381" s="8" t="s">
        <v>1162</v>
      </c>
      <c r="D381" s="8" t="s">
        <v>1163</v>
      </c>
      <c r="E381" s="8" t="s">
        <v>1164</v>
      </c>
      <c r="F381" s="8" t="s">
        <v>1165</v>
      </c>
    </row>
    <row r="382" customHeight="1" spans="1:6">
      <c r="A382" s="6">
        <v>381</v>
      </c>
      <c r="B382" s="8" t="s">
        <v>1166</v>
      </c>
      <c r="C382" s="8" t="s">
        <v>1167</v>
      </c>
      <c r="D382" s="8" t="s">
        <v>833</v>
      </c>
      <c r="E382" s="8" t="s">
        <v>58</v>
      </c>
      <c r="F382" s="8" t="s">
        <v>1168</v>
      </c>
    </row>
    <row r="383" customHeight="1" spans="1:6">
      <c r="A383" s="6">
        <v>382</v>
      </c>
      <c r="B383" s="8" t="s">
        <v>1166</v>
      </c>
      <c r="C383" s="8" t="s">
        <v>1167</v>
      </c>
      <c r="D383" s="8" t="s">
        <v>833</v>
      </c>
      <c r="E383" s="8" t="s">
        <v>58</v>
      </c>
      <c r="F383" s="8" t="s">
        <v>1168</v>
      </c>
    </row>
    <row r="384" customHeight="1" spans="1:6">
      <c r="A384" s="6">
        <v>383</v>
      </c>
      <c r="B384" s="8" t="s">
        <v>1169</v>
      </c>
      <c r="C384" s="8" t="s">
        <v>1170</v>
      </c>
      <c r="D384" s="8" t="s">
        <v>1171</v>
      </c>
      <c r="E384" s="8" t="s">
        <v>1172</v>
      </c>
      <c r="F384" s="8" t="s">
        <v>1173</v>
      </c>
    </row>
    <row r="385" customHeight="1" spans="1:6">
      <c r="A385" s="6">
        <v>384</v>
      </c>
      <c r="B385" s="8" t="s">
        <v>1169</v>
      </c>
      <c r="C385" s="8" t="s">
        <v>1170</v>
      </c>
      <c r="D385" s="8" t="s">
        <v>1171</v>
      </c>
      <c r="E385" s="8" t="s">
        <v>1172</v>
      </c>
      <c r="F385" s="8" t="s">
        <v>1173</v>
      </c>
    </row>
    <row r="386" customHeight="1" spans="1:6">
      <c r="A386" s="6">
        <v>385</v>
      </c>
      <c r="B386" s="8" t="s">
        <v>1174</v>
      </c>
      <c r="C386" s="8" t="s">
        <v>1175</v>
      </c>
      <c r="D386" s="8" t="s">
        <v>1176</v>
      </c>
      <c r="E386" s="8" t="s">
        <v>340</v>
      </c>
      <c r="F386" s="8" t="s">
        <v>1177</v>
      </c>
    </row>
    <row r="387" customHeight="1" spans="1:6">
      <c r="A387" s="6">
        <v>386</v>
      </c>
      <c r="B387" s="8" t="s">
        <v>1174</v>
      </c>
      <c r="C387" s="8" t="s">
        <v>1175</v>
      </c>
      <c r="D387" s="8" t="s">
        <v>1176</v>
      </c>
      <c r="E387" s="8" t="s">
        <v>340</v>
      </c>
      <c r="F387" s="8" t="s">
        <v>1177</v>
      </c>
    </row>
    <row r="388" customHeight="1" spans="1:6">
      <c r="A388" s="6">
        <v>387</v>
      </c>
      <c r="B388" s="8" t="s">
        <v>1178</v>
      </c>
      <c r="C388" s="8" t="s">
        <v>1179</v>
      </c>
      <c r="D388" s="8" t="s">
        <v>1180</v>
      </c>
      <c r="E388" s="8" t="s">
        <v>58</v>
      </c>
      <c r="F388" s="8" t="s">
        <v>1181</v>
      </c>
    </row>
    <row r="389" customHeight="1" spans="1:6">
      <c r="A389" s="6">
        <v>388</v>
      </c>
      <c r="B389" s="8" t="s">
        <v>1178</v>
      </c>
      <c r="C389" s="8" t="s">
        <v>1179</v>
      </c>
      <c r="D389" s="8" t="s">
        <v>1180</v>
      </c>
      <c r="E389" s="8" t="s">
        <v>58</v>
      </c>
      <c r="F389" s="8" t="s">
        <v>1181</v>
      </c>
    </row>
    <row r="390" customHeight="1" spans="1:6">
      <c r="A390" s="6">
        <v>389</v>
      </c>
      <c r="B390" s="7" t="str">
        <f t="shared" ref="B390:B392" si="72">"978-7-01-023708-4"</f>
        <v>978-7-01-023708-4</v>
      </c>
      <c r="C390" s="7" t="str">
        <f t="shared" ref="C390:C392" si="73">"“四史”十八讲"</f>
        <v>“四史”十八讲</v>
      </c>
      <c r="D390" s="7" t="str">
        <f t="shared" ref="D390:D392" si="74">"曹普主编"</f>
        <v>曹普主编</v>
      </c>
      <c r="E390" s="7" t="str">
        <f t="shared" ref="E390:E392" si="75">"人民出版社"</f>
        <v>人民出版社</v>
      </c>
      <c r="F390" s="7" t="str">
        <f t="shared" ref="F390:F392" si="76">"D264/2"</f>
        <v>D264/2</v>
      </c>
    </row>
    <row r="391" customHeight="1" spans="1:6">
      <c r="A391" s="6">
        <v>390</v>
      </c>
      <c r="B391" s="7" t="str">
        <f t="shared" si="72"/>
        <v>978-7-01-023708-4</v>
      </c>
      <c r="C391" s="7" t="str">
        <f t="shared" si="73"/>
        <v>“四史”十八讲</v>
      </c>
      <c r="D391" s="7" t="str">
        <f t="shared" si="74"/>
        <v>曹普主编</v>
      </c>
      <c r="E391" s="7" t="str">
        <f t="shared" si="75"/>
        <v>人民出版社</v>
      </c>
      <c r="F391" s="7" t="str">
        <f t="shared" si="76"/>
        <v>D264/2</v>
      </c>
    </row>
    <row r="392" customHeight="1" spans="1:6">
      <c r="A392" s="6">
        <v>391</v>
      </c>
      <c r="B392" s="7" t="str">
        <f t="shared" si="72"/>
        <v>978-7-01-023708-4</v>
      </c>
      <c r="C392" s="7" t="str">
        <f t="shared" si="73"/>
        <v>“四史”十八讲</v>
      </c>
      <c r="D392" s="7" t="str">
        <f t="shared" si="74"/>
        <v>曹普主编</v>
      </c>
      <c r="E392" s="7" t="str">
        <f t="shared" si="75"/>
        <v>人民出版社</v>
      </c>
      <c r="F392" s="7" t="str">
        <f t="shared" si="76"/>
        <v>D264/2</v>
      </c>
    </row>
    <row r="393" customHeight="1" spans="1:6">
      <c r="A393" s="6">
        <v>392</v>
      </c>
      <c r="B393" s="8" t="s">
        <v>1182</v>
      </c>
      <c r="C393" s="8" t="s">
        <v>1183</v>
      </c>
      <c r="D393" s="8" t="s">
        <v>1184</v>
      </c>
      <c r="E393" s="8" t="s">
        <v>589</v>
      </c>
      <c r="F393" s="8" t="s">
        <v>1185</v>
      </c>
    </row>
    <row r="394" customHeight="1" spans="1:6">
      <c r="A394" s="6">
        <v>393</v>
      </c>
      <c r="B394" s="8" t="s">
        <v>1182</v>
      </c>
      <c r="C394" s="8" t="s">
        <v>1183</v>
      </c>
      <c r="D394" s="8" t="s">
        <v>1184</v>
      </c>
      <c r="E394" s="8" t="s">
        <v>589</v>
      </c>
      <c r="F394" s="8" t="s">
        <v>1185</v>
      </c>
    </row>
    <row r="395" customHeight="1" spans="1:6">
      <c r="A395" s="6">
        <v>394</v>
      </c>
      <c r="B395" s="8" t="s">
        <v>1186</v>
      </c>
      <c r="C395" s="8" t="s">
        <v>1187</v>
      </c>
      <c r="D395" s="8" t="s">
        <v>1188</v>
      </c>
      <c r="E395" s="8" t="s">
        <v>1189</v>
      </c>
      <c r="F395" s="8" t="s">
        <v>1190</v>
      </c>
    </row>
    <row r="396" customHeight="1" spans="1:6">
      <c r="A396" s="6">
        <v>395</v>
      </c>
      <c r="B396" s="8" t="s">
        <v>1186</v>
      </c>
      <c r="C396" s="8" t="s">
        <v>1187</v>
      </c>
      <c r="D396" s="8" t="s">
        <v>1188</v>
      </c>
      <c r="E396" s="8" t="s">
        <v>1189</v>
      </c>
      <c r="F396" s="8" t="s">
        <v>1190</v>
      </c>
    </row>
    <row r="397" customHeight="1" spans="1:6">
      <c r="A397" s="6">
        <v>396</v>
      </c>
      <c r="B397" s="8" t="s">
        <v>1191</v>
      </c>
      <c r="C397" s="8" t="s">
        <v>1192</v>
      </c>
      <c r="D397" s="8" t="s">
        <v>1193</v>
      </c>
      <c r="E397" s="8" t="s">
        <v>28</v>
      </c>
      <c r="F397" s="8" t="s">
        <v>1194</v>
      </c>
    </row>
    <row r="398" customHeight="1" spans="1:6">
      <c r="A398" s="6">
        <v>397</v>
      </c>
      <c r="B398" s="8" t="s">
        <v>1191</v>
      </c>
      <c r="C398" s="8" t="s">
        <v>1192</v>
      </c>
      <c r="D398" s="8" t="s">
        <v>1193</v>
      </c>
      <c r="E398" s="8" t="s">
        <v>28</v>
      </c>
      <c r="F398" s="8" t="s">
        <v>1194</v>
      </c>
    </row>
    <row r="399" customHeight="1" spans="1:6">
      <c r="A399" s="6">
        <v>398</v>
      </c>
      <c r="B399" s="8" t="s">
        <v>1195</v>
      </c>
      <c r="C399" s="8" t="s">
        <v>1196</v>
      </c>
      <c r="D399" s="8" t="s">
        <v>1197</v>
      </c>
      <c r="E399" s="8" t="s">
        <v>1198</v>
      </c>
      <c r="F399" s="8" t="s">
        <v>1199</v>
      </c>
    </row>
    <row r="400" customHeight="1" spans="1:6">
      <c r="A400" s="6">
        <v>399</v>
      </c>
      <c r="B400" s="8" t="s">
        <v>1195</v>
      </c>
      <c r="C400" s="8" t="s">
        <v>1196</v>
      </c>
      <c r="D400" s="8" t="s">
        <v>1197</v>
      </c>
      <c r="E400" s="8" t="s">
        <v>1198</v>
      </c>
      <c r="F400" s="8" t="s">
        <v>1199</v>
      </c>
    </row>
    <row r="401" customHeight="1" spans="1:6">
      <c r="A401" s="6">
        <v>400</v>
      </c>
      <c r="B401" s="8" t="s">
        <v>1200</v>
      </c>
      <c r="C401" s="8" t="s">
        <v>1201</v>
      </c>
      <c r="D401" s="8" t="s">
        <v>1202</v>
      </c>
      <c r="E401" s="8" t="s">
        <v>1203</v>
      </c>
      <c r="F401" s="8" t="s">
        <v>1204</v>
      </c>
    </row>
    <row r="402" customHeight="1" spans="1:6">
      <c r="A402" s="6">
        <v>401</v>
      </c>
      <c r="B402" s="8" t="s">
        <v>1200</v>
      </c>
      <c r="C402" s="8" t="s">
        <v>1201</v>
      </c>
      <c r="D402" s="8" t="s">
        <v>1202</v>
      </c>
      <c r="E402" s="8" t="s">
        <v>1203</v>
      </c>
      <c r="F402" s="8" t="s">
        <v>1204</v>
      </c>
    </row>
    <row r="403" customHeight="1" spans="1:6">
      <c r="A403" s="6">
        <v>402</v>
      </c>
      <c r="B403" s="8" t="s">
        <v>1205</v>
      </c>
      <c r="C403" s="8" t="s">
        <v>1206</v>
      </c>
      <c r="D403" s="8" t="s">
        <v>1207</v>
      </c>
      <c r="E403" s="8" t="s">
        <v>18</v>
      </c>
      <c r="F403" s="8" t="s">
        <v>1208</v>
      </c>
    </row>
    <row r="404" customHeight="1" spans="1:6">
      <c r="A404" s="6">
        <v>403</v>
      </c>
      <c r="B404" s="8" t="s">
        <v>1205</v>
      </c>
      <c r="C404" s="8" t="s">
        <v>1206</v>
      </c>
      <c r="D404" s="8" t="s">
        <v>1207</v>
      </c>
      <c r="E404" s="8" t="s">
        <v>18</v>
      </c>
      <c r="F404" s="8" t="s">
        <v>1208</v>
      </c>
    </row>
    <row r="405" customHeight="1" spans="1:6">
      <c r="A405" s="6">
        <v>404</v>
      </c>
      <c r="B405" s="7" t="str">
        <f>"978-7-5690-4787-5"</f>
        <v>978-7-5690-4787-5</v>
      </c>
      <c r="C405" s="7" t="str">
        <f>"高校基层党的建设理论研究与实践探索"</f>
        <v>高校基层党的建设理论研究与实践探索</v>
      </c>
      <c r="D405" s="7" t="str">
        <f>"主编李红， 羊绍武"</f>
        <v>主编李红， 羊绍武</v>
      </c>
      <c r="E405" s="7" t="str">
        <f>"四川大学出版社"</f>
        <v>四川大学出版社</v>
      </c>
      <c r="F405" s="7" t="str">
        <f>"D267.6/47"</f>
        <v>D267.6/47</v>
      </c>
    </row>
    <row r="406" customHeight="1" spans="1:6">
      <c r="A406" s="6">
        <v>405</v>
      </c>
      <c r="B406" s="7" t="str">
        <f>"978-7-5690-4787-5"</f>
        <v>978-7-5690-4787-5</v>
      </c>
      <c r="C406" s="7" t="str">
        <f>"高校基层党的建设理论研究与实践探索"</f>
        <v>高校基层党的建设理论研究与实践探索</v>
      </c>
      <c r="D406" s="7" t="str">
        <f>"主编李红， 羊绍武"</f>
        <v>主编李红， 羊绍武</v>
      </c>
      <c r="E406" s="7" t="str">
        <f>"四川大学出版社"</f>
        <v>四川大学出版社</v>
      </c>
      <c r="F406" s="7" t="str">
        <f>"D267.6/47"</f>
        <v>D267.6/47</v>
      </c>
    </row>
    <row r="407" customHeight="1" spans="1:6">
      <c r="A407" s="6">
        <v>406</v>
      </c>
      <c r="B407" s="8" t="s">
        <v>1209</v>
      </c>
      <c r="C407" s="8" t="s">
        <v>1210</v>
      </c>
      <c r="D407" s="8" t="s">
        <v>1211</v>
      </c>
      <c r="E407" s="8" t="s">
        <v>899</v>
      </c>
      <c r="F407" s="8" t="s">
        <v>1212</v>
      </c>
    </row>
    <row r="408" customHeight="1" spans="1:6">
      <c r="A408" s="6">
        <v>407</v>
      </c>
      <c r="B408" s="8" t="s">
        <v>1209</v>
      </c>
      <c r="C408" s="8" t="s">
        <v>1210</v>
      </c>
      <c r="D408" s="8" t="s">
        <v>1211</v>
      </c>
      <c r="E408" s="8" t="s">
        <v>899</v>
      </c>
      <c r="F408" s="8" t="s">
        <v>1212</v>
      </c>
    </row>
    <row r="409" customHeight="1" spans="1:6">
      <c r="A409" s="6">
        <v>408</v>
      </c>
      <c r="B409" s="8" t="s">
        <v>1213</v>
      </c>
      <c r="C409" s="8" t="s">
        <v>1214</v>
      </c>
      <c r="D409" s="8" t="s">
        <v>1215</v>
      </c>
      <c r="E409" s="8" t="s">
        <v>881</v>
      </c>
      <c r="F409" s="8" t="s">
        <v>1216</v>
      </c>
    </row>
    <row r="410" customHeight="1" spans="1:6">
      <c r="A410" s="6">
        <v>409</v>
      </c>
      <c r="B410" s="8" t="s">
        <v>1213</v>
      </c>
      <c r="C410" s="8" t="s">
        <v>1214</v>
      </c>
      <c r="D410" s="8" t="s">
        <v>1215</v>
      </c>
      <c r="E410" s="8" t="s">
        <v>881</v>
      </c>
      <c r="F410" s="8" t="s">
        <v>1216</v>
      </c>
    </row>
    <row r="411" customHeight="1" spans="1:6">
      <c r="A411" s="6">
        <v>410</v>
      </c>
      <c r="B411" s="8" t="s">
        <v>1217</v>
      </c>
      <c r="C411" s="8" t="s">
        <v>1218</v>
      </c>
      <c r="D411" s="8" t="s">
        <v>1219</v>
      </c>
      <c r="E411" s="8" t="s">
        <v>415</v>
      </c>
      <c r="F411" s="8" t="s">
        <v>1220</v>
      </c>
    </row>
    <row r="412" customHeight="1" spans="1:6">
      <c r="A412" s="6">
        <v>411</v>
      </c>
      <c r="B412" s="8" t="s">
        <v>1217</v>
      </c>
      <c r="C412" s="8" t="s">
        <v>1218</v>
      </c>
      <c r="D412" s="8" t="s">
        <v>1219</v>
      </c>
      <c r="E412" s="8" t="s">
        <v>415</v>
      </c>
      <c r="F412" s="8" t="s">
        <v>1220</v>
      </c>
    </row>
    <row r="413" customHeight="1" spans="1:6">
      <c r="A413" s="6">
        <v>412</v>
      </c>
      <c r="B413" s="8" t="s">
        <v>1221</v>
      </c>
      <c r="C413" s="8" t="s">
        <v>1222</v>
      </c>
      <c r="D413" s="8" t="s">
        <v>1223</v>
      </c>
      <c r="E413" s="8" t="s">
        <v>58</v>
      </c>
      <c r="F413" s="8" t="s">
        <v>1224</v>
      </c>
    </row>
    <row r="414" customHeight="1" spans="1:6">
      <c r="A414" s="6">
        <v>413</v>
      </c>
      <c r="B414" s="8" t="s">
        <v>1221</v>
      </c>
      <c r="C414" s="8" t="s">
        <v>1222</v>
      </c>
      <c r="D414" s="8" t="s">
        <v>1223</v>
      </c>
      <c r="E414" s="8" t="s">
        <v>58</v>
      </c>
      <c r="F414" s="8" t="s">
        <v>1224</v>
      </c>
    </row>
    <row r="415" customHeight="1" spans="1:6">
      <c r="A415" s="6">
        <v>414</v>
      </c>
      <c r="B415" s="8" t="s">
        <v>1225</v>
      </c>
      <c r="C415" s="8" t="s">
        <v>1226</v>
      </c>
      <c r="D415" s="8" t="s">
        <v>1227</v>
      </c>
      <c r="E415" s="8" t="s">
        <v>485</v>
      </c>
      <c r="F415" s="8" t="s">
        <v>1228</v>
      </c>
    </row>
    <row r="416" customHeight="1" spans="1:6">
      <c r="A416" s="6">
        <v>415</v>
      </c>
      <c r="B416" s="8" t="s">
        <v>1225</v>
      </c>
      <c r="C416" s="8" t="s">
        <v>1226</v>
      </c>
      <c r="D416" s="8" t="s">
        <v>1227</v>
      </c>
      <c r="E416" s="8" t="s">
        <v>485</v>
      </c>
      <c r="F416" s="8" t="s">
        <v>1228</v>
      </c>
    </row>
    <row r="417" customHeight="1" spans="1:6">
      <c r="A417" s="6">
        <v>416</v>
      </c>
      <c r="B417" s="8" t="s">
        <v>1229</v>
      </c>
      <c r="C417" s="8" t="s">
        <v>1230</v>
      </c>
      <c r="D417" s="8" t="s">
        <v>1231</v>
      </c>
      <c r="E417" s="8" t="s">
        <v>335</v>
      </c>
      <c r="F417" s="8" t="s">
        <v>1232</v>
      </c>
    </row>
    <row r="418" customHeight="1" spans="1:6">
      <c r="A418" s="6">
        <v>417</v>
      </c>
      <c r="B418" s="8" t="s">
        <v>1229</v>
      </c>
      <c r="C418" s="8" t="s">
        <v>1230</v>
      </c>
      <c r="D418" s="8" t="s">
        <v>1231</v>
      </c>
      <c r="E418" s="8" t="s">
        <v>335</v>
      </c>
      <c r="F418" s="8" t="s">
        <v>1232</v>
      </c>
    </row>
    <row r="419" customHeight="1" spans="1:6">
      <c r="A419" s="6">
        <v>418</v>
      </c>
      <c r="B419" s="8" t="s">
        <v>1233</v>
      </c>
      <c r="C419" s="8" t="s">
        <v>1234</v>
      </c>
      <c r="D419" s="8" t="s">
        <v>1235</v>
      </c>
      <c r="E419" s="8" t="s">
        <v>1236</v>
      </c>
      <c r="F419" s="8" t="s">
        <v>1237</v>
      </c>
    </row>
    <row r="420" customHeight="1" spans="1:6">
      <c r="A420" s="6">
        <v>419</v>
      </c>
      <c r="B420" s="8" t="s">
        <v>1233</v>
      </c>
      <c r="C420" s="8" t="s">
        <v>1234</v>
      </c>
      <c r="D420" s="8" t="s">
        <v>1235</v>
      </c>
      <c r="E420" s="8" t="s">
        <v>1236</v>
      </c>
      <c r="F420" s="8" t="s">
        <v>1237</v>
      </c>
    </row>
    <row r="421" customHeight="1" spans="1:6">
      <c r="A421" s="6">
        <v>420</v>
      </c>
      <c r="B421" s="8" t="s">
        <v>1238</v>
      </c>
      <c r="C421" s="8" t="s">
        <v>1239</v>
      </c>
      <c r="D421" s="8" t="s">
        <v>1207</v>
      </c>
      <c r="E421" s="8" t="s">
        <v>18</v>
      </c>
      <c r="F421" s="8" t="s">
        <v>1240</v>
      </c>
    </row>
    <row r="422" customHeight="1" spans="1:6">
      <c r="A422" s="6">
        <v>421</v>
      </c>
      <c r="B422" s="8" t="s">
        <v>1238</v>
      </c>
      <c r="C422" s="8" t="s">
        <v>1239</v>
      </c>
      <c r="D422" s="8" t="s">
        <v>1207</v>
      </c>
      <c r="E422" s="8" t="s">
        <v>18</v>
      </c>
      <c r="F422" s="8" t="s">
        <v>1240</v>
      </c>
    </row>
    <row r="423" customHeight="1" spans="1:6">
      <c r="A423" s="6">
        <v>422</v>
      </c>
      <c r="B423" s="8" t="s">
        <v>1241</v>
      </c>
      <c r="C423" s="8" t="s">
        <v>1242</v>
      </c>
      <c r="D423" s="8" t="s">
        <v>1243</v>
      </c>
      <c r="E423" s="8" t="s">
        <v>701</v>
      </c>
      <c r="F423" s="8" t="s">
        <v>1244</v>
      </c>
    </row>
    <row r="424" customHeight="1" spans="1:6">
      <c r="A424" s="6">
        <v>423</v>
      </c>
      <c r="B424" s="8" t="s">
        <v>1245</v>
      </c>
      <c r="C424" s="8" t="s">
        <v>1246</v>
      </c>
      <c r="D424" s="8" t="s">
        <v>1247</v>
      </c>
      <c r="E424" s="8" t="s">
        <v>58</v>
      </c>
      <c r="F424" s="8" t="s">
        <v>1248</v>
      </c>
    </row>
    <row r="425" customHeight="1" spans="1:6">
      <c r="A425" s="6">
        <v>424</v>
      </c>
      <c r="B425" s="8" t="s">
        <v>1245</v>
      </c>
      <c r="C425" s="8" t="s">
        <v>1246</v>
      </c>
      <c r="D425" s="8" t="s">
        <v>1247</v>
      </c>
      <c r="E425" s="8" t="s">
        <v>58</v>
      </c>
      <c r="F425" s="8" t="s">
        <v>1248</v>
      </c>
    </row>
    <row r="426" customHeight="1" spans="1:6">
      <c r="A426" s="6">
        <v>425</v>
      </c>
      <c r="B426" s="8" t="s">
        <v>1249</v>
      </c>
      <c r="C426" s="8" t="s">
        <v>1250</v>
      </c>
      <c r="D426" s="8" t="s">
        <v>1251</v>
      </c>
      <c r="E426" s="8" t="s">
        <v>1252</v>
      </c>
      <c r="F426" s="8" t="s">
        <v>1253</v>
      </c>
    </row>
    <row r="427" customHeight="1" spans="1:6">
      <c r="A427" s="6">
        <v>426</v>
      </c>
      <c r="B427" s="8" t="s">
        <v>1249</v>
      </c>
      <c r="C427" s="8" t="s">
        <v>1250</v>
      </c>
      <c r="D427" s="8" t="s">
        <v>1251</v>
      </c>
      <c r="E427" s="8" t="s">
        <v>1252</v>
      </c>
      <c r="F427" s="8" t="s">
        <v>1253</v>
      </c>
    </row>
    <row r="428" customHeight="1" spans="1:6">
      <c r="A428" s="6">
        <v>427</v>
      </c>
      <c r="B428" s="8" t="s">
        <v>1254</v>
      </c>
      <c r="C428" s="8" t="s">
        <v>1255</v>
      </c>
      <c r="D428" s="8" t="s">
        <v>1256</v>
      </c>
      <c r="E428" s="8" t="s">
        <v>881</v>
      </c>
      <c r="F428" s="8" t="s">
        <v>1257</v>
      </c>
    </row>
    <row r="429" customHeight="1" spans="1:6">
      <c r="A429" s="6">
        <v>428</v>
      </c>
      <c r="B429" s="8" t="s">
        <v>1254</v>
      </c>
      <c r="C429" s="8" t="s">
        <v>1255</v>
      </c>
      <c r="D429" s="8" t="s">
        <v>1256</v>
      </c>
      <c r="E429" s="8" t="s">
        <v>881</v>
      </c>
      <c r="F429" s="8" t="s">
        <v>1257</v>
      </c>
    </row>
    <row r="430" customHeight="1" spans="1:6">
      <c r="A430" s="6">
        <v>429</v>
      </c>
      <c r="B430" s="8" t="s">
        <v>1258</v>
      </c>
      <c r="C430" s="8" t="s">
        <v>1259</v>
      </c>
      <c r="D430" s="8" t="s">
        <v>1260</v>
      </c>
      <c r="E430" s="8" t="s">
        <v>43</v>
      </c>
      <c r="F430" s="8" t="s">
        <v>1261</v>
      </c>
    </row>
    <row r="431" customHeight="1" spans="1:6">
      <c r="A431" s="6">
        <v>430</v>
      </c>
      <c r="B431" s="8" t="s">
        <v>1258</v>
      </c>
      <c r="C431" s="8" t="s">
        <v>1259</v>
      </c>
      <c r="D431" s="8" t="s">
        <v>1260</v>
      </c>
      <c r="E431" s="8" t="s">
        <v>43</v>
      </c>
      <c r="F431" s="8" t="s">
        <v>1261</v>
      </c>
    </row>
    <row r="432" customHeight="1" spans="1:6">
      <c r="A432" s="6">
        <v>431</v>
      </c>
      <c r="B432" s="8" t="s">
        <v>1262</v>
      </c>
      <c r="C432" s="8" t="s">
        <v>1263</v>
      </c>
      <c r="D432" s="8" t="s">
        <v>1264</v>
      </c>
      <c r="E432" s="8" t="s">
        <v>589</v>
      </c>
      <c r="F432" s="8" t="s">
        <v>1265</v>
      </c>
    </row>
    <row r="433" customHeight="1" spans="1:6">
      <c r="A433" s="6">
        <v>432</v>
      </c>
      <c r="B433" s="8" t="s">
        <v>1262</v>
      </c>
      <c r="C433" s="8" t="s">
        <v>1263</v>
      </c>
      <c r="D433" s="8" t="s">
        <v>1264</v>
      </c>
      <c r="E433" s="8" t="s">
        <v>589</v>
      </c>
      <c r="F433" s="8" t="s">
        <v>1265</v>
      </c>
    </row>
    <row r="434" customHeight="1" spans="1:6">
      <c r="A434" s="6">
        <v>433</v>
      </c>
      <c r="B434" s="8" t="s">
        <v>1266</v>
      </c>
      <c r="C434" s="8" t="s">
        <v>1267</v>
      </c>
      <c r="D434" s="8" t="s">
        <v>1268</v>
      </c>
      <c r="E434" s="8" t="s">
        <v>8</v>
      </c>
      <c r="F434" s="8" t="s">
        <v>1269</v>
      </c>
    </row>
    <row r="435" customHeight="1" spans="1:6">
      <c r="A435" s="6">
        <v>434</v>
      </c>
      <c r="B435" s="8" t="s">
        <v>1266</v>
      </c>
      <c r="C435" s="8" t="s">
        <v>1267</v>
      </c>
      <c r="D435" s="8" t="s">
        <v>1268</v>
      </c>
      <c r="E435" s="8" t="s">
        <v>8</v>
      </c>
      <c r="F435" s="8" t="s">
        <v>1269</v>
      </c>
    </row>
    <row r="436" customHeight="1" spans="1:6">
      <c r="A436" s="6">
        <v>435</v>
      </c>
      <c r="B436" s="8" t="s">
        <v>1270</v>
      </c>
      <c r="C436" s="8" t="s">
        <v>1271</v>
      </c>
      <c r="D436" s="8" t="s">
        <v>1272</v>
      </c>
      <c r="E436" s="8" t="s">
        <v>58</v>
      </c>
      <c r="F436" s="8" t="s">
        <v>1273</v>
      </c>
    </row>
    <row r="437" customHeight="1" spans="1:6">
      <c r="A437" s="6">
        <v>436</v>
      </c>
      <c r="B437" s="8" t="s">
        <v>1270</v>
      </c>
      <c r="C437" s="8" t="s">
        <v>1271</v>
      </c>
      <c r="D437" s="8" t="s">
        <v>1272</v>
      </c>
      <c r="E437" s="8" t="s">
        <v>58</v>
      </c>
      <c r="F437" s="8" t="s">
        <v>1273</v>
      </c>
    </row>
    <row r="438" customHeight="1" spans="1:6">
      <c r="A438" s="6">
        <v>437</v>
      </c>
      <c r="B438" s="8" t="s">
        <v>1274</v>
      </c>
      <c r="C438" s="8" t="s">
        <v>1275</v>
      </c>
      <c r="D438" s="8" t="s">
        <v>1056</v>
      </c>
      <c r="E438" s="8" t="s">
        <v>1057</v>
      </c>
      <c r="F438" s="8" t="s">
        <v>1276</v>
      </c>
    </row>
    <row r="439" customHeight="1" spans="1:6">
      <c r="A439" s="6">
        <v>438</v>
      </c>
      <c r="B439" s="8" t="s">
        <v>1274</v>
      </c>
      <c r="C439" s="8" t="s">
        <v>1275</v>
      </c>
      <c r="D439" s="8" t="s">
        <v>1056</v>
      </c>
      <c r="E439" s="8" t="s">
        <v>1057</v>
      </c>
      <c r="F439" s="8" t="s">
        <v>1276</v>
      </c>
    </row>
    <row r="440" customHeight="1" spans="1:6">
      <c r="A440" s="6">
        <v>439</v>
      </c>
      <c r="B440" s="8" t="s">
        <v>1277</v>
      </c>
      <c r="C440" s="8" t="s">
        <v>1278</v>
      </c>
      <c r="D440" s="8" t="s">
        <v>1207</v>
      </c>
      <c r="E440" s="8" t="s">
        <v>18</v>
      </c>
      <c r="F440" s="8" t="s">
        <v>1279</v>
      </c>
    </row>
    <row r="441" customHeight="1" spans="1:6">
      <c r="A441" s="6">
        <v>440</v>
      </c>
      <c r="B441" s="8" t="s">
        <v>1277</v>
      </c>
      <c r="C441" s="8" t="s">
        <v>1278</v>
      </c>
      <c r="D441" s="8" t="s">
        <v>1207</v>
      </c>
      <c r="E441" s="8" t="s">
        <v>18</v>
      </c>
      <c r="F441" s="8" t="s">
        <v>1279</v>
      </c>
    </row>
    <row r="442" customHeight="1" spans="1:6">
      <c r="A442" s="6">
        <v>441</v>
      </c>
      <c r="B442" s="8" t="s">
        <v>1280</v>
      </c>
      <c r="C442" s="8" t="s">
        <v>1281</v>
      </c>
      <c r="D442" s="8" t="s">
        <v>1027</v>
      </c>
      <c r="E442" s="8" t="s">
        <v>810</v>
      </c>
      <c r="F442" s="8" t="s">
        <v>1282</v>
      </c>
    </row>
    <row r="443" customHeight="1" spans="1:6">
      <c r="A443" s="6">
        <v>442</v>
      </c>
      <c r="B443" s="8" t="s">
        <v>1280</v>
      </c>
      <c r="C443" s="8" t="s">
        <v>1281</v>
      </c>
      <c r="D443" s="8" t="s">
        <v>1027</v>
      </c>
      <c r="E443" s="8" t="s">
        <v>810</v>
      </c>
      <c r="F443" s="8" t="s">
        <v>1282</v>
      </c>
    </row>
    <row r="444" customHeight="1" spans="1:6">
      <c r="A444" s="6">
        <v>443</v>
      </c>
      <c r="B444" s="8" t="s">
        <v>1283</v>
      </c>
      <c r="C444" s="8" t="s">
        <v>1284</v>
      </c>
      <c r="D444" s="8" t="s">
        <v>1144</v>
      </c>
      <c r="E444" s="8" t="s">
        <v>1145</v>
      </c>
      <c r="F444" s="8" t="s">
        <v>1285</v>
      </c>
    </row>
    <row r="445" customHeight="1" spans="1:6">
      <c r="A445" s="6">
        <v>444</v>
      </c>
      <c r="B445" s="8" t="s">
        <v>1283</v>
      </c>
      <c r="C445" s="8" t="s">
        <v>1284</v>
      </c>
      <c r="D445" s="8" t="s">
        <v>1144</v>
      </c>
      <c r="E445" s="8" t="s">
        <v>1145</v>
      </c>
      <c r="F445" s="8" t="s">
        <v>1285</v>
      </c>
    </row>
    <row r="446" customHeight="1" spans="1:6">
      <c r="A446" s="6">
        <v>445</v>
      </c>
      <c r="B446" s="8" t="s">
        <v>1286</v>
      </c>
      <c r="C446" s="8" t="s">
        <v>1287</v>
      </c>
      <c r="D446" s="8" t="s">
        <v>1288</v>
      </c>
      <c r="E446" s="8" t="s">
        <v>415</v>
      </c>
      <c r="F446" s="8" t="s">
        <v>1289</v>
      </c>
    </row>
    <row r="447" customHeight="1" spans="1:6">
      <c r="A447" s="6">
        <v>446</v>
      </c>
      <c r="B447" s="8" t="s">
        <v>1286</v>
      </c>
      <c r="C447" s="8" t="s">
        <v>1287</v>
      </c>
      <c r="D447" s="8" t="s">
        <v>1288</v>
      </c>
      <c r="E447" s="8" t="s">
        <v>415</v>
      </c>
      <c r="F447" s="8" t="s">
        <v>1289</v>
      </c>
    </row>
    <row r="448" customHeight="1" spans="1:6">
      <c r="A448" s="6">
        <v>447</v>
      </c>
      <c r="B448" s="8" t="s">
        <v>1290</v>
      </c>
      <c r="C448" s="8" t="s">
        <v>1291</v>
      </c>
      <c r="D448" s="8" t="s">
        <v>1292</v>
      </c>
      <c r="E448" s="8" t="s">
        <v>1293</v>
      </c>
      <c r="F448" s="8" t="s">
        <v>1294</v>
      </c>
    </row>
    <row r="449" customHeight="1" spans="1:6">
      <c r="A449" s="6">
        <v>448</v>
      </c>
      <c r="B449" s="8" t="s">
        <v>1290</v>
      </c>
      <c r="C449" s="8" t="s">
        <v>1291</v>
      </c>
      <c r="D449" s="8" t="s">
        <v>1292</v>
      </c>
      <c r="E449" s="8" t="s">
        <v>1293</v>
      </c>
      <c r="F449" s="8" t="s">
        <v>1294</v>
      </c>
    </row>
    <row r="450" customHeight="1" spans="1:6">
      <c r="A450" s="6">
        <v>449</v>
      </c>
      <c r="B450" s="8" t="s">
        <v>1295</v>
      </c>
      <c r="C450" s="8" t="s">
        <v>1296</v>
      </c>
      <c r="D450" s="8" t="s">
        <v>1297</v>
      </c>
      <c r="E450" s="8" t="s">
        <v>933</v>
      </c>
      <c r="F450" s="8" t="s">
        <v>1298</v>
      </c>
    </row>
    <row r="451" customHeight="1" spans="1:6">
      <c r="A451" s="6">
        <v>450</v>
      </c>
      <c r="B451" s="8" t="s">
        <v>1295</v>
      </c>
      <c r="C451" s="8" t="s">
        <v>1296</v>
      </c>
      <c r="D451" s="8" t="s">
        <v>1297</v>
      </c>
      <c r="E451" s="8" t="s">
        <v>933</v>
      </c>
      <c r="F451" s="8" t="s">
        <v>1298</v>
      </c>
    </row>
    <row r="452" customHeight="1" spans="1:6">
      <c r="A452" s="6">
        <v>451</v>
      </c>
      <c r="B452" s="7" t="str">
        <f>"978-7-5115-7104-5"</f>
        <v>978-7-5115-7104-5</v>
      </c>
      <c r="C452" s="7" t="str">
        <f>"新时代优秀团干部必修课"</f>
        <v>新时代优秀团干部必修课</v>
      </c>
      <c r="D452" s="7" t="str">
        <f>"杨名， 张建编著"</f>
        <v>杨名， 张建编著</v>
      </c>
      <c r="E452" s="7" t="str">
        <f>"人民日报出版社"</f>
        <v>人民日报出版社</v>
      </c>
      <c r="F452" s="7" t="str">
        <f>"D297/15"</f>
        <v>D297/15</v>
      </c>
    </row>
    <row r="453" customHeight="1" spans="1:6">
      <c r="A453" s="6">
        <v>452</v>
      </c>
      <c r="B453" s="7" t="str">
        <f>"978-7-5115-7104-5"</f>
        <v>978-7-5115-7104-5</v>
      </c>
      <c r="C453" s="7" t="str">
        <f>"新时代优秀团干部必修课"</f>
        <v>新时代优秀团干部必修课</v>
      </c>
      <c r="D453" s="7" t="str">
        <f>"杨名， 张建编著"</f>
        <v>杨名， 张建编著</v>
      </c>
      <c r="E453" s="7" t="str">
        <f>"人民日报出版社"</f>
        <v>人民日报出版社</v>
      </c>
      <c r="F453" s="7" t="str">
        <f>"D297/15"</f>
        <v>D297/15</v>
      </c>
    </row>
    <row r="454" customHeight="1" spans="1:6">
      <c r="A454" s="6">
        <v>453</v>
      </c>
      <c r="B454" s="8" t="s">
        <v>1299</v>
      </c>
      <c r="C454" s="8" t="s">
        <v>1300</v>
      </c>
      <c r="D454" s="8" t="s">
        <v>1301</v>
      </c>
      <c r="E454" s="8" t="s">
        <v>18</v>
      </c>
      <c r="F454" s="8" t="s">
        <v>1302</v>
      </c>
    </row>
    <row r="455" customHeight="1" spans="1:6">
      <c r="A455" s="6">
        <v>454</v>
      </c>
      <c r="B455" s="8" t="s">
        <v>1299</v>
      </c>
      <c r="C455" s="8" t="s">
        <v>1300</v>
      </c>
      <c r="D455" s="8" t="s">
        <v>1301</v>
      </c>
      <c r="E455" s="8" t="s">
        <v>18</v>
      </c>
      <c r="F455" s="8" t="s">
        <v>1302</v>
      </c>
    </row>
    <row r="456" customHeight="1" spans="1:6">
      <c r="A456" s="6">
        <v>455</v>
      </c>
      <c r="B456" s="7" t="str">
        <f>"978-7-5110-5287-2"</f>
        <v>978-7-5110-5287-2</v>
      </c>
      <c r="C456" s="7" t="str">
        <f>"岂不怀归：三和青年调查"</f>
        <v>岂不怀归：三和青年调查</v>
      </c>
      <c r="D456" s="7" t="str">
        <f>"田丰， 林凯玄著"</f>
        <v>田丰， 林凯玄著</v>
      </c>
      <c r="E456" s="7" t="str">
        <f>"海豚出版社"</f>
        <v>海豚出版社</v>
      </c>
      <c r="F456" s="7" t="str">
        <f>"D422.64/12"</f>
        <v>D422.64/12</v>
      </c>
    </row>
    <row r="457" customHeight="1" spans="1:6">
      <c r="A457" s="6">
        <v>456</v>
      </c>
      <c r="B457" s="7" t="str">
        <f>"978-7-5110-5287-2"</f>
        <v>978-7-5110-5287-2</v>
      </c>
      <c r="C457" s="7" t="str">
        <f>"岂不怀归：三和青年调查"</f>
        <v>岂不怀归：三和青年调查</v>
      </c>
      <c r="D457" s="7" t="str">
        <f>"田丰， 林凯玄著"</f>
        <v>田丰， 林凯玄著</v>
      </c>
      <c r="E457" s="7" t="str">
        <f>"海豚出版社"</f>
        <v>海豚出版社</v>
      </c>
      <c r="F457" s="7" t="str">
        <f>"D422.64/12"</f>
        <v>D422.64/12</v>
      </c>
    </row>
    <row r="458" customHeight="1" spans="1:6">
      <c r="A458" s="6">
        <v>457</v>
      </c>
      <c r="B458" s="8" t="s">
        <v>1303</v>
      </c>
      <c r="C458" s="8" t="s">
        <v>1304</v>
      </c>
      <c r="D458" s="8" t="s">
        <v>1305</v>
      </c>
      <c r="E458" s="8" t="s">
        <v>1306</v>
      </c>
      <c r="F458" s="8" t="s">
        <v>1307</v>
      </c>
    </row>
    <row r="459" customHeight="1" spans="1:6">
      <c r="A459" s="6">
        <v>458</v>
      </c>
      <c r="B459" s="8" t="s">
        <v>1303</v>
      </c>
      <c r="C459" s="8" t="s">
        <v>1304</v>
      </c>
      <c r="D459" s="8" t="s">
        <v>1305</v>
      </c>
      <c r="E459" s="8" t="s">
        <v>1306</v>
      </c>
      <c r="F459" s="8" t="s">
        <v>1307</v>
      </c>
    </row>
    <row r="460" customHeight="1" spans="1:6">
      <c r="A460" s="6">
        <v>459</v>
      </c>
      <c r="B460" s="8" t="s">
        <v>1308</v>
      </c>
      <c r="C460" s="8" t="s">
        <v>1309</v>
      </c>
      <c r="D460" s="8" t="s">
        <v>1310</v>
      </c>
      <c r="E460" s="8" t="s">
        <v>3</v>
      </c>
      <c r="F460" s="8" t="s">
        <v>1311</v>
      </c>
    </row>
    <row r="461" customHeight="1" spans="1:6">
      <c r="A461" s="6">
        <v>460</v>
      </c>
      <c r="B461" s="8" t="s">
        <v>1308</v>
      </c>
      <c r="C461" s="8" t="s">
        <v>1309</v>
      </c>
      <c r="D461" s="8" t="s">
        <v>1310</v>
      </c>
      <c r="E461" s="8" t="s">
        <v>3</v>
      </c>
      <c r="F461" s="8" t="s">
        <v>1311</v>
      </c>
    </row>
    <row r="462" customHeight="1" spans="1:6">
      <c r="A462" s="6">
        <v>461</v>
      </c>
      <c r="B462" s="8" t="s">
        <v>1312</v>
      </c>
      <c r="C462" s="8" t="s">
        <v>1313</v>
      </c>
      <c r="D462" s="8" t="s">
        <v>1314</v>
      </c>
      <c r="E462" s="8" t="s">
        <v>1315</v>
      </c>
      <c r="F462" s="8" t="s">
        <v>1316</v>
      </c>
    </row>
    <row r="463" customHeight="1" spans="1:6">
      <c r="A463" s="6">
        <v>462</v>
      </c>
      <c r="B463" s="8" t="s">
        <v>1312</v>
      </c>
      <c r="C463" s="8" t="s">
        <v>1313</v>
      </c>
      <c r="D463" s="8" t="s">
        <v>1314</v>
      </c>
      <c r="E463" s="8" t="s">
        <v>1315</v>
      </c>
      <c r="F463" s="8" t="s">
        <v>1316</v>
      </c>
    </row>
    <row r="464" customHeight="1" spans="1:6">
      <c r="A464" s="6">
        <v>463</v>
      </c>
      <c r="B464" s="8" t="s">
        <v>1317</v>
      </c>
      <c r="C464" s="8" t="s">
        <v>1318</v>
      </c>
      <c r="D464" s="8" t="s">
        <v>1319</v>
      </c>
      <c r="E464" s="8" t="s">
        <v>33</v>
      </c>
      <c r="F464" s="8" t="s">
        <v>1320</v>
      </c>
    </row>
    <row r="465" customHeight="1" spans="1:6">
      <c r="A465" s="6">
        <v>464</v>
      </c>
      <c r="B465" s="8" t="s">
        <v>1317</v>
      </c>
      <c r="C465" s="8" t="s">
        <v>1318</v>
      </c>
      <c r="D465" s="8" t="s">
        <v>1319</v>
      </c>
      <c r="E465" s="8" t="s">
        <v>33</v>
      </c>
      <c r="F465" s="8" t="s">
        <v>1320</v>
      </c>
    </row>
    <row r="466" customHeight="1" spans="1:6">
      <c r="A466" s="6">
        <v>465</v>
      </c>
      <c r="B466" s="8" t="s">
        <v>1321</v>
      </c>
      <c r="C466" s="8" t="s">
        <v>1322</v>
      </c>
      <c r="D466" s="8" t="s">
        <v>1323</v>
      </c>
      <c r="E466" s="8" t="s">
        <v>1324</v>
      </c>
      <c r="F466" s="8" t="s">
        <v>1325</v>
      </c>
    </row>
    <row r="467" customHeight="1" spans="1:6">
      <c r="A467" s="6">
        <v>466</v>
      </c>
      <c r="B467" s="8" t="s">
        <v>1321</v>
      </c>
      <c r="C467" s="8" t="s">
        <v>1322</v>
      </c>
      <c r="D467" s="8" t="s">
        <v>1323</v>
      </c>
      <c r="E467" s="8" t="s">
        <v>1324</v>
      </c>
      <c r="F467" s="8" t="s">
        <v>1325</v>
      </c>
    </row>
    <row r="468" customHeight="1" spans="1:6">
      <c r="A468" s="6">
        <v>467</v>
      </c>
      <c r="B468" s="8" t="s">
        <v>1326</v>
      </c>
      <c r="C468" s="8" t="s">
        <v>1327</v>
      </c>
      <c r="D468" s="8" t="s">
        <v>1328</v>
      </c>
      <c r="E468" s="8" t="s">
        <v>1329</v>
      </c>
      <c r="F468" s="8" t="s">
        <v>1330</v>
      </c>
    </row>
    <row r="469" customHeight="1" spans="1:6">
      <c r="A469" s="6">
        <v>468</v>
      </c>
      <c r="B469" s="8" t="s">
        <v>1326</v>
      </c>
      <c r="C469" s="8" t="s">
        <v>1327</v>
      </c>
      <c r="D469" s="8" t="s">
        <v>1328</v>
      </c>
      <c r="E469" s="8" t="s">
        <v>1329</v>
      </c>
      <c r="F469" s="8" t="s">
        <v>1330</v>
      </c>
    </row>
    <row r="470" customHeight="1" spans="1:6">
      <c r="A470" s="6">
        <v>469</v>
      </c>
      <c r="B470" s="8" t="s">
        <v>1331</v>
      </c>
      <c r="C470" s="8" t="s">
        <v>1332</v>
      </c>
      <c r="D470" s="8" t="s">
        <v>1333</v>
      </c>
      <c r="E470" s="8" t="s">
        <v>202</v>
      </c>
      <c r="F470" s="8" t="s">
        <v>1334</v>
      </c>
    </row>
    <row r="471" customHeight="1" spans="1:6">
      <c r="A471" s="6">
        <v>470</v>
      </c>
      <c r="B471" s="8" t="s">
        <v>1331</v>
      </c>
      <c r="C471" s="8" t="s">
        <v>1332</v>
      </c>
      <c r="D471" s="8" t="s">
        <v>1333</v>
      </c>
      <c r="E471" s="8" t="s">
        <v>202</v>
      </c>
      <c r="F471" s="8" t="s">
        <v>1334</v>
      </c>
    </row>
    <row r="472" customHeight="1" spans="1:6">
      <c r="A472" s="6">
        <v>471</v>
      </c>
      <c r="B472" s="8" t="s">
        <v>1335</v>
      </c>
      <c r="C472" s="8" t="s">
        <v>1336</v>
      </c>
      <c r="D472" s="8" t="s">
        <v>1337</v>
      </c>
      <c r="E472" s="8" t="s">
        <v>1329</v>
      </c>
      <c r="F472" s="8" t="s">
        <v>1338</v>
      </c>
    </row>
    <row r="473" customHeight="1" spans="1:6">
      <c r="A473" s="6">
        <v>472</v>
      </c>
      <c r="B473" s="8" t="s">
        <v>1335</v>
      </c>
      <c r="C473" s="8" t="s">
        <v>1336</v>
      </c>
      <c r="D473" s="8" t="s">
        <v>1337</v>
      </c>
      <c r="E473" s="8" t="s">
        <v>1329</v>
      </c>
      <c r="F473" s="8" t="s">
        <v>1338</v>
      </c>
    </row>
    <row r="474" customHeight="1" spans="1:6">
      <c r="A474" s="6">
        <v>473</v>
      </c>
      <c r="B474" s="8" t="s">
        <v>1339</v>
      </c>
      <c r="C474" s="8" t="s">
        <v>1340</v>
      </c>
      <c r="D474" s="8" t="s">
        <v>1341</v>
      </c>
      <c r="E474" s="8" t="s">
        <v>1342</v>
      </c>
      <c r="F474" s="8" t="s">
        <v>1343</v>
      </c>
    </row>
    <row r="475" customHeight="1" spans="1:6">
      <c r="A475" s="6">
        <v>474</v>
      </c>
      <c r="B475" s="8" t="s">
        <v>1339</v>
      </c>
      <c r="C475" s="8" t="s">
        <v>1340</v>
      </c>
      <c r="D475" s="8" t="s">
        <v>1341</v>
      </c>
      <c r="E475" s="8" t="s">
        <v>1342</v>
      </c>
      <c r="F475" s="8" t="s">
        <v>1343</v>
      </c>
    </row>
    <row r="476" customHeight="1" spans="1:6">
      <c r="A476" s="6">
        <v>475</v>
      </c>
      <c r="B476" s="7" t="str">
        <f>"978-7-81142-981-7"</f>
        <v>978-7-81142-981-7</v>
      </c>
      <c r="C476" s="7" t="str">
        <f>"公共治理前沿理论及其应用研究"</f>
        <v>公共治理前沿理论及其应用研究</v>
      </c>
      <c r="D476" s="7" t="str">
        <f>"韩兆柱著"</f>
        <v>韩兆柱著</v>
      </c>
      <c r="E476" s="7" t="str">
        <f>"燕山大学出版社"</f>
        <v>燕山大学出版社</v>
      </c>
      <c r="F476" s="7" t="str">
        <f>"D523/32"</f>
        <v>D523/32</v>
      </c>
    </row>
    <row r="477" customHeight="1" spans="1:6">
      <c r="A477" s="6">
        <v>476</v>
      </c>
      <c r="B477" s="7" t="str">
        <f>"978-7-81142-981-7"</f>
        <v>978-7-81142-981-7</v>
      </c>
      <c r="C477" s="7" t="str">
        <f>"公共治理前沿理论及其应用研究"</f>
        <v>公共治理前沿理论及其应用研究</v>
      </c>
      <c r="D477" s="7" t="str">
        <f>"韩兆柱著"</f>
        <v>韩兆柱著</v>
      </c>
      <c r="E477" s="7" t="str">
        <f>"燕山大学出版社"</f>
        <v>燕山大学出版社</v>
      </c>
      <c r="F477" s="7" t="str">
        <f>"D523/32"</f>
        <v>D523/32</v>
      </c>
    </row>
    <row r="478" customHeight="1" spans="1:6">
      <c r="A478" s="6">
        <v>477</v>
      </c>
      <c r="B478" s="8" t="s">
        <v>1344</v>
      </c>
      <c r="C478" s="8" t="s">
        <v>1345</v>
      </c>
      <c r="D478" s="8" t="s">
        <v>1346</v>
      </c>
      <c r="E478" s="8" t="s">
        <v>311</v>
      </c>
      <c r="F478" s="8" t="s">
        <v>1347</v>
      </c>
    </row>
    <row r="479" customHeight="1" spans="1:6">
      <c r="A479" s="6">
        <v>478</v>
      </c>
      <c r="B479" s="8" t="s">
        <v>1344</v>
      </c>
      <c r="C479" s="8" t="s">
        <v>1345</v>
      </c>
      <c r="D479" s="8" t="s">
        <v>1346</v>
      </c>
      <c r="E479" s="8" t="s">
        <v>311</v>
      </c>
      <c r="F479" s="8" t="s">
        <v>1347</v>
      </c>
    </row>
    <row r="480" customHeight="1" spans="1:6">
      <c r="A480" s="6">
        <v>479</v>
      </c>
      <c r="B480" s="8" t="s">
        <v>1348</v>
      </c>
      <c r="C480" s="8" t="s">
        <v>1349</v>
      </c>
      <c r="D480" s="8" t="s">
        <v>1350</v>
      </c>
      <c r="E480" s="8" t="s">
        <v>634</v>
      </c>
      <c r="F480" s="8" t="s">
        <v>1351</v>
      </c>
    </row>
    <row r="481" customHeight="1" spans="1:6">
      <c r="A481" s="6">
        <v>480</v>
      </c>
      <c r="B481" s="8" t="s">
        <v>1348</v>
      </c>
      <c r="C481" s="8" t="s">
        <v>1349</v>
      </c>
      <c r="D481" s="8" t="s">
        <v>1350</v>
      </c>
      <c r="E481" s="8" t="s">
        <v>634</v>
      </c>
      <c r="F481" s="8" t="s">
        <v>1351</v>
      </c>
    </row>
    <row r="482" customHeight="1" spans="1:6">
      <c r="A482" s="6">
        <v>481</v>
      </c>
      <c r="B482" s="7" t="str">
        <f t="shared" ref="B482:B484" si="77">"978-7-80554-725-1"</f>
        <v>978-7-80554-725-1</v>
      </c>
      <c r="C482" s="7" t="str">
        <f t="shared" ref="C482:C484" si="78">"政治的学问"</f>
        <v>政治的学问</v>
      </c>
      <c r="D482" s="7" t="str">
        <f t="shared" ref="D482:D484" si="79">"钱端升著；钱元强编"</f>
        <v>钱端升著；钱元强编</v>
      </c>
      <c r="E482" s="7" t="str">
        <f t="shared" ref="E482:E484" si="80">"文津出版社"</f>
        <v>文津出版社</v>
      </c>
      <c r="F482" s="7" t="str">
        <f t="shared" ref="F482:F484" si="81">"D-53/2"</f>
        <v>D-53/2</v>
      </c>
    </row>
    <row r="483" customHeight="1" spans="1:6">
      <c r="A483" s="6">
        <v>482</v>
      </c>
      <c r="B483" s="7" t="str">
        <f t="shared" si="77"/>
        <v>978-7-80554-725-1</v>
      </c>
      <c r="C483" s="7" t="str">
        <f t="shared" si="78"/>
        <v>政治的学问</v>
      </c>
      <c r="D483" s="7" t="str">
        <f t="shared" si="79"/>
        <v>钱端升著；钱元强编</v>
      </c>
      <c r="E483" s="7" t="str">
        <f t="shared" si="80"/>
        <v>文津出版社</v>
      </c>
      <c r="F483" s="7" t="str">
        <f t="shared" si="81"/>
        <v>D-53/2</v>
      </c>
    </row>
    <row r="484" customHeight="1" spans="1:6">
      <c r="A484" s="6">
        <v>483</v>
      </c>
      <c r="B484" s="7" t="str">
        <f t="shared" si="77"/>
        <v>978-7-80554-725-1</v>
      </c>
      <c r="C484" s="7" t="str">
        <f t="shared" si="78"/>
        <v>政治的学问</v>
      </c>
      <c r="D484" s="7" t="str">
        <f t="shared" si="79"/>
        <v>钱端升著；钱元强编</v>
      </c>
      <c r="E484" s="7" t="str">
        <f t="shared" si="80"/>
        <v>文津出版社</v>
      </c>
      <c r="F484" s="7" t="str">
        <f t="shared" si="81"/>
        <v>D-53/2</v>
      </c>
    </row>
    <row r="485" customHeight="1" spans="1:6">
      <c r="A485" s="6">
        <v>484</v>
      </c>
      <c r="B485" s="8" t="s">
        <v>1352</v>
      </c>
      <c r="C485" s="8" t="s">
        <v>1353</v>
      </c>
      <c r="D485" s="8" t="s">
        <v>1354</v>
      </c>
      <c r="E485" s="8" t="s">
        <v>1355</v>
      </c>
      <c r="F485" s="8" t="s">
        <v>1356</v>
      </c>
    </row>
    <row r="486" customHeight="1" spans="1:6">
      <c r="A486" s="6">
        <v>485</v>
      </c>
      <c r="B486" s="8" t="s">
        <v>1352</v>
      </c>
      <c r="C486" s="8" t="s">
        <v>1353</v>
      </c>
      <c r="D486" s="8" t="s">
        <v>1354</v>
      </c>
      <c r="E486" s="8" t="s">
        <v>1355</v>
      </c>
      <c r="F486" s="8" t="s">
        <v>1356</v>
      </c>
    </row>
    <row r="487" customHeight="1" spans="1:6">
      <c r="A487" s="6">
        <v>486</v>
      </c>
      <c r="B487" s="7" t="str">
        <f>"978-7-300-20828-2"</f>
        <v>978-7-300-20828-2</v>
      </c>
      <c r="C487" s="7" t="str">
        <f>"中国国情与发展"</f>
        <v>中国国情与发展</v>
      </c>
      <c r="D487" s="7" t="str">
        <f>"胡鞍钢， 鄢一龙著"</f>
        <v>胡鞍钢， 鄢一龙著</v>
      </c>
      <c r="E487" s="7" t="str">
        <f>"中国人民大学出版社"</f>
        <v>中国人民大学出版社</v>
      </c>
      <c r="F487" s="7" t="str">
        <f>"D6/115"</f>
        <v>D6/115</v>
      </c>
    </row>
    <row r="488" customHeight="1" spans="1:6">
      <c r="A488" s="6">
        <v>487</v>
      </c>
      <c r="B488" s="7" t="str">
        <f>"978-7-300-20828-2"</f>
        <v>978-7-300-20828-2</v>
      </c>
      <c r="C488" s="7" t="str">
        <f>"中国国情与发展"</f>
        <v>中国国情与发展</v>
      </c>
      <c r="D488" s="7" t="str">
        <f>"胡鞍钢， 鄢一龙著"</f>
        <v>胡鞍钢， 鄢一龙著</v>
      </c>
      <c r="E488" s="7" t="str">
        <f>"中国人民大学出版社"</f>
        <v>中国人民大学出版社</v>
      </c>
      <c r="F488" s="7" t="str">
        <f>"D6/115"</f>
        <v>D6/115</v>
      </c>
    </row>
    <row r="489" customHeight="1" spans="1:6">
      <c r="A489" s="6">
        <v>488</v>
      </c>
      <c r="B489" s="8" t="s">
        <v>1357</v>
      </c>
      <c r="C489" s="8" t="s">
        <v>1358</v>
      </c>
      <c r="D489" s="8" t="s">
        <v>1359</v>
      </c>
      <c r="E489" s="8" t="s">
        <v>810</v>
      </c>
      <c r="F489" s="8" t="s">
        <v>1360</v>
      </c>
    </row>
    <row r="490" customHeight="1" spans="1:6">
      <c r="A490" s="6">
        <v>489</v>
      </c>
      <c r="B490" s="8" t="s">
        <v>1357</v>
      </c>
      <c r="C490" s="8" t="s">
        <v>1358</v>
      </c>
      <c r="D490" s="8" t="s">
        <v>1359</v>
      </c>
      <c r="E490" s="8" t="s">
        <v>810</v>
      </c>
      <c r="F490" s="8" t="s">
        <v>1360</v>
      </c>
    </row>
    <row r="491" customHeight="1" spans="1:6">
      <c r="A491" s="6">
        <v>490</v>
      </c>
      <c r="B491" s="7" t="str">
        <f>"978-7-119-11806-2"</f>
        <v>978-7-119-11806-2</v>
      </c>
      <c r="C491" s="7" t="str">
        <f>"走向2049年的中国"</f>
        <v>走向2049年的中国</v>
      </c>
      <c r="D491" s="7" t="str">
        <f>"田应奎等著；日文翻译日文编译部；菊池秀治日文改编"</f>
        <v>田应奎等著；日文翻译日文编译部；菊池秀治日文改编</v>
      </c>
      <c r="E491" s="7" t="str">
        <f>"外文出版社"</f>
        <v>外文出版社</v>
      </c>
      <c r="F491" s="7" t="str">
        <f>"D60/83.2"</f>
        <v>D60/83.2</v>
      </c>
    </row>
    <row r="492" customHeight="1" spans="1:6">
      <c r="A492" s="6">
        <v>491</v>
      </c>
      <c r="B492" s="7" t="str">
        <f>"978-7-119-11806-2"</f>
        <v>978-7-119-11806-2</v>
      </c>
      <c r="C492" s="7" t="str">
        <f>"走向2049年的中国"</f>
        <v>走向2049年的中国</v>
      </c>
      <c r="D492" s="7" t="str">
        <f>"田应奎等著；日文翻译日文编译部；菊池秀治日文改编"</f>
        <v>田应奎等著；日文翻译日文编译部；菊池秀治日文改编</v>
      </c>
      <c r="E492" s="7" t="str">
        <f>"外文出版社"</f>
        <v>外文出版社</v>
      </c>
      <c r="F492" s="7" t="str">
        <f>"D60/83.2"</f>
        <v>D60/83.2</v>
      </c>
    </row>
    <row r="493" customHeight="1" spans="1:6">
      <c r="A493" s="6">
        <v>492</v>
      </c>
      <c r="B493" s="8" t="s">
        <v>1361</v>
      </c>
      <c r="C493" s="8" t="s">
        <v>1362</v>
      </c>
      <c r="D493" s="8" t="s">
        <v>1363</v>
      </c>
      <c r="E493" s="8" t="s">
        <v>270</v>
      </c>
      <c r="F493" s="8" t="s">
        <v>1364</v>
      </c>
    </row>
    <row r="494" customHeight="1" spans="1:6">
      <c r="A494" s="6">
        <v>493</v>
      </c>
      <c r="B494" s="8" t="s">
        <v>1361</v>
      </c>
      <c r="C494" s="8" t="s">
        <v>1362</v>
      </c>
      <c r="D494" s="8" t="s">
        <v>1363</v>
      </c>
      <c r="E494" s="8" t="s">
        <v>270</v>
      </c>
      <c r="F494" s="8" t="s">
        <v>1364</v>
      </c>
    </row>
    <row r="495" customHeight="1" spans="1:6">
      <c r="A495" s="6">
        <v>494</v>
      </c>
      <c r="B495" s="7" t="str">
        <f t="shared" ref="B495:B497" si="82">"978-7-5207-2088-5"</f>
        <v>978-7-5207-2088-5</v>
      </c>
      <c r="C495" s="7" t="str">
        <f t="shared" ref="C495:C497" si="83">"变革与复兴：百年中国现代化新征程"</f>
        <v>变革与复兴：百年中国现代化新征程</v>
      </c>
      <c r="D495" s="7" t="str">
        <f t="shared" ref="D495:D497" si="84">"胡鞍钢主编"</f>
        <v>胡鞍钢主编</v>
      </c>
      <c r="E495" s="7" t="str">
        <f t="shared" ref="E495:E497" si="85">"东方出版社"</f>
        <v>东方出版社</v>
      </c>
      <c r="F495" s="7" t="str">
        <f t="shared" ref="F495:F497" si="86">"D602/35"</f>
        <v>D602/35</v>
      </c>
    </row>
    <row r="496" customHeight="1" spans="1:6">
      <c r="A496" s="6">
        <v>495</v>
      </c>
      <c r="B496" s="7" t="str">
        <f t="shared" si="82"/>
        <v>978-7-5207-2088-5</v>
      </c>
      <c r="C496" s="7" t="str">
        <f t="shared" si="83"/>
        <v>变革与复兴：百年中国现代化新征程</v>
      </c>
      <c r="D496" s="7" t="str">
        <f t="shared" si="84"/>
        <v>胡鞍钢主编</v>
      </c>
      <c r="E496" s="7" t="str">
        <f t="shared" si="85"/>
        <v>东方出版社</v>
      </c>
      <c r="F496" s="7" t="str">
        <f t="shared" si="86"/>
        <v>D602/35</v>
      </c>
    </row>
    <row r="497" customHeight="1" spans="1:6">
      <c r="A497" s="6">
        <v>496</v>
      </c>
      <c r="B497" s="7" t="str">
        <f t="shared" si="82"/>
        <v>978-7-5207-2088-5</v>
      </c>
      <c r="C497" s="7" t="str">
        <f t="shared" si="83"/>
        <v>变革与复兴：百年中国现代化新征程</v>
      </c>
      <c r="D497" s="7" t="str">
        <f t="shared" si="84"/>
        <v>胡鞍钢主编</v>
      </c>
      <c r="E497" s="7" t="str">
        <f t="shared" si="85"/>
        <v>东方出版社</v>
      </c>
      <c r="F497" s="7" t="str">
        <f t="shared" si="86"/>
        <v>D602/35</v>
      </c>
    </row>
    <row r="498" customHeight="1" spans="1:6">
      <c r="A498" s="6">
        <v>497</v>
      </c>
      <c r="B498" s="8" t="s">
        <v>1365</v>
      </c>
      <c r="C498" s="8" t="s">
        <v>1366</v>
      </c>
      <c r="D498" s="8" t="s">
        <v>1367</v>
      </c>
      <c r="E498" s="8" t="s">
        <v>43</v>
      </c>
      <c r="F498" s="8" t="s">
        <v>1368</v>
      </c>
    </row>
    <row r="499" customHeight="1" spans="1:6">
      <c r="A499" s="6">
        <v>498</v>
      </c>
      <c r="B499" s="8" t="s">
        <v>1365</v>
      </c>
      <c r="C499" s="8" t="s">
        <v>1366</v>
      </c>
      <c r="D499" s="8" t="s">
        <v>1367</v>
      </c>
      <c r="E499" s="8" t="s">
        <v>43</v>
      </c>
      <c r="F499" s="8" t="s">
        <v>1368</v>
      </c>
    </row>
    <row r="500" customHeight="1" spans="1:6">
      <c r="A500" s="6">
        <v>499</v>
      </c>
      <c r="B500" s="8" t="s">
        <v>1369</v>
      </c>
      <c r="C500" s="8" t="s">
        <v>1370</v>
      </c>
      <c r="D500" s="8" t="s">
        <v>1371</v>
      </c>
      <c r="E500" s="8" t="s">
        <v>1372</v>
      </c>
      <c r="F500" s="8" t="s">
        <v>1373</v>
      </c>
    </row>
    <row r="501" customHeight="1" spans="1:6">
      <c r="A501" s="6">
        <v>500</v>
      </c>
      <c r="B501" s="8" t="s">
        <v>1369</v>
      </c>
      <c r="C501" s="8" t="s">
        <v>1370</v>
      </c>
      <c r="D501" s="8" t="s">
        <v>1371</v>
      </c>
      <c r="E501" s="8" t="s">
        <v>1372</v>
      </c>
      <c r="F501" s="8" t="s">
        <v>1373</v>
      </c>
    </row>
    <row r="502" customHeight="1" spans="1:6">
      <c r="A502" s="6">
        <v>501</v>
      </c>
      <c r="B502" s="8" t="s">
        <v>1374</v>
      </c>
      <c r="C502" s="8" t="s">
        <v>1375</v>
      </c>
      <c r="D502" s="8" t="s">
        <v>903</v>
      </c>
      <c r="E502" s="8" t="s">
        <v>43</v>
      </c>
      <c r="F502" s="8" t="s">
        <v>1376</v>
      </c>
    </row>
    <row r="503" customHeight="1" spans="1:6">
      <c r="A503" s="6">
        <v>502</v>
      </c>
      <c r="B503" s="8" t="s">
        <v>1374</v>
      </c>
      <c r="C503" s="8" t="s">
        <v>1375</v>
      </c>
      <c r="D503" s="8" t="s">
        <v>903</v>
      </c>
      <c r="E503" s="8" t="s">
        <v>43</v>
      </c>
      <c r="F503" s="8" t="s">
        <v>1376</v>
      </c>
    </row>
    <row r="504" customHeight="1" spans="1:6">
      <c r="A504" s="6">
        <v>503</v>
      </c>
      <c r="B504" s="7" t="str">
        <f t="shared" ref="B504:B506" si="87">"978-7-5207-2306-0"</f>
        <v>978-7-5207-2306-0</v>
      </c>
      <c r="C504" s="7" t="str">
        <f t="shared" ref="C504:C506" si="88">"中国式现代化"</f>
        <v>中国式现代化</v>
      </c>
      <c r="D504" s="7" t="str">
        <f t="shared" ref="D504:D506" si="89">"人民日报理论部主编"</f>
        <v>人民日报理论部主编</v>
      </c>
      <c r="E504" s="7" t="str">
        <f t="shared" ref="E504:E506" si="90">"东方出版社"</f>
        <v>东方出版社</v>
      </c>
      <c r="F504" s="7" t="str">
        <f t="shared" ref="F504:F506" si="91">"D61/291"</f>
        <v>D61/291</v>
      </c>
    </row>
    <row r="505" customHeight="1" spans="1:6">
      <c r="A505" s="6">
        <v>504</v>
      </c>
      <c r="B505" s="7" t="str">
        <f t="shared" si="87"/>
        <v>978-7-5207-2306-0</v>
      </c>
      <c r="C505" s="7" t="str">
        <f t="shared" si="88"/>
        <v>中国式现代化</v>
      </c>
      <c r="D505" s="7" t="str">
        <f t="shared" si="89"/>
        <v>人民日报理论部主编</v>
      </c>
      <c r="E505" s="7" t="str">
        <f t="shared" si="90"/>
        <v>东方出版社</v>
      </c>
      <c r="F505" s="7" t="str">
        <f t="shared" si="91"/>
        <v>D61/291</v>
      </c>
    </row>
    <row r="506" customHeight="1" spans="1:6">
      <c r="A506" s="6">
        <v>505</v>
      </c>
      <c r="B506" s="7" t="str">
        <f t="shared" si="87"/>
        <v>978-7-5207-2306-0</v>
      </c>
      <c r="C506" s="7" t="str">
        <f t="shared" si="88"/>
        <v>中国式现代化</v>
      </c>
      <c r="D506" s="7" t="str">
        <f t="shared" si="89"/>
        <v>人民日报理论部主编</v>
      </c>
      <c r="E506" s="7" t="str">
        <f t="shared" si="90"/>
        <v>东方出版社</v>
      </c>
      <c r="F506" s="7" t="str">
        <f t="shared" si="91"/>
        <v>D61/291</v>
      </c>
    </row>
    <row r="507" customHeight="1" spans="1:6">
      <c r="A507" s="6">
        <v>506</v>
      </c>
      <c r="B507" s="7" t="str">
        <f>"978-7-5690-4759-2"</f>
        <v>978-7-5690-4759-2</v>
      </c>
      <c r="C507" s="7" t="str">
        <f>"马克思主义中国化若干问题研究"</f>
        <v>马克思主义中国化若干问题研究</v>
      </c>
      <c r="D507" s="7" t="str">
        <f>"王让新著"</f>
        <v>王让新著</v>
      </c>
      <c r="E507" s="7" t="str">
        <f>"四川大学出版社"</f>
        <v>四川大学出版社</v>
      </c>
      <c r="F507" s="7" t="str">
        <f>"D61/292"</f>
        <v>D61/292</v>
      </c>
    </row>
    <row r="508" customHeight="1" spans="1:6">
      <c r="A508" s="6">
        <v>507</v>
      </c>
      <c r="B508" s="7" t="str">
        <f>"978-7-5690-4759-2"</f>
        <v>978-7-5690-4759-2</v>
      </c>
      <c r="C508" s="7" t="str">
        <f>"马克思主义中国化若干问题研究"</f>
        <v>马克思主义中国化若干问题研究</v>
      </c>
      <c r="D508" s="7" t="str">
        <f>"王让新著"</f>
        <v>王让新著</v>
      </c>
      <c r="E508" s="7" t="str">
        <f>"四川大学出版社"</f>
        <v>四川大学出版社</v>
      </c>
      <c r="F508" s="7" t="str">
        <f>"D61/292"</f>
        <v>D61/292</v>
      </c>
    </row>
    <row r="509" customHeight="1" spans="1:6">
      <c r="A509" s="6">
        <v>508</v>
      </c>
      <c r="B509" s="7" t="str">
        <f>"978-7-303-25672-3"</f>
        <v>978-7-303-25672-3</v>
      </c>
      <c r="C509" s="7" t="str">
        <f>"马克思主义为什么行"</f>
        <v>马克思主义为什么行</v>
      </c>
      <c r="D509" s="7" t="str">
        <f>"颜晓峰， 谭小琴等著"</f>
        <v>颜晓峰， 谭小琴等著</v>
      </c>
      <c r="E509" s="7" t="str">
        <f>"北京师范大学出版社"</f>
        <v>北京师范大学出版社</v>
      </c>
      <c r="F509" s="7" t="str">
        <f>"D61/293"</f>
        <v>D61/293</v>
      </c>
    </row>
    <row r="510" customHeight="1" spans="1:6">
      <c r="A510" s="6">
        <v>509</v>
      </c>
      <c r="B510" s="7" t="str">
        <f>"978-7-303-25672-3"</f>
        <v>978-7-303-25672-3</v>
      </c>
      <c r="C510" s="7" t="str">
        <f>"马克思主义为什么行"</f>
        <v>马克思主义为什么行</v>
      </c>
      <c r="D510" s="7" t="str">
        <f>"颜晓峰， 谭小琴等著"</f>
        <v>颜晓峰， 谭小琴等著</v>
      </c>
      <c r="E510" s="7" t="str">
        <f>"北京师范大学出版社"</f>
        <v>北京师范大学出版社</v>
      </c>
      <c r="F510" s="7" t="str">
        <f>"D61/293"</f>
        <v>D61/293</v>
      </c>
    </row>
    <row r="511" customHeight="1" spans="1:6">
      <c r="A511" s="6">
        <v>510</v>
      </c>
      <c r="B511" s="8" t="s">
        <v>1377</v>
      </c>
      <c r="C511" s="8" t="s">
        <v>1378</v>
      </c>
      <c r="D511" s="8" t="s">
        <v>1379</v>
      </c>
      <c r="E511" s="8" t="s">
        <v>58</v>
      </c>
      <c r="F511" s="8" t="s">
        <v>1380</v>
      </c>
    </row>
    <row r="512" customHeight="1" spans="1:6">
      <c r="A512" s="6">
        <v>511</v>
      </c>
      <c r="B512" s="8" t="s">
        <v>1377</v>
      </c>
      <c r="C512" s="8" t="s">
        <v>1378</v>
      </c>
      <c r="D512" s="8" t="s">
        <v>1379</v>
      </c>
      <c r="E512" s="8" t="s">
        <v>58</v>
      </c>
      <c r="F512" s="8" t="s">
        <v>1380</v>
      </c>
    </row>
    <row r="513" customHeight="1" spans="1:6">
      <c r="A513" s="6">
        <v>512</v>
      </c>
      <c r="B513" s="8" t="s">
        <v>1381</v>
      </c>
      <c r="C513" s="8" t="s">
        <v>1382</v>
      </c>
      <c r="D513" s="8" t="s">
        <v>1383</v>
      </c>
      <c r="E513" s="8" t="s">
        <v>189</v>
      </c>
      <c r="F513" s="8" t="s">
        <v>1384</v>
      </c>
    </row>
    <row r="514" customHeight="1" spans="1:6">
      <c r="A514" s="6">
        <v>513</v>
      </c>
      <c r="B514" s="8" t="s">
        <v>1381</v>
      </c>
      <c r="C514" s="8" t="s">
        <v>1382</v>
      </c>
      <c r="D514" s="8" t="s">
        <v>1383</v>
      </c>
      <c r="E514" s="8" t="s">
        <v>189</v>
      </c>
      <c r="F514" s="8" t="s">
        <v>1384</v>
      </c>
    </row>
    <row r="515" customHeight="1" spans="1:6">
      <c r="A515" s="6">
        <v>514</v>
      </c>
      <c r="B515" s="8" t="s">
        <v>1385</v>
      </c>
      <c r="C515" s="8" t="s">
        <v>1386</v>
      </c>
      <c r="D515" s="8" t="s">
        <v>1387</v>
      </c>
      <c r="E515" s="8" t="s">
        <v>28</v>
      </c>
      <c r="F515" s="8" t="s">
        <v>1388</v>
      </c>
    </row>
    <row r="516" customHeight="1" spans="1:6">
      <c r="A516" s="6">
        <v>515</v>
      </c>
      <c r="B516" s="8" t="s">
        <v>1385</v>
      </c>
      <c r="C516" s="8" t="s">
        <v>1386</v>
      </c>
      <c r="D516" s="8" t="s">
        <v>1387</v>
      </c>
      <c r="E516" s="8" t="s">
        <v>28</v>
      </c>
      <c r="F516" s="8" t="s">
        <v>1388</v>
      </c>
    </row>
    <row r="517" customHeight="1" spans="1:6">
      <c r="A517" s="6">
        <v>516</v>
      </c>
      <c r="B517" s="8" t="s">
        <v>1389</v>
      </c>
      <c r="C517" s="8" t="s">
        <v>1390</v>
      </c>
      <c r="D517" s="8" t="s">
        <v>1391</v>
      </c>
      <c r="E517" s="8" t="s">
        <v>43</v>
      </c>
      <c r="F517" s="8" t="s">
        <v>1392</v>
      </c>
    </row>
    <row r="518" customHeight="1" spans="1:6">
      <c r="A518" s="6">
        <v>517</v>
      </c>
      <c r="B518" s="8" t="s">
        <v>1389</v>
      </c>
      <c r="C518" s="8" t="s">
        <v>1390</v>
      </c>
      <c r="D518" s="8" t="s">
        <v>1391</v>
      </c>
      <c r="E518" s="8" t="s">
        <v>43</v>
      </c>
      <c r="F518" s="8" t="s">
        <v>1392</v>
      </c>
    </row>
    <row r="519" customHeight="1" spans="1:6">
      <c r="A519" s="6">
        <v>518</v>
      </c>
      <c r="B519" s="8" t="s">
        <v>1393</v>
      </c>
      <c r="C519" s="8" t="s">
        <v>1394</v>
      </c>
      <c r="D519" s="8" t="s">
        <v>1395</v>
      </c>
      <c r="E519" s="8" t="s">
        <v>23</v>
      </c>
      <c r="F519" s="8" t="s">
        <v>1396</v>
      </c>
    </row>
    <row r="520" customHeight="1" spans="1:6">
      <c r="A520" s="6">
        <v>519</v>
      </c>
      <c r="B520" s="8" t="s">
        <v>1393</v>
      </c>
      <c r="C520" s="8" t="s">
        <v>1394</v>
      </c>
      <c r="D520" s="8" t="s">
        <v>1395</v>
      </c>
      <c r="E520" s="8" t="s">
        <v>23</v>
      </c>
      <c r="F520" s="8" t="s">
        <v>1396</v>
      </c>
    </row>
    <row r="521" customHeight="1" spans="1:6">
      <c r="A521" s="6">
        <v>520</v>
      </c>
      <c r="B521" s="8" t="s">
        <v>1397</v>
      </c>
      <c r="C521" s="8" t="s">
        <v>1398</v>
      </c>
      <c r="D521" s="8" t="s">
        <v>1399</v>
      </c>
      <c r="E521" s="8" t="s">
        <v>1400</v>
      </c>
      <c r="F521" s="8" t="s">
        <v>1401</v>
      </c>
    </row>
    <row r="522" customHeight="1" spans="1:6">
      <c r="A522" s="6">
        <v>521</v>
      </c>
      <c r="B522" s="8" t="s">
        <v>1397</v>
      </c>
      <c r="C522" s="8" t="s">
        <v>1398</v>
      </c>
      <c r="D522" s="8" t="s">
        <v>1399</v>
      </c>
      <c r="E522" s="8" t="s">
        <v>1400</v>
      </c>
      <c r="F522" s="8" t="s">
        <v>1401</v>
      </c>
    </row>
    <row r="523" customHeight="1" spans="1:6">
      <c r="A523" s="6">
        <v>522</v>
      </c>
      <c r="B523" s="8" t="s">
        <v>1402</v>
      </c>
      <c r="C523" s="8" t="s">
        <v>1403</v>
      </c>
      <c r="D523" s="8" t="s">
        <v>833</v>
      </c>
      <c r="E523" s="8" t="s">
        <v>58</v>
      </c>
      <c r="F523" s="8" t="s">
        <v>1404</v>
      </c>
    </row>
    <row r="524" customHeight="1" spans="1:6">
      <c r="A524" s="6">
        <v>523</v>
      </c>
      <c r="B524" s="8" t="s">
        <v>1402</v>
      </c>
      <c r="C524" s="8" t="s">
        <v>1403</v>
      </c>
      <c r="D524" s="8" t="s">
        <v>833</v>
      </c>
      <c r="E524" s="8" t="s">
        <v>58</v>
      </c>
      <c r="F524" s="8" t="s">
        <v>1404</v>
      </c>
    </row>
    <row r="525" customHeight="1" spans="1:6">
      <c r="A525" s="6">
        <v>524</v>
      </c>
      <c r="B525" s="8" t="s">
        <v>1405</v>
      </c>
      <c r="C525" s="8" t="s">
        <v>1406</v>
      </c>
      <c r="D525" s="8" t="s">
        <v>1407</v>
      </c>
      <c r="E525" s="8" t="s">
        <v>385</v>
      </c>
      <c r="F525" s="8" t="s">
        <v>1408</v>
      </c>
    </row>
    <row r="526" customHeight="1" spans="1:6">
      <c r="A526" s="6">
        <v>525</v>
      </c>
      <c r="B526" s="8" t="s">
        <v>1405</v>
      </c>
      <c r="C526" s="8" t="s">
        <v>1406</v>
      </c>
      <c r="D526" s="8" t="s">
        <v>1407</v>
      </c>
      <c r="E526" s="8" t="s">
        <v>385</v>
      </c>
      <c r="F526" s="8" t="s">
        <v>1408</v>
      </c>
    </row>
    <row r="527" customHeight="1" spans="1:6">
      <c r="A527" s="6">
        <v>526</v>
      </c>
      <c r="B527" s="8" t="s">
        <v>1409</v>
      </c>
      <c r="C527" s="8" t="s">
        <v>1410</v>
      </c>
      <c r="D527" s="8" t="s">
        <v>1411</v>
      </c>
      <c r="E527" s="8" t="s">
        <v>43</v>
      </c>
      <c r="F527" s="8" t="s">
        <v>1412</v>
      </c>
    </row>
    <row r="528" customHeight="1" spans="1:6">
      <c r="A528" s="6">
        <v>527</v>
      </c>
      <c r="B528" s="8" t="s">
        <v>1409</v>
      </c>
      <c r="C528" s="8" t="s">
        <v>1410</v>
      </c>
      <c r="D528" s="8" t="s">
        <v>1411</v>
      </c>
      <c r="E528" s="8" t="s">
        <v>43</v>
      </c>
      <c r="F528" s="8" t="s">
        <v>1412</v>
      </c>
    </row>
    <row r="529" customHeight="1" spans="1:6">
      <c r="A529" s="6">
        <v>528</v>
      </c>
      <c r="B529" s="8" t="s">
        <v>1413</v>
      </c>
      <c r="C529" s="8" t="s">
        <v>1414</v>
      </c>
      <c r="D529" s="8" t="s">
        <v>1415</v>
      </c>
      <c r="E529" s="8" t="s">
        <v>23</v>
      </c>
      <c r="F529" s="8" t="s">
        <v>1416</v>
      </c>
    </row>
    <row r="530" customHeight="1" spans="1:6">
      <c r="A530" s="6">
        <v>529</v>
      </c>
      <c r="B530" s="8" t="s">
        <v>1413</v>
      </c>
      <c r="C530" s="8" t="s">
        <v>1414</v>
      </c>
      <c r="D530" s="8" t="s">
        <v>1415</v>
      </c>
      <c r="E530" s="8" t="s">
        <v>23</v>
      </c>
      <c r="F530" s="8" t="s">
        <v>1416</v>
      </c>
    </row>
    <row r="531" customHeight="1" spans="1:6">
      <c r="A531" s="6">
        <v>530</v>
      </c>
      <c r="B531" s="8" t="s">
        <v>1417</v>
      </c>
      <c r="C531" s="8" t="s">
        <v>1418</v>
      </c>
      <c r="D531" s="8" t="s">
        <v>766</v>
      </c>
      <c r="E531" s="8" t="s">
        <v>1145</v>
      </c>
      <c r="F531" s="8" t="s">
        <v>1419</v>
      </c>
    </row>
    <row r="532" customHeight="1" spans="1:6">
      <c r="A532" s="6">
        <v>531</v>
      </c>
      <c r="B532" s="8" t="s">
        <v>1417</v>
      </c>
      <c r="C532" s="8" t="s">
        <v>1418</v>
      </c>
      <c r="D532" s="8" t="s">
        <v>766</v>
      </c>
      <c r="E532" s="8" t="s">
        <v>1145</v>
      </c>
      <c r="F532" s="8" t="s">
        <v>1419</v>
      </c>
    </row>
    <row r="533" customHeight="1" spans="1:6">
      <c r="A533" s="6">
        <v>532</v>
      </c>
      <c r="B533" s="7" t="str">
        <f t="shared" ref="B533:B535" si="92">"978-7-5203-8975-4"</f>
        <v>978-7-5203-8975-4</v>
      </c>
      <c r="C533" s="7" t="str">
        <f t="shared" ref="C533:C535" si="93">"100个改革开放精彩瞬间"</f>
        <v>100个改革开放精彩瞬间</v>
      </c>
      <c r="D533" s="7" t="str">
        <f t="shared" ref="D533:D535" si="94">"赵江林， 侯波主编"</f>
        <v>赵江林， 侯波主编</v>
      </c>
      <c r="E533" s="7" t="str">
        <f t="shared" ref="E533:E538" si="95">"中国社会科学出版社"</f>
        <v>中国社会科学出版社</v>
      </c>
      <c r="F533" s="7" t="str">
        <f t="shared" ref="F533:F535" si="96">"D61-53/26"</f>
        <v>D61-53/26</v>
      </c>
    </row>
    <row r="534" customHeight="1" spans="1:6">
      <c r="A534" s="6">
        <v>533</v>
      </c>
      <c r="B534" s="7" t="str">
        <f t="shared" si="92"/>
        <v>978-7-5203-8975-4</v>
      </c>
      <c r="C534" s="7" t="str">
        <f t="shared" si="93"/>
        <v>100个改革开放精彩瞬间</v>
      </c>
      <c r="D534" s="7" t="str">
        <f t="shared" si="94"/>
        <v>赵江林， 侯波主编</v>
      </c>
      <c r="E534" s="7" t="str">
        <f t="shared" si="95"/>
        <v>中国社会科学出版社</v>
      </c>
      <c r="F534" s="7" t="str">
        <f t="shared" si="96"/>
        <v>D61-53/26</v>
      </c>
    </row>
    <row r="535" customHeight="1" spans="1:6">
      <c r="A535" s="6">
        <v>534</v>
      </c>
      <c r="B535" s="7" t="str">
        <f t="shared" si="92"/>
        <v>978-7-5203-8975-4</v>
      </c>
      <c r="C535" s="7" t="str">
        <f t="shared" si="93"/>
        <v>100个改革开放精彩瞬间</v>
      </c>
      <c r="D535" s="7" t="str">
        <f t="shared" si="94"/>
        <v>赵江林， 侯波主编</v>
      </c>
      <c r="E535" s="7" t="str">
        <f t="shared" si="95"/>
        <v>中国社会科学出版社</v>
      </c>
      <c r="F535" s="7" t="str">
        <f t="shared" si="96"/>
        <v>D61-53/26</v>
      </c>
    </row>
    <row r="536" customHeight="1" spans="1:6">
      <c r="A536" s="6">
        <v>535</v>
      </c>
      <c r="B536" s="7" t="str">
        <f t="shared" ref="B536:B538" si="97">"978-7-5203-8378-3"</f>
        <v>978-7-5203-8378-3</v>
      </c>
      <c r="C536" s="7" t="str">
        <f t="shared" ref="C536:C538" si="98">"奋斗与梦想：近代以来中国人的百年追梦历程"</f>
        <v>奋斗与梦想：近代以来中国人的百年追梦历程</v>
      </c>
      <c r="D536" s="7" t="str">
        <f t="shared" ref="D536:D538" si="99">"李捷著"</f>
        <v>李捷著</v>
      </c>
      <c r="E536" s="7" t="str">
        <f t="shared" si="95"/>
        <v>中国社会科学出版社</v>
      </c>
      <c r="F536" s="7" t="str">
        <f t="shared" ref="F536:F538" si="100">"D616/735"</f>
        <v>D616/735</v>
      </c>
    </row>
    <row r="537" customHeight="1" spans="1:6">
      <c r="A537" s="6">
        <v>536</v>
      </c>
      <c r="B537" s="7" t="str">
        <f t="shared" si="97"/>
        <v>978-7-5203-8378-3</v>
      </c>
      <c r="C537" s="7" t="str">
        <f t="shared" si="98"/>
        <v>奋斗与梦想：近代以来中国人的百年追梦历程</v>
      </c>
      <c r="D537" s="7" t="str">
        <f t="shared" si="99"/>
        <v>李捷著</v>
      </c>
      <c r="E537" s="7" t="str">
        <f t="shared" si="95"/>
        <v>中国社会科学出版社</v>
      </c>
      <c r="F537" s="7" t="str">
        <f t="shared" si="100"/>
        <v>D616/735</v>
      </c>
    </row>
    <row r="538" customHeight="1" spans="1:6">
      <c r="A538" s="6">
        <v>537</v>
      </c>
      <c r="B538" s="7" t="str">
        <f t="shared" si="97"/>
        <v>978-7-5203-8378-3</v>
      </c>
      <c r="C538" s="7" t="str">
        <f t="shared" si="98"/>
        <v>奋斗与梦想：近代以来中国人的百年追梦历程</v>
      </c>
      <c r="D538" s="7" t="str">
        <f t="shared" si="99"/>
        <v>李捷著</v>
      </c>
      <c r="E538" s="7" t="str">
        <f t="shared" si="95"/>
        <v>中国社会科学出版社</v>
      </c>
      <c r="F538" s="7" t="str">
        <f t="shared" si="100"/>
        <v>D616/735</v>
      </c>
    </row>
    <row r="539" customHeight="1" spans="1:6">
      <c r="A539" s="6">
        <v>538</v>
      </c>
      <c r="B539" s="7" t="str">
        <f t="shared" ref="B539:B541" si="101">"978-7-5174-0727-0"</f>
        <v>978-7-5174-0727-0</v>
      </c>
      <c r="C539" s="7" t="str">
        <f t="shared" ref="C539:C541" si="102">"中国道路与中国道理"</f>
        <v>中国道路与中国道理</v>
      </c>
      <c r="D539" s="7" t="str">
        <f t="shared" ref="D539:D541" si="103">"鄢一龙著"</f>
        <v>鄢一龙著</v>
      </c>
      <c r="E539" s="7" t="str">
        <f t="shared" ref="E539:E541" si="104">"中国方正出版社"</f>
        <v>中国方正出版社</v>
      </c>
      <c r="F539" s="7" t="str">
        <f t="shared" ref="F539:F541" si="105">"D616/736"</f>
        <v>D616/736</v>
      </c>
    </row>
    <row r="540" customHeight="1" spans="1:6">
      <c r="A540" s="6">
        <v>539</v>
      </c>
      <c r="B540" s="7" t="str">
        <f t="shared" si="101"/>
        <v>978-7-5174-0727-0</v>
      </c>
      <c r="C540" s="7" t="str">
        <f t="shared" si="102"/>
        <v>中国道路与中国道理</v>
      </c>
      <c r="D540" s="7" t="str">
        <f t="shared" si="103"/>
        <v>鄢一龙著</v>
      </c>
      <c r="E540" s="7" t="str">
        <f t="shared" si="104"/>
        <v>中国方正出版社</v>
      </c>
      <c r="F540" s="7" t="str">
        <f t="shared" si="105"/>
        <v>D616/736</v>
      </c>
    </row>
    <row r="541" customHeight="1" spans="1:6">
      <c r="A541" s="6">
        <v>540</v>
      </c>
      <c r="B541" s="7" t="str">
        <f t="shared" si="101"/>
        <v>978-7-5174-0727-0</v>
      </c>
      <c r="C541" s="7" t="str">
        <f t="shared" si="102"/>
        <v>中国道路与中国道理</v>
      </c>
      <c r="D541" s="7" t="str">
        <f t="shared" si="103"/>
        <v>鄢一龙著</v>
      </c>
      <c r="E541" s="7" t="str">
        <f t="shared" si="104"/>
        <v>中国方正出版社</v>
      </c>
      <c r="F541" s="7" t="str">
        <f t="shared" si="105"/>
        <v>D616/736</v>
      </c>
    </row>
    <row r="542" customHeight="1" spans="1:6">
      <c r="A542" s="6">
        <v>541</v>
      </c>
      <c r="B542" s="7" t="str">
        <f t="shared" ref="B542:B544" si="106">"978-7-5097-6324-7"</f>
        <v>978-7-5097-6324-7</v>
      </c>
      <c r="C542" s="7" t="str">
        <f t="shared" ref="C542:C544" si="107">"筚路维艰：中国社会主义路径的五次选择：five choices on the road to Chinese socialism"</f>
        <v>筚路维艰：中国社会主义路径的五次选择：five choices on the road to Chinese socialism</v>
      </c>
      <c r="D542" s="7" t="str">
        <f t="shared" ref="D542:D544" si="108">"萧冬连著"</f>
        <v>萧冬连著</v>
      </c>
      <c r="E542" s="7" t="str">
        <f t="shared" ref="E542:E544" si="109">"社会科学文献出版社"</f>
        <v>社会科学文献出版社</v>
      </c>
      <c r="F542" s="7" t="str">
        <f t="shared" ref="F542:F544" si="110">"D616/737"</f>
        <v>D616/737</v>
      </c>
    </row>
    <row r="543" customHeight="1" spans="1:6">
      <c r="A543" s="6">
        <v>542</v>
      </c>
      <c r="B543" s="7" t="str">
        <f t="shared" si="106"/>
        <v>978-7-5097-6324-7</v>
      </c>
      <c r="C543" s="7" t="str">
        <f t="shared" si="107"/>
        <v>筚路维艰：中国社会主义路径的五次选择：five choices on the road to Chinese socialism</v>
      </c>
      <c r="D543" s="7" t="str">
        <f t="shared" si="108"/>
        <v>萧冬连著</v>
      </c>
      <c r="E543" s="7" t="str">
        <f t="shared" si="109"/>
        <v>社会科学文献出版社</v>
      </c>
      <c r="F543" s="7" t="str">
        <f t="shared" si="110"/>
        <v>D616/737</v>
      </c>
    </row>
    <row r="544" customHeight="1" spans="1:6">
      <c r="A544" s="6">
        <v>543</v>
      </c>
      <c r="B544" s="7" t="str">
        <f t="shared" si="106"/>
        <v>978-7-5097-6324-7</v>
      </c>
      <c r="C544" s="7" t="str">
        <f t="shared" si="107"/>
        <v>筚路维艰：中国社会主义路径的五次选择：five choices on the road to Chinese socialism</v>
      </c>
      <c r="D544" s="7" t="str">
        <f t="shared" si="108"/>
        <v>萧冬连著</v>
      </c>
      <c r="E544" s="7" t="str">
        <f t="shared" si="109"/>
        <v>社会科学文献出版社</v>
      </c>
      <c r="F544" s="7" t="str">
        <f t="shared" si="110"/>
        <v>D616/737</v>
      </c>
    </row>
    <row r="545" customHeight="1" spans="1:6">
      <c r="A545" s="6">
        <v>544</v>
      </c>
      <c r="B545" s="7" t="str">
        <f>"978-7-5194-5903-1"</f>
        <v>978-7-5194-5903-1</v>
      </c>
      <c r="C545" s="7" t="str">
        <f>"共享发展论"</f>
        <v>共享发展论</v>
      </c>
      <c r="D545" s="7" t="str">
        <f>"付海莲著"</f>
        <v>付海莲著</v>
      </c>
      <c r="E545" s="7" t="str">
        <f t="shared" ref="E545:E548" si="111">"光明日报出版社"</f>
        <v>光明日报出版社</v>
      </c>
      <c r="F545" s="7" t="str">
        <f>"D616/738"</f>
        <v>D616/738</v>
      </c>
    </row>
    <row r="546" customHeight="1" spans="1:6">
      <c r="A546" s="6">
        <v>545</v>
      </c>
      <c r="B546" s="7" t="str">
        <f>"978-7-5194-5903-1"</f>
        <v>978-7-5194-5903-1</v>
      </c>
      <c r="C546" s="7" t="str">
        <f>"共享发展论"</f>
        <v>共享发展论</v>
      </c>
      <c r="D546" s="7" t="str">
        <f>"付海莲著"</f>
        <v>付海莲著</v>
      </c>
      <c r="E546" s="7" t="str">
        <f t="shared" si="111"/>
        <v>光明日报出版社</v>
      </c>
      <c r="F546" s="7" t="str">
        <f>"D616/738"</f>
        <v>D616/738</v>
      </c>
    </row>
    <row r="547" customHeight="1" spans="1:6">
      <c r="A547" s="6">
        <v>546</v>
      </c>
      <c r="B547" s="7" t="str">
        <f>"978-7-5194-6022-8"</f>
        <v>978-7-5194-6022-8</v>
      </c>
      <c r="C547" s="7" t="str">
        <f>"当代中国主流价值观话语权生成机制研究"</f>
        <v>当代中国主流价值观话语权生成机制研究</v>
      </c>
      <c r="D547" s="7" t="str">
        <f>"方爱东等著"</f>
        <v>方爱东等著</v>
      </c>
      <c r="E547" s="7" t="str">
        <f t="shared" si="111"/>
        <v>光明日报出版社</v>
      </c>
      <c r="F547" s="7" t="str">
        <f>"D616/739"</f>
        <v>D616/739</v>
      </c>
    </row>
    <row r="548" customHeight="1" spans="1:6">
      <c r="A548" s="6">
        <v>547</v>
      </c>
      <c r="B548" s="7" t="str">
        <f>"978-7-5194-6022-8"</f>
        <v>978-7-5194-6022-8</v>
      </c>
      <c r="C548" s="7" t="str">
        <f>"当代中国主流价值观话语权生成机制研究"</f>
        <v>当代中国主流价值观话语权生成机制研究</v>
      </c>
      <c r="D548" s="7" t="str">
        <f>"方爱东等著"</f>
        <v>方爱东等著</v>
      </c>
      <c r="E548" s="7" t="str">
        <f t="shared" si="111"/>
        <v>光明日报出版社</v>
      </c>
      <c r="F548" s="7" t="str">
        <f>"D616/739"</f>
        <v>D616/739</v>
      </c>
    </row>
    <row r="549" customHeight="1" spans="1:6">
      <c r="A549" s="6">
        <v>548</v>
      </c>
      <c r="B549" s="7" t="str">
        <f t="shared" ref="B549:B551" si="112">"978-7-208-15127-7"</f>
        <v>978-7-208-15127-7</v>
      </c>
      <c r="C549" s="7" t="str">
        <f t="shared" ref="C549:C551" si="113">"中国道路的历史基因"</f>
        <v>中国道路的历史基因</v>
      </c>
      <c r="D549" s="7" t="str">
        <f t="shared" ref="D549:D551" si="114">"寒竹著"</f>
        <v>寒竹著</v>
      </c>
      <c r="E549" s="7" t="str">
        <f t="shared" ref="E549:E551" si="115">"上海人民出版社"</f>
        <v>上海人民出版社</v>
      </c>
      <c r="F549" s="7" t="str">
        <f t="shared" ref="F549:F551" si="116">"D616/740"</f>
        <v>D616/740</v>
      </c>
    </row>
    <row r="550" customHeight="1" spans="1:6">
      <c r="A550" s="6">
        <v>549</v>
      </c>
      <c r="B550" s="7" t="str">
        <f t="shared" si="112"/>
        <v>978-7-208-15127-7</v>
      </c>
      <c r="C550" s="7" t="str">
        <f t="shared" si="113"/>
        <v>中国道路的历史基因</v>
      </c>
      <c r="D550" s="7" t="str">
        <f t="shared" si="114"/>
        <v>寒竹著</v>
      </c>
      <c r="E550" s="7" t="str">
        <f t="shared" si="115"/>
        <v>上海人民出版社</v>
      </c>
      <c r="F550" s="7" t="str">
        <f t="shared" si="116"/>
        <v>D616/740</v>
      </c>
    </row>
    <row r="551" customHeight="1" spans="1:6">
      <c r="A551" s="6">
        <v>550</v>
      </c>
      <c r="B551" s="7" t="str">
        <f t="shared" si="112"/>
        <v>978-7-208-15127-7</v>
      </c>
      <c r="C551" s="7" t="str">
        <f t="shared" si="113"/>
        <v>中国道路的历史基因</v>
      </c>
      <c r="D551" s="7" t="str">
        <f t="shared" si="114"/>
        <v>寒竹著</v>
      </c>
      <c r="E551" s="7" t="str">
        <f t="shared" si="115"/>
        <v>上海人民出版社</v>
      </c>
      <c r="F551" s="7" t="str">
        <f t="shared" si="116"/>
        <v>D616/740</v>
      </c>
    </row>
    <row r="552" customHeight="1" spans="1:6">
      <c r="A552" s="6">
        <v>551</v>
      </c>
      <c r="B552" s="8" t="s">
        <v>1420</v>
      </c>
      <c r="C552" s="8" t="s">
        <v>1421</v>
      </c>
      <c r="D552" s="8" t="s">
        <v>1422</v>
      </c>
      <c r="E552" s="8" t="s">
        <v>985</v>
      </c>
      <c r="F552" s="8" t="s">
        <v>1423</v>
      </c>
    </row>
    <row r="553" customHeight="1" spans="1:6">
      <c r="A553" s="6">
        <v>552</v>
      </c>
      <c r="B553" s="8" t="s">
        <v>1420</v>
      </c>
      <c r="C553" s="8" t="s">
        <v>1421</v>
      </c>
      <c r="D553" s="8" t="s">
        <v>1422</v>
      </c>
      <c r="E553" s="8" t="s">
        <v>985</v>
      </c>
      <c r="F553" s="8" t="s">
        <v>1423</v>
      </c>
    </row>
    <row r="554" customHeight="1" spans="1:6">
      <c r="A554" s="6">
        <v>553</v>
      </c>
      <c r="B554" s="8" t="s">
        <v>1424</v>
      </c>
      <c r="C554" s="8" t="s">
        <v>1425</v>
      </c>
      <c r="D554" s="8" t="s">
        <v>1426</v>
      </c>
      <c r="E554" s="8" t="s">
        <v>1427</v>
      </c>
      <c r="F554" s="8" t="s">
        <v>1428</v>
      </c>
    </row>
    <row r="555" customHeight="1" spans="1:6">
      <c r="A555" s="6">
        <v>554</v>
      </c>
      <c r="B555" s="8" t="s">
        <v>1424</v>
      </c>
      <c r="C555" s="8" t="s">
        <v>1425</v>
      </c>
      <c r="D555" s="8" t="s">
        <v>1426</v>
      </c>
      <c r="E555" s="8" t="s">
        <v>1427</v>
      </c>
      <c r="F555" s="8" t="s">
        <v>1428</v>
      </c>
    </row>
    <row r="556" customHeight="1" spans="1:6">
      <c r="A556" s="6">
        <v>555</v>
      </c>
      <c r="B556" s="8" t="s">
        <v>1429</v>
      </c>
      <c r="C556" s="8" t="s">
        <v>1430</v>
      </c>
      <c r="D556" s="8" t="s">
        <v>1431</v>
      </c>
      <c r="E556" s="8" t="s">
        <v>18</v>
      </c>
      <c r="F556" s="8" t="s">
        <v>1432</v>
      </c>
    </row>
    <row r="557" customHeight="1" spans="1:6">
      <c r="A557" s="6">
        <v>556</v>
      </c>
      <c r="B557" s="8" t="s">
        <v>1429</v>
      </c>
      <c r="C557" s="8" t="s">
        <v>1430</v>
      </c>
      <c r="D557" s="8" t="s">
        <v>1431</v>
      </c>
      <c r="E557" s="8" t="s">
        <v>18</v>
      </c>
      <c r="F557" s="8" t="s">
        <v>1432</v>
      </c>
    </row>
    <row r="558" customHeight="1" spans="1:6">
      <c r="A558" s="6">
        <v>557</v>
      </c>
      <c r="B558" s="8" t="s">
        <v>1433</v>
      </c>
      <c r="C558" s="8" t="s">
        <v>1434</v>
      </c>
      <c r="D558" s="8" t="s">
        <v>1435</v>
      </c>
      <c r="E558" s="8" t="s">
        <v>1436</v>
      </c>
      <c r="F558" s="8" t="s">
        <v>1437</v>
      </c>
    </row>
    <row r="559" customHeight="1" spans="1:6">
      <c r="A559" s="6">
        <v>558</v>
      </c>
      <c r="B559" s="8" t="s">
        <v>1433</v>
      </c>
      <c r="C559" s="8" t="s">
        <v>1434</v>
      </c>
      <c r="D559" s="8" t="s">
        <v>1435</v>
      </c>
      <c r="E559" s="8" t="s">
        <v>1436</v>
      </c>
      <c r="F559" s="8" t="s">
        <v>1437</v>
      </c>
    </row>
    <row r="560" customHeight="1" spans="1:6">
      <c r="A560" s="6">
        <v>559</v>
      </c>
      <c r="B560" s="8" t="s">
        <v>1438</v>
      </c>
      <c r="C560" s="8" t="s">
        <v>1439</v>
      </c>
      <c r="D560" s="8" t="s">
        <v>1440</v>
      </c>
      <c r="E560" s="8" t="s">
        <v>239</v>
      </c>
      <c r="F560" s="8" t="s">
        <v>1441</v>
      </c>
    </row>
    <row r="561" customHeight="1" spans="1:6">
      <c r="A561" s="6">
        <v>560</v>
      </c>
      <c r="B561" s="8" t="s">
        <v>1438</v>
      </c>
      <c r="C561" s="8" t="s">
        <v>1439</v>
      </c>
      <c r="D561" s="8" t="s">
        <v>1440</v>
      </c>
      <c r="E561" s="8" t="s">
        <v>239</v>
      </c>
      <c r="F561" s="8" t="s">
        <v>1441</v>
      </c>
    </row>
    <row r="562" customHeight="1" spans="1:6">
      <c r="A562" s="6">
        <v>561</v>
      </c>
      <c r="B562" s="8" t="s">
        <v>1442</v>
      </c>
      <c r="C562" s="8" t="s">
        <v>1443</v>
      </c>
      <c r="D562" s="8" t="s">
        <v>1444</v>
      </c>
      <c r="E562" s="8" t="s">
        <v>311</v>
      </c>
      <c r="F562" s="8" t="s">
        <v>1445</v>
      </c>
    </row>
    <row r="563" customHeight="1" spans="1:6">
      <c r="A563" s="6">
        <v>562</v>
      </c>
      <c r="B563" s="8" t="s">
        <v>1442</v>
      </c>
      <c r="C563" s="8" t="s">
        <v>1443</v>
      </c>
      <c r="D563" s="8" t="s">
        <v>1444</v>
      </c>
      <c r="E563" s="8" t="s">
        <v>311</v>
      </c>
      <c r="F563" s="8" t="s">
        <v>1445</v>
      </c>
    </row>
    <row r="564" customHeight="1" spans="1:6">
      <c r="A564" s="6">
        <v>563</v>
      </c>
      <c r="B564" s="8" t="s">
        <v>1446</v>
      </c>
      <c r="C564" s="8" t="s">
        <v>1447</v>
      </c>
      <c r="D564" s="8" t="s">
        <v>1448</v>
      </c>
      <c r="E564" s="8" t="s">
        <v>1449</v>
      </c>
      <c r="F564" s="8" t="s">
        <v>1450</v>
      </c>
    </row>
    <row r="565" customHeight="1" spans="1:6">
      <c r="A565" s="6">
        <v>564</v>
      </c>
      <c r="B565" s="8" t="s">
        <v>1446</v>
      </c>
      <c r="C565" s="8" t="s">
        <v>1447</v>
      </c>
      <c r="D565" s="8" t="s">
        <v>1448</v>
      </c>
      <c r="E565" s="8" t="s">
        <v>1449</v>
      </c>
      <c r="F565" s="8" t="s">
        <v>1450</v>
      </c>
    </row>
    <row r="566" customHeight="1" spans="1:6">
      <c r="A566" s="6">
        <v>565</v>
      </c>
      <c r="B566" s="8" t="s">
        <v>1451</v>
      </c>
      <c r="C566" s="8" t="s">
        <v>1452</v>
      </c>
      <c r="D566" s="8" t="s">
        <v>1453</v>
      </c>
      <c r="E566" s="8" t="s">
        <v>589</v>
      </c>
      <c r="F566" s="8" t="s">
        <v>1454</v>
      </c>
    </row>
    <row r="567" customHeight="1" spans="1:6">
      <c r="A567" s="6">
        <v>566</v>
      </c>
      <c r="B567" s="8" t="s">
        <v>1451</v>
      </c>
      <c r="C567" s="8" t="s">
        <v>1452</v>
      </c>
      <c r="D567" s="8" t="s">
        <v>1453</v>
      </c>
      <c r="E567" s="8" t="s">
        <v>589</v>
      </c>
      <c r="F567" s="8" t="s">
        <v>1454</v>
      </c>
    </row>
    <row r="568" customHeight="1" spans="1:6">
      <c r="A568" s="6">
        <v>567</v>
      </c>
      <c r="B568" s="8" t="s">
        <v>1455</v>
      </c>
      <c r="C568" s="8" t="s">
        <v>1456</v>
      </c>
      <c r="D568" s="8" t="s">
        <v>1457</v>
      </c>
      <c r="E568" s="8" t="s">
        <v>311</v>
      </c>
      <c r="F568" s="8" t="s">
        <v>1458</v>
      </c>
    </row>
    <row r="569" customHeight="1" spans="1:6">
      <c r="A569" s="6">
        <v>568</v>
      </c>
      <c r="B569" s="8" t="s">
        <v>1455</v>
      </c>
      <c r="C569" s="8" t="s">
        <v>1456</v>
      </c>
      <c r="D569" s="8" t="s">
        <v>1457</v>
      </c>
      <c r="E569" s="8" t="s">
        <v>311</v>
      </c>
      <c r="F569" s="8" t="s">
        <v>1458</v>
      </c>
    </row>
    <row r="570" customHeight="1" spans="1:6">
      <c r="A570" s="6">
        <v>569</v>
      </c>
      <c r="B570" s="8" t="s">
        <v>1459</v>
      </c>
      <c r="C570" s="8" t="s">
        <v>1460</v>
      </c>
      <c r="D570" s="8" t="s">
        <v>1461</v>
      </c>
      <c r="E570" s="8" t="s">
        <v>23</v>
      </c>
      <c r="F570" s="8" t="s">
        <v>1462</v>
      </c>
    </row>
    <row r="571" customHeight="1" spans="1:6">
      <c r="A571" s="6">
        <v>570</v>
      </c>
      <c r="B571" s="8" t="s">
        <v>1459</v>
      </c>
      <c r="C571" s="8" t="s">
        <v>1460</v>
      </c>
      <c r="D571" s="8" t="s">
        <v>1461</v>
      </c>
      <c r="E571" s="8" t="s">
        <v>23</v>
      </c>
      <c r="F571" s="8" t="s">
        <v>1462</v>
      </c>
    </row>
    <row r="572" customHeight="1" spans="1:6">
      <c r="A572" s="6">
        <v>571</v>
      </c>
      <c r="B572" s="8" t="s">
        <v>1463</v>
      </c>
      <c r="C572" s="8" t="s">
        <v>1464</v>
      </c>
      <c r="D572" s="8" t="s">
        <v>1465</v>
      </c>
      <c r="E572" s="8" t="s">
        <v>33</v>
      </c>
      <c r="F572" s="8" t="s">
        <v>1466</v>
      </c>
    </row>
    <row r="573" customHeight="1" spans="1:6">
      <c r="A573" s="6">
        <v>572</v>
      </c>
      <c r="B573" s="8" t="s">
        <v>1463</v>
      </c>
      <c r="C573" s="8" t="s">
        <v>1464</v>
      </c>
      <c r="D573" s="8" t="s">
        <v>1465</v>
      </c>
      <c r="E573" s="8" t="s">
        <v>33</v>
      </c>
      <c r="F573" s="8" t="s">
        <v>1466</v>
      </c>
    </row>
    <row r="574" customHeight="1" spans="1:6">
      <c r="A574" s="6">
        <v>573</v>
      </c>
      <c r="B574" s="8" t="s">
        <v>1467</v>
      </c>
      <c r="C574" s="8" t="s">
        <v>1468</v>
      </c>
      <c r="D574" s="8" t="s">
        <v>1469</v>
      </c>
      <c r="E574" s="8" t="s">
        <v>23</v>
      </c>
      <c r="F574" s="8" t="s">
        <v>1470</v>
      </c>
    </row>
    <row r="575" customHeight="1" spans="1:6">
      <c r="A575" s="6">
        <v>574</v>
      </c>
      <c r="B575" s="8" t="s">
        <v>1467</v>
      </c>
      <c r="C575" s="8" t="s">
        <v>1468</v>
      </c>
      <c r="D575" s="8" t="s">
        <v>1469</v>
      </c>
      <c r="E575" s="8" t="s">
        <v>23</v>
      </c>
      <c r="F575" s="8" t="s">
        <v>1470</v>
      </c>
    </row>
    <row r="576" customHeight="1" spans="1:6">
      <c r="A576" s="6">
        <v>575</v>
      </c>
      <c r="B576" s="7" t="str">
        <f>"978-7-208-15523-7"</f>
        <v>978-7-208-15523-7</v>
      </c>
      <c r="C576" s="7" t="str">
        <f>"中国特色社会主义：实践探索与理论创新：纪念改革开放四十周年"</f>
        <v>中国特色社会主义：实践探索与理论创新：纪念改革开放四十周年</v>
      </c>
      <c r="D576" s="7" t="str">
        <f>"上海市社会科学界联合会编"</f>
        <v>上海市社会科学界联合会编</v>
      </c>
      <c r="E576" s="7" t="str">
        <f>"上海人民出版社"</f>
        <v>上海人民出版社</v>
      </c>
      <c r="F576" s="7" t="str">
        <f>"D616-53/29"</f>
        <v>D616-53/29</v>
      </c>
    </row>
    <row r="577" customHeight="1" spans="1:6">
      <c r="A577" s="6">
        <v>576</v>
      </c>
      <c r="B577" s="8" t="s">
        <v>1471</v>
      </c>
      <c r="C577" s="8" t="s">
        <v>1472</v>
      </c>
      <c r="D577" s="8" t="s">
        <v>1473</v>
      </c>
      <c r="E577" s="8" t="s">
        <v>360</v>
      </c>
      <c r="F577" s="8" t="s">
        <v>1474</v>
      </c>
    </row>
    <row r="578" customHeight="1" spans="1:6">
      <c r="A578" s="6">
        <v>577</v>
      </c>
      <c r="B578" s="8" t="s">
        <v>1471</v>
      </c>
      <c r="C578" s="8" t="s">
        <v>1472</v>
      </c>
      <c r="D578" s="8" t="s">
        <v>1473</v>
      </c>
      <c r="E578" s="8" t="s">
        <v>360</v>
      </c>
      <c r="F578" s="8" t="s">
        <v>1474</v>
      </c>
    </row>
    <row r="579" customHeight="1" spans="1:6">
      <c r="A579" s="6">
        <v>578</v>
      </c>
      <c r="B579" s="7" t="str">
        <f>"978-7-5108-9994-2"</f>
        <v>978-7-5108-9994-2</v>
      </c>
      <c r="C579" s="7" t="str">
        <f>"台湾与台湾人：追求自我认同"</f>
        <v>台湾与台湾人：追求自我认同</v>
      </c>
      <c r="D579" s="7" t="str">
        <f>"戴国煇著"</f>
        <v>戴国煇著</v>
      </c>
      <c r="E579" s="7" t="str">
        <f>"九州出版社"</f>
        <v>九州出版社</v>
      </c>
      <c r="F579" s="7" t="str">
        <f>"D618/57"</f>
        <v>D618/57</v>
      </c>
    </row>
    <row r="580" customHeight="1" spans="1:6">
      <c r="A580" s="6">
        <v>579</v>
      </c>
      <c r="B580" s="7" t="str">
        <f>"978-7-5108-9994-2"</f>
        <v>978-7-5108-9994-2</v>
      </c>
      <c r="C580" s="7" t="str">
        <f>"台湾与台湾人：追求自我认同"</f>
        <v>台湾与台湾人：追求自我认同</v>
      </c>
      <c r="D580" s="7" t="str">
        <f>"戴国煇著"</f>
        <v>戴国煇著</v>
      </c>
      <c r="E580" s="7" t="str">
        <f>"九州出版社"</f>
        <v>九州出版社</v>
      </c>
      <c r="F580" s="7" t="str">
        <f>"D618/57"</f>
        <v>D618/57</v>
      </c>
    </row>
    <row r="581" customHeight="1" spans="1:6">
      <c r="A581" s="6">
        <v>580</v>
      </c>
      <c r="B581" s="8" t="s">
        <v>1475</v>
      </c>
      <c r="C581" s="8" t="s">
        <v>1476</v>
      </c>
      <c r="D581" s="8" t="s">
        <v>1477</v>
      </c>
      <c r="E581" s="8" t="s">
        <v>360</v>
      </c>
      <c r="F581" s="8" t="s">
        <v>1478</v>
      </c>
    </row>
    <row r="582" customHeight="1" spans="1:6">
      <c r="A582" s="6">
        <v>581</v>
      </c>
      <c r="B582" s="8" t="s">
        <v>1475</v>
      </c>
      <c r="C582" s="8" t="s">
        <v>1476</v>
      </c>
      <c r="D582" s="8" t="s">
        <v>1477</v>
      </c>
      <c r="E582" s="8" t="s">
        <v>360</v>
      </c>
      <c r="F582" s="8" t="s">
        <v>1478</v>
      </c>
    </row>
    <row r="583" customHeight="1" spans="1:6">
      <c r="A583" s="6">
        <v>582</v>
      </c>
      <c r="B583" s="8" t="s">
        <v>1479</v>
      </c>
      <c r="C583" s="8" t="s">
        <v>1480</v>
      </c>
      <c r="D583" s="8" t="s">
        <v>1481</v>
      </c>
      <c r="E583" s="8" t="s">
        <v>360</v>
      </c>
      <c r="F583" s="8" t="s">
        <v>1482</v>
      </c>
    </row>
    <row r="584" customHeight="1" spans="1:6">
      <c r="A584" s="6">
        <v>583</v>
      </c>
      <c r="B584" s="8" t="s">
        <v>1479</v>
      </c>
      <c r="C584" s="8" t="s">
        <v>1480</v>
      </c>
      <c r="D584" s="8" t="s">
        <v>1481</v>
      </c>
      <c r="E584" s="8" t="s">
        <v>360</v>
      </c>
      <c r="F584" s="8" t="s">
        <v>1482</v>
      </c>
    </row>
    <row r="585" customHeight="1" spans="1:6">
      <c r="A585" s="6">
        <v>584</v>
      </c>
      <c r="B585" s="8" t="s">
        <v>1483</v>
      </c>
      <c r="C585" s="8" t="s">
        <v>1484</v>
      </c>
      <c r="D585" s="8" t="s">
        <v>1485</v>
      </c>
      <c r="E585" s="8" t="s">
        <v>1486</v>
      </c>
      <c r="F585" s="8" t="s">
        <v>1487</v>
      </c>
    </row>
    <row r="586" customHeight="1" spans="1:6">
      <c r="A586" s="6">
        <v>585</v>
      </c>
      <c r="B586" s="8" t="s">
        <v>1483</v>
      </c>
      <c r="C586" s="8" t="s">
        <v>1484</v>
      </c>
      <c r="D586" s="8" t="s">
        <v>1485</v>
      </c>
      <c r="E586" s="8" t="s">
        <v>1486</v>
      </c>
      <c r="F586" s="8" t="s">
        <v>1487</v>
      </c>
    </row>
    <row r="587" customHeight="1" spans="1:6">
      <c r="A587" s="6">
        <v>586</v>
      </c>
      <c r="B587" s="7" t="str">
        <f>"978-7-313-21896-4"</f>
        <v>978-7-313-21896-4</v>
      </c>
      <c r="C587" s="7" t="str">
        <f>"中国改革开放再出发：2012-2017"</f>
        <v>中国改革开放再出发：2012-2017</v>
      </c>
      <c r="D587" s="7" t="str">
        <f>"李正华著"</f>
        <v>李正华著</v>
      </c>
      <c r="E587" s="7" t="str">
        <f>"上海交通大学出版社"</f>
        <v>上海交通大学出版社</v>
      </c>
      <c r="F587" s="7" t="str">
        <f>"D619/145"</f>
        <v>D619/145</v>
      </c>
    </row>
    <row r="588" customHeight="1" spans="1:6">
      <c r="A588" s="6">
        <v>587</v>
      </c>
      <c r="B588" s="7" t="str">
        <f>"978-7-119-12221-2"</f>
        <v>978-7-119-12221-2</v>
      </c>
      <c r="C588" s="7" t="str">
        <f>"辉煌中国"</f>
        <v>辉煌中国</v>
      </c>
      <c r="D588" s="7" t="str">
        <f>"洪向华主编"</f>
        <v>洪向华主编</v>
      </c>
      <c r="E588" s="7" t="str">
        <f>"外文出版社"</f>
        <v>外文出版社</v>
      </c>
      <c r="F588" s="7" t="str">
        <f>"D619/146"</f>
        <v>D619/146</v>
      </c>
    </row>
    <row r="589" customHeight="1" spans="1:6">
      <c r="A589" s="6">
        <v>588</v>
      </c>
      <c r="B589" s="7" t="str">
        <f>"978-7-119-12221-2"</f>
        <v>978-7-119-12221-2</v>
      </c>
      <c r="C589" s="7" t="str">
        <f>"辉煌中国"</f>
        <v>辉煌中国</v>
      </c>
      <c r="D589" s="7" t="str">
        <f>"洪向华主编"</f>
        <v>洪向华主编</v>
      </c>
      <c r="E589" s="7" t="str">
        <f>"外文出版社"</f>
        <v>外文出版社</v>
      </c>
      <c r="F589" s="7" t="str">
        <f>"D619/146"</f>
        <v>D619/146</v>
      </c>
    </row>
    <row r="590" customHeight="1" spans="1:6">
      <c r="A590" s="6">
        <v>589</v>
      </c>
      <c r="B590" s="8" t="s">
        <v>1488</v>
      </c>
      <c r="C590" s="8" t="s">
        <v>1489</v>
      </c>
      <c r="D590" s="8" t="s">
        <v>1490</v>
      </c>
      <c r="E590" s="8" t="s">
        <v>1491</v>
      </c>
      <c r="F590" s="8" t="s">
        <v>1492</v>
      </c>
    </row>
    <row r="591" customHeight="1" spans="1:6">
      <c r="A591" s="6">
        <v>590</v>
      </c>
      <c r="B591" s="8" t="s">
        <v>1488</v>
      </c>
      <c r="C591" s="8" t="s">
        <v>1489</v>
      </c>
      <c r="D591" s="8" t="s">
        <v>1490</v>
      </c>
      <c r="E591" s="8" t="s">
        <v>1491</v>
      </c>
      <c r="F591" s="8" t="s">
        <v>1492</v>
      </c>
    </row>
    <row r="592" customHeight="1" spans="1:6">
      <c r="A592" s="6">
        <v>591</v>
      </c>
      <c r="B592" s="8" t="s">
        <v>1493</v>
      </c>
      <c r="C592" s="8" t="s">
        <v>1494</v>
      </c>
      <c r="D592" s="8" t="s">
        <v>1495</v>
      </c>
      <c r="E592" s="8" t="s">
        <v>1491</v>
      </c>
      <c r="F592" s="8" t="s">
        <v>1496</v>
      </c>
    </row>
    <row r="593" customHeight="1" spans="1:6">
      <c r="A593" s="6">
        <v>592</v>
      </c>
      <c r="B593" s="8" t="s">
        <v>1493</v>
      </c>
      <c r="C593" s="8" t="s">
        <v>1494</v>
      </c>
      <c r="D593" s="8" t="s">
        <v>1495</v>
      </c>
      <c r="E593" s="8" t="s">
        <v>1491</v>
      </c>
      <c r="F593" s="8" t="s">
        <v>1496</v>
      </c>
    </row>
    <row r="594" customHeight="1" spans="1:6">
      <c r="A594" s="6">
        <v>593</v>
      </c>
      <c r="B594" s="8" t="s">
        <v>1497</v>
      </c>
      <c r="C594" s="8" t="s">
        <v>1498</v>
      </c>
      <c r="D594" s="8" t="s">
        <v>1499</v>
      </c>
      <c r="E594" s="8" t="s">
        <v>1491</v>
      </c>
      <c r="F594" s="8" t="s">
        <v>1500</v>
      </c>
    </row>
    <row r="595" customHeight="1" spans="1:6">
      <c r="A595" s="6">
        <v>594</v>
      </c>
      <c r="B595" s="8" t="s">
        <v>1497</v>
      </c>
      <c r="C595" s="8" t="s">
        <v>1498</v>
      </c>
      <c r="D595" s="8" t="s">
        <v>1499</v>
      </c>
      <c r="E595" s="8" t="s">
        <v>1491</v>
      </c>
      <c r="F595" s="8" t="s">
        <v>1500</v>
      </c>
    </row>
    <row r="596" customHeight="1" spans="1:6">
      <c r="A596" s="6">
        <v>595</v>
      </c>
      <c r="B596" s="8" t="s">
        <v>1501</v>
      </c>
      <c r="C596" s="8" t="s">
        <v>1502</v>
      </c>
      <c r="D596" s="8" t="s">
        <v>1503</v>
      </c>
      <c r="E596" s="8" t="s">
        <v>1504</v>
      </c>
      <c r="F596" s="8" t="s">
        <v>1505</v>
      </c>
    </row>
    <row r="597" customHeight="1" spans="1:6">
      <c r="A597" s="6">
        <v>596</v>
      </c>
      <c r="B597" s="8" t="s">
        <v>1501</v>
      </c>
      <c r="C597" s="8" t="s">
        <v>1502</v>
      </c>
      <c r="D597" s="8" t="s">
        <v>1503</v>
      </c>
      <c r="E597" s="8" t="s">
        <v>1504</v>
      </c>
      <c r="F597" s="8" t="s">
        <v>1505</v>
      </c>
    </row>
    <row r="598" customHeight="1" spans="1:6">
      <c r="A598" s="6">
        <v>597</v>
      </c>
      <c r="B598" s="7" t="str">
        <f>"978-7-5117-3995-7"</f>
        <v>978-7-5117-3995-7</v>
      </c>
      <c r="C598" s="7" t="str">
        <f>"一路走来：马克思主义多党合作的理论与实践研究"</f>
        <v>一路走来：马克思主义多党合作的理论与实践研究</v>
      </c>
      <c r="D598" s="7" t="str">
        <f>"林怀艺著"</f>
        <v>林怀艺著</v>
      </c>
      <c r="E598" s="7" t="str">
        <f>"中央编译出版社"</f>
        <v>中央编译出版社</v>
      </c>
      <c r="F598" s="7" t="str">
        <f>"D62/81"</f>
        <v>D62/81</v>
      </c>
    </row>
    <row r="599" customHeight="1" spans="1:6">
      <c r="A599" s="6">
        <v>598</v>
      </c>
      <c r="B599" s="7" t="str">
        <f>"978-7-5117-3995-7"</f>
        <v>978-7-5117-3995-7</v>
      </c>
      <c r="C599" s="7" t="str">
        <f>"一路走来：马克思主义多党合作的理论与实践研究"</f>
        <v>一路走来：马克思主义多党合作的理论与实践研究</v>
      </c>
      <c r="D599" s="7" t="str">
        <f>"林怀艺著"</f>
        <v>林怀艺著</v>
      </c>
      <c r="E599" s="7" t="str">
        <f>"中央编译出版社"</f>
        <v>中央编译出版社</v>
      </c>
      <c r="F599" s="7" t="str">
        <f>"D62/81"</f>
        <v>D62/81</v>
      </c>
    </row>
    <row r="600" customHeight="1" spans="1:6">
      <c r="A600" s="6">
        <v>599</v>
      </c>
      <c r="B600" s="7" t="str">
        <f t="shared" ref="B600:B602" si="117">"978-7-309-15644-7"</f>
        <v>978-7-309-15644-7</v>
      </c>
      <c r="C600" s="7" t="str">
        <f t="shared" ref="C600:C602" si="118">"健康权利、健康治理与公共政策：中国的实践与经验：the practice and experience in China"</f>
        <v>健康权利、健康治理与公共政策：中国的实践与经验：the practice and experience in China</v>
      </c>
      <c r="D600" s="7" t="str">
        <f t="shared" ref="D600:D602" si="119">"马婷著"</f>
        <v>马婷著</v>
      </c>
      <c r="E600" s="7" t="str">
        <f t="shared" ref="E600:E602" si="120">"复旦大学出版社"</f>
        <v>复旦大学出版社</v>
      </c>
      <c r="F600" s="7" t="str">
        <f t="shared" ref="F600:F602" si="121">"D621.5/30"</f>
        <v>D621.5/30</v>
      </c>
    </row>
    <row r="601" customHeight="1" spans="1:6">
      <c r="A601" s="6">
        <v>600</v>
      </c>
      <c r="B601" s="7" t="str">
        <f t="shared" si="117"/>
        <v>978-7-309-15644-7</v>
      </c>
      <c r="C601" s="7" t="str">
        <f t="shared" si="118"/>
        <v>健康权利、健康治理与公共政策：中国的实践与经验：the practice and experience in China</v>
      </c>
      <c r="D601" s="7" t="str">
        <f t="shared" si="119"/>
        <v>马婷著</v>
      </c>
      <c r="E601" s="7" t="str">
        <f t="shared" si="120"/>
        <v>复旦大学出版社</v>
      </c>
      <c r="F601" s="7" t="str">
        <f t="shared" si="121"/>
        <v>D621.5/30</v>
      </c>
    </row>
    <row r="602" customHeight="1" spans="1:6">
      <c r="A602" s="6">
        <v>601</v>
      </c>
      <c r="B602" s="7" t="str">
        <f t="shared" si="117"/>
        <v>978-7-309-15644-7</v>
      </c>
      <c r="C602" s="7" t="str">
        <f t="shared" si="118"/>
        <v>健康权利、健康治理与公共政策：中国的实践与经验：the practice and experience in China</v>
      </c>
      <c r="D602" s="7" t="str">
        <f t="shared" si="119"/>
        <v>马婷著</v>
      </c>
      <c r="E602" s="7" t="str">
        <f t="shared" si="120"/>
        <v>复旦大学出版社</v>
      </c>
      <c r="F602" s="7" t="str">
        <f t="shared" si="121"/>
        <v>D621.5/30</v>
      </c>
    </row>
    <row r="603" customHeight="1" spans="1:6">
      <c r="A603" s="6">
        <v>602</v>
      </c>
      <c r="B603" s="8" t="s">
        <v>1506</v>
      </c>
      <c r="C603" s="8" t="s">
        <v>1507</v>
      </c>
      <c r="D603" s="8" t="s">
        <v>1508</v>
      </c>
      <c r="E603" s="8" t="s">
        <v>43</v>
      </c>
      <c r="F603" s="8" t="s">
        <v>1509</v>
      </c>
    </row>
    <row r="604" customHeight="1" spans="1:6">
      <c r="A604" s="6">
        <v>603</v>
      </c>
      <c r="B604" s="8" t="s">
        <v>1506</v>
      </c>
      <c r="C604" s="8" t="s">
        <v>1507</v>
      </c>
      <c r="D604" s="8" t="s">
        <v>1508</v>
      </c>
      <c r="E604" s="8" t="s">
        <v>43</v>
      </c>
      <c r="F604" s="8" t="s">
        <v>1509</v>
      </c>
    </row>
    <row r="605" customHeight="1" spans="1:6">
      <c r="A605" s="6">
        <v>604</v>
      </c>
      <c r="B605" s="8" t="s">
        <v>1510</v>
      </c>
      <c r="C605" s="8" t="s">
        <v>1511</v>
      </c>
      <c r="D605" s="8" t="s">
        <v>1512</v>
      </c>
      <c r="E605" s="8" t="s">
        <v>23</v>
      </c>
      <c r="F605" s="8" t="s">
        <v>1513</v>
      </c>
    </row>
    <row r="606" customHeight="1" spans="1:6">
      <c r="A606" s="6">
        <v>605</v>
      </c>
      <c r="B606" s="8" t="s">
        <v>1510</v>
      </c>
      <c r="C606" s="8" t="s">
        <v>1511</v>
      </c>
      <c r="D606" s="8" t="s">
        <v>1512</v>
      </c>
      <c r="E606" s="8" t="s">
        <v>23</v>
      </c>
      <c r="F606" s="8" t="s">
        <v>1513</v>
      </c>
    </row>
    <row r="607" customHeight="1" spans="1:6">
      <c r="A607" s="6">
        <v>606</v>
      </c>
      <c r="B607" s="8" t="s">
        <v>1514</v>
      </c>
      <c r="C607" s="8" t="s">
        <v>1515</v>
      </c>
      <c r="D607" s="8" t="s">
        <v>1516</v>
      </c>
      <c r="E607" s="8" t="s">
        <v>33</v>
      </c>
      <c r="F607" s="8" t="s">
        <v>1517</v>
      </c>
    </row>
    <row r="608" customHeight="1" spans="1:6">
      <c r="A608" s="6">
        <v>607</v>
      </c>
      <c r="B608" s="8" t="s">
        <v>1514</v>
      </c>
      <c r="C608" s="8" t="s">
        <v>1515</v>
      </c>
      <c r="D608" s="8" t="s">
        <v>1516</v>
      </c>
      <c r="E608" s="8" t="s">
        <v>33</v>
      </c>
      <c r="F608" s="8" t="s">
        <v>1517</v>
      </c>
    </row>
    <row r="609" customHeight="1" spans="1:6">
      <c r="A609" s="6">
        <v>608</v>
      </c>
      <c r="B609" s="7" t="str">
        <f t="shared" ref="B609:B611" si="122">"978-7-5171-3409-1"</f>
        <v>978-7-5171-3409-1</v>
      </c>
      <c r="C609" s="7" t="str">
        <f t="shared" ref="C609:C611" si="123">"十三届全国人大四次会议《政府工作报告》学习问答：2021"</f>
        <v>十三届全国人大四次会议《政府工作报告》学习问答：2021</v>
      </c>
      <c r="D609" s="7" t="str">
        <f t="shared" ref="D609:D611" si="124">"国务院研究室编写组"</f>
        <v>国务院研究室编写组</v>
      </c>
      <c r="E609" s="7" t="str">
        <f t="shared" ref="E609:E611" si="125">"中国言实出版社"</f>
        <v>中国言实出版社</v>
      </c>
      <c r="F609" s="7" t="str">
        <f t="shared" ref="F609:F611" si="126">"D623/38"</f>
        <v>D623/38</v>
      </c>
    </row>
    <row r="610" customHeight="1" spans="1:6">
      <c r="A610" s="6">
        <v>609</v>
      </c>
      <c r="B610" s="7" t="str">
        <f t="shared" si="122"/>
        <v>978-7-5171-3409-1</v>
      </c>
      <c r="C610" s="7" t="str">
        <f t="shared" si="123"/>
        <v>十三届全国人大四次会议《政府工作报告》学习问答：2021</v>
      </c>
      <c r="D610" s="7" t="str">
        <f t="shared" si="124"/>
        <v>国务院研究室编写组</v>
      </c>
      <c r="E610" s="7" t="str">
        <f t="shared" si="125"/>
        <v>中国言实出版社</v>
      </c>
      <c r="F610" s="7" t="str">
        <f t="shared" si="126"/>
        <v>D623/38</v>
      </c>
    </row>
    <row r="611" customHeight="1" spans="1:6">
      <c r="A611" s="6">
        <v>610</v>
      </c>
      <c r="B611" s="7" t="str">
        <f t="shared" si="122"/>
        <v>978-7-5171-3409-1</v>
      </c>
      <c r="C611" s="7" t="str">
        <f t="shared" si="123"/>
        <v>十三届全国人大四次会议《政府工作报告》学习问答：2021</v>
      </c>
      <c r="D611" s="7" t="str">
        <f t="shared" si="124"/>
        <v>国务院研究室编写组</v>
      </c>
      <c r="E611" s="7" t="str">
        <f t="shared" si="125"/>
        <v>中国言实出版社</v>
      </c>
      <c r="F611" s="7" t="str">
        <f t="shared" si="126"/>
        <v>D623/38</v>
      </c>
    </row>
    <row r="612" customHeight="1" spans="1:6">
      <c r="A612" s="6">
        <v>611</v>
      </c>
      <c r="B612" s="8" t="s">
        <v>1518</v>
      </c>
      <c r="C612" s="8" t="s">
        <v>1519</v>
      </c>
      <c r="D612" s="8" t="s">
        <v>1520</v>
      </c>
      <c r="E612" s="8" t="s">
        <v>23</v>
      </c>
      <c r="F612" s="8" t="s">
        <v>1521</v>
      </c>
    </row>
    <row r="613" customHeight="1" spans="1:6">
      <c r="A613" s="6">
        <v>612</v>
      </c>
      <c r="B613" s="8" t="s">
        <v>1518</v>
      </c>
      <c r="C613" s="8" t="s">
        <v>1519</v>
      </c>
      <c r="D613" s="8" t="s">
        <v>1520</v>
      </c>
      <c r="E613" s="8" t="s">
        <v>23</v>
      </c>
      <c r="F613" s="8" t="s">
        <v>1521</v>
      </c>
    </row>
    <row r="614" customHeight="1" spans="1:6">
      <c r="A614" s="6">
        <v>613</v>
      </c>
      <c r="B614" s="8" t="s">
        <v>1522</v>
      </c>
      <c r="C614" s="8" t="s">
        <v>1523</v>
      </c>
      <c r="D614" s="8" t="s">
        <v>1524</v>
      </c>
      <c r="E614" s="8" t="s">
        <v>288</v>
      </c>
      <c r="F614" s="8" t="s">
        <v>1525</v>
      </c>
    </row>
    <row r="615" customHeight="1" spans="1:6">
      <c r="A615" s="6">
        <v>614</v>
      </c>
      <c r="B615" s="8" t="s">
        <v>1522</v>
      </c>
      <c r="C615" s="8" t="s">
        <v>1523</v>
      </c>
      <c r="D615" s="8" t="s">
        <v>1524</v>
      </c>
      <c r="E615" s="8" t="s">
        <v>288</v>
      </c>
      <c r="F615" s="8" t="s">
        <v>1525</v>
      </c>
    </row>
    <row r="616" customHeight="1" spans="1:6">
      <c r="A616" s="6">
        <v>615</v>
      </c>
      <c r="B616" s="8" t="s">
        <v>1526</v>
      </c>
      <c r="C616" s="8" t="s">
        <v>1527</v>
      </c>
      <c r="D616" s="8" t="s">
        <v>1528</v>
      </c>
      <c r="E616" s="8" t="s">
        <v>1529</v>
      </c>
      <c r="F616" s="8" t="s">
        <v>1530</v>
      </c>
    </row>
    <row r="617" customHeight="1" spans="1:6">
      <c r="A617" s="6">
        <v>616</v>
      </c>
      <c r="B617" s="8" t="s">
        <v>1526</v>
      </c>
      <c r="C617" s="8" t="s">
        <v>1527</v>
      </c>
      <c r="D617" s="8" t="s">
        <v>1528</v>
      </c>
      <c r="E617" s="8" t="s">
        <v>1529</v>
      </c>
      <c r="F617" s="8" t="s">
        <v>1530</v>
      </c>
    </row>
    <row r="618" customHeight="1" spans="1:6">
      <c r="A618" s="6">
        <v>617</v>
      </c>
      <c r="B618" s="8" t="s">
        <v>1531</v>
      </c>
      <c r="C618" s="8" t="s">
        <v>1532</v>
      </c>
      <c r="D618" s="8" t="s">
        <v>1533</v>
      </c>
      <c r="E618" s="8" t="s">
        <v>1534</v>
      </c>
      <c r="F618" s="8" t="s">
        <v>1535</v>
      </c>
    </row>
    <row r="619" customHeight="1" spans="1:6">
      <c r="A619" s="6">
        <v>618</v>
      </c>
      <c r="B619" s="8" t="s">
        <v>1531</v>
      </c>
      <c r="C619" s="8" t="s">
        <v>1532</v>
      </c>
      <c r="D619" s="8" t="s">
        <v>1533</v>
      </c>
      <c r="E619" s="8" t="s">
        <v>1534</v>
      </c>
      <c r="F619" s="8" t="s">
        <v>1535</v>
      </c>
    </row>
    <row r="620" customHeight="1" spans="1:6">
      <c r="A620" s="6">
        <v>619</v>
      </c>
      <c r="B620" s="8" t="s">
        <v>1536</v>
      </c>
      <c r="C620" s="8" t="s">
        <v>1537</v>
      </c>
      <c r="D620" s="8" t="s">
        <v>1538</v>
      </c>
      <c r="E620" s="8" t="s">
        <v>710</v>
      </c>
      <c r="F620" s="8" t="s">
        <v>1539</v>
      </c>
    </row>
    <row r="621" customHeight="1" spans="1:6">
      <c r="A621" s="6">
        <v>620</v>
      </c>
      <c r="B621" s="8" t="s">
        <v>1536</v>
      </c>
      <c r="C621" s="8" t="s">
        <v>1537</v>
      </c>
      <c r="D621" s="8" t="s">
        <v>1538</v>
      </c>
      <c r="E621" s="8" t="s">
        <v>710</v>
      </c>
      <c r="F621" s="8" t="s">
        <v>1539</v>
      </c>
    </row>
    <row r="622" customHeight="1" spans="1:6">
      <c r="A622" s="6">
        <v>621</v>
      </c>
      <c r="B622" s="8" t="s">
        <v>1540</v>
      </c>
      <c r="C622" s="8" t="s">
        <v>1541</v>
      </c>
      <c r="D622" s="8" t="s">
        <v>1542</v>
      </c>
      <c r="E622" s="8" t="s">
        <v>1543</v>
      </c>
      <c r="F622" s="8" t="s">
        <v>1544</v>
      </c>
    </row>
    <row r="623" customHeight="1" spans="1:6">
      <c r="A623" s="6">
        <v>622</v>
      </c>
      <c r="B623" s="8" t="s">
        <v>1540</v>
      </c>
      <c r="C623" s="8" t="s">
        <v>1541</v>
      </c>
      <c r="D623" s="8" t="s">
        <v>1542</v>
      </c>
      <c r="E623" s="8" t="s">
        <v>1543</v>
      </c>
      <c r="F623" s="8" t="s">
        <v>1544</v>
      </c>
    </row>
    <row r="624" customHeight="1" spans="1:6">
      <c r="A624" s="6">
        <v>623</v>
      </c>
      <c r="B624" s="8" t="s">
        <v>1545</v>
      </c>
      <c r="C624" s="8" t="s">
        <v>1546</v>
      </c>
      <c r="D624" s="8" t="s">
        <v>1547</v>
      </c>
      <c r="E624" s="8" t="s">
        <v>48</v>
      </c>
      <c r="F624" s="8" t="s">
        <v>1548</v>
      </c>
    </row>
    <row r="625" customHeight="1" spans="1:6">
      <c r="A625" s="6">
        <v>624</v>
      </c>
      <c r="B625" s="8" t="s">
        <v>1545</v>
      </c>
      <c r="C625" s="8" t="s">
        <v>1546</v>
      </c>
      <c r="D625" s="8" t="s">
        <v>1547</v>
      </c>
      <c r="E625" s="8" t="s">
        <v>48</v>
      </c>
      <c r="F625" s="8" t="s">
        <v>1548</v>
      </c>
    </row>
    <row r="626" customHeight="1" spans="1:6">
      <c r="A626" s="6">
        <v>625</v>
      </c>
      <c r="B626" s="8" t="s">
        <v>1549</v>
      </c>
      <c r="C626" s="8" t="s">
        <v>1550</v>
      </c>
      <c r="D626" s="8" t="s">
        <v>1551</v>
      </c>
      <c r="E626" s="8" t="s">
        <v>3</v>
      </c>
      <c r="F626" s="8" t="s">
        <v>1552</v>
      </c>
    </row>
    <row r="627" customHeight="1" spans="1:6">
      <c r="A627" s="6">
        <v>626</v>
      </c>
      <c r="B627" s="8" t="s">
        <v>1549</v>
      </c>
      <c r="C627" s="8" t="s">
        <v>1550</v>
      </c>
      <c r="D627" s="8" t="s">
        <v>1551</v>
      </c>
      <c r="E627" s="8" t="s">
        <v>3</v>
      </c>
      <c r="F627" s="8" t="s">
        <v>1552</v>
      </c>
    </row>
    <row r="628" customHeight="1" spans="1:6">
      <c r="A628" s="6">
        <v>627</v>
      </c>
      <c r="B628" s="8" t="s">
        <v>1553</v>
      </c>
      <c r="C628" s="8" t="s">
        <v>1554</v>
      </c>
      <c r="D628" s="8" t="s">
        <v>1555</v>
      </c>
      <c r="E628" s="8" t="s">
        <v>23</v>
      </c>
      <c r="F628" s="8" t="s">
        <v>1556</v>
      </c>
    </row>
    <row r="629" customHeight="1" spans="1:6">
      <c r="A629" s="6">
        <v>628</v>
      </c>
      <c r="B629" s="8" t="s">
        <v>1553</v>
      </c>
      <c r="C629" s="8" t="s">
        <v>1554</v>
      </c>
      <c r="D629" s="8" t="s">
        <v>1555</v>
      </c>
      <c r="E629" s="8" t="s">
        <v>23</v>
      </c>
      <c r="F629" s="8" t="s">
        <v>1556</v>
      </c>
    </row>
    <row r="630" customHeight="1" spans="1:6">
      <c r="A630" s="6">
        <v>629</v>
      </c>
      <c r="B630" s="8" t="s">
        <v>1557</v>
      </c>
      <c r="C630" s="8" t="s">
        <v>1558</v>
      </c>
      <c r="D630" s="8" t="s">
        <v>1559</v>
      </c>
      <c r="E630" s="8" t="s">
        <v>1372</v>
      </c>
      <c r="F630" s="8" t="s">
        <v>1560</v>
      </c>
    </row>
    <row r="631" customHeight="1" spans="1:6">
      <c r="A631" s="6">
        <v>630</v>
      </c>
      <c r="B631" s="8" t="s">
        <v>1557</v>
      </c>
      <c r="C631" s="8" t="s">
        <v>1558</v>
      </c>
      <c r="D631" s="8" t="s">
        <v>1559</v>
      </c>
      <c r="E631" s="8" t="s">
        <v>1372</v>
      </c>
      <c r="F631" s="8" t="s">
        <v>1560</v>
      </c>
    </row>
    <row r="632" customHeight="1" spans="1:6">
      <c r="A632" s="6">
        <v>631</v>
      </c>
      <c r="B632" s="8" t="s">
        <v>1561</v>
      </c>
      <c r="C632" s="8" t="s">
        <v>1562</v>
      </c>
      <c r="D632" s="8" t="s">
        <v>1563</v>
      </c>
      <c r="E632" s="8" t="s">
        <v>1564</v>
      </c>
      <c r="F632" s="8" t="s">
        <v>1565</v>
      </c>
    </row>
    <row r="633" customHeight="1" spans="1:6">
      <c r="A633" s="6">
        <v>632</v>
      </c>
      <c r="B633" s="8" t="s">
        <v>1561</v>
      </c>
      <c r="C633" s="8" t="s">
        <v>1562</v>
      </c>
      <c r="D633" s="8" t="s">
        <v>1563</v>
      </c>
      <c r="E633" s="8" t="s">
        <v>1564</v>
      </c>
      <c r="F633" s="8" t="s">
        <v>1565</v>
      </c>
    </row>
    <row r="634" customHeight="1" spans="1:6">
      <c r="A634" s="6">
        <v>633</v>
      </c>
      <c r="B634" s="7" t="str">
        <f>"978-7-5203-8043-0"</f>
        <v>978-7-5203-8043-0</v>
      </c>
      <c r="C634" s="7" t="str">
        <f>"基层社会治理中的协同困境与对策研究"</f>
        <v>基层社会治理中的协同困境与对策研究</v>
      </c>
      <c r="D634" s="7" t="str">
        <f>"周定财著"</f>
        <v>周定财著</v>
      </c>
      <c r="E634" s="7" t="str">
        <f>"中国社会科学出版社"</f>
        <v>中国社会科学出版社</v>
      </c>
      <c r="F634" s="7" t="str">
        <f>"D63/213"</f>
        <v>D63/213</v>
      </c>
    </row>
    <row r="635" customHeight="1" spans="1:6">
      <c r="A635" s="6">
        <v>634</v>
      </c>
      <c r="B635" s="7" t="str">
        <f>"978-7-5203-8043-0"</f>
        <v>978-7-5203-8043-0</v>
      </c>
      <c r="C635" s="7" t="str">
        <f>"基层社会治理中的协同困境与对策研究"</f>
        <v>基层社会治理中的协同困境与对策研究</v>
      </c>
      <c r="D635" s="7" t="str">
        <f>"周定财著"</f>
        <v>周定财著</v>
      </c>
      <c r="E635" s="7" t="str">
        <f>"中国社会科学出版社"</f>
        <v>中国社会科学出版社</v>
      </c>
      <c r="F635" s="7" t="str">
        <f>"D63/213"</f>
        <v>D63/213</v>
      </c>
    </row>
    <row r="636" customHeight="1" spans="1:6">
      <c r="A636" s="6">
        <v>635</v>
      </c>
      <c r="B636" s="7" t="str">
        <f>"978-7-308-21487-2"</f>
        <v>978-7-308-21487-2</v>
      </c>
      <c r="C636" s="7" t="str">
        <f>"中国“放管服”改革：理论逻辑与实践探索：theoretical logic and practical exploration"</f>
        <v>中国“放管服”改革：理论逻辑与实践探索：theoretical logic and practical exploration</v>
      </c>
      <c r="D636" s="7" t="str">
        <f>"张占斌， 孙飞等著"</f>
        <v>张占斌， 孙飞等著</v>
      </c>
      <c r="E636" s="7" t="str">
        <f>"浙江大学出版社"</f>
        <v>浙江大学出版社</v>
      </c>
      <c r="F636" s="7" t="str">
        <f>"D63/214"</f>
        <v>D63/214</v>
      </c>
    </row>
    <row r="637" customHeight="1" spans="1:6">
      <c r="A637" s="6">
        <v>636</v>
      </c>
      <c r="B637" s="7" t="str">
        <f>"978-7-308-21487-2"</f>
        <v>978-7-308-21487-2</v>
      </c>
      <c r="C637" s="7" t="str">
        <f>"中国“放管服”改革：理论逻辑与实践探索：theoretical logic and practical exploration"</f>
        <v>中国“放管服”改革：理论逻辑与实践探索：theoretical logic and practical exploration</v>
      </c>
      <c r="D637" s="7" t="str">
        <f>"张占斌， 孙飞等著"</f>
        <v>张占斌， 孙飞等著</v>
      </c>
      <c r="E637" s="7" t="str">
        <f>"浙江大学出版社"</f>
        <v>浙江大学出版社</v>
      </c>
      <c r="F637" s="7" t="str">
        <f>"D63/214"</f>
        <v>D63/214</v>
      </c>
    </row>
    <row r="638" customHeight="1" spans="1:6">
      <c r="A638" s="6">
        <v>637</v>
      </c>
      <c r="B638" s="8" t="s">
        <v>1566</v>
      </c>
      <c r="C638" s="8" t="s">
        <v>1567</v>
      </c>
      <c r="D638" s="8" t="s">
        <v>1568</v>
      </c>
      <c r="E638" s="8" t="s">
        <v>360</v>
      </c>
      <c r="F638" s="8" t="s">
        <v>1569</v>
      </c>
    </row>
    <row r="639" customHeight="1" spans="1:6">
      <c r="A639" s="6">
        <v>638</v>
      </c>
      <c r="B639" s="8" t="s">
        <v>1566</v>
      </c>
      <c r="C639" s="8" t="s">
        <v>1567</v>
      </c>
      <c r="D639" s="8" t="s">
        <v>1568</v>
      </c>
      <c r="E639" s="8" t="s">
        <v>360</v>
      </c>
      <c r="F639" s="8" t="s">
        <v>1569</v>
      </c>
    </row>
    <row r="640" customHeight="1" spans="1:6">
      <c r="A640" s="6">
        <v>639</v>
      </c>
      <c r="B640" s="8" t="s">
        <v>1570</v>
      </c>
      <c r="C640" s="8" t="s">
        <v>1571</v>
      </c>
      <c r="D640" s="8" t="s">
        <v>1572</v>
      </c>
      <c r="E640" s="8" t="s">
        <v>571</v>
      </c>
      <c r="F640" s="8" t="s">
        <v>1573</v>
      </c>
    </row>
    <row r="641" customHeight="1" spans="1:6">
      <c r="A641" s="6">
        <v>640</v>
      </c>
      <c r="B641" s="8" t="s">
        <v>1570</v>
      </c>
      <c r="C641" s="8" t="s">
        <v>1571</v>
      </c>
      <c r="D641" s="8" t="s">
        <v>1572</v>
      </c>
      <c r="E641" s="8" t="s">
        <v>571</v>
      </c>
      <c r="F641" s="8" t="s">
        <v>1573</v>
      </c>
    </row>
    <row r="642" customHeight="1" spans="1:6">
      <c r="A642" s="6">
        <v>641</v>
      </c>
      <c r="B642" s="8" t="s">
        <v>1570</v>
      </c>
      <c r="C642" s="8" t="s">
        <v>1571</v>
      </c>
      <c r="D642" s="8" t="s">
        <v>1572</v>
      </c>
      <c r="E642" s="8" t="s">
        <v>571</v>
      </c>
      <c r="F642" s="8" t="s">
        <v>1573</v>
      </c>
    </row>
    <row r="643" customHeight="1" spans="1:6">
      <c r="A643" s="6">
        <v>642</v>
      </c>
      <c r="B643" s="8" t="s">
        <v>1574</v>
      </c>
      <c r="C643" s="8" t="s">
        <v>1575</v>
      </c>
      <c r="D643" s="8" t="s">
        <v>1576</v>
      </c>
      <c r="E643" s="8" t="s">
        <v>415</v>
      </c>
      <c r="F643" s="8" t="s">
        <v>1577</v>
      </c>
    </row>
    <row r="644" customHeight="1" spans="1:6">
      <c r="A644" s="6">
        <v>643</v>
      </c>
      <c r="B644" s="8" t="s">
        <v>1574</v>
      </c>
      <c r="C644" s="8" t="s">
        <v>1575</v>
      </c>
      <c r="D644" s="8" t="s">
        <v>1576</v>
      </c>
      <c r="E644" s="8" t="s">
        <v>415</v>
      </c>
      <c r="F644" s="8" t="s">
        <v>1577</v>
      </c>
    </row>
    <row r="645" customHeight="1" spans="1:6">
      <c r="A645" s="6">
        <v>644</v>
      </c>
      <c r="B645" s="8" t="s">
        <v>1574</v>
      </c>
      <c r="C645" s="8" t="s">
        <v>1575</v>
      </c>
      <c r="D645" s="8" t="s">
        <v>1576</v>
      </c>
      <c r="E645" s="8" t="s">
        <v>415</v>
      </c>
      <c r="F645" s="8" t="s">
        <v>1577</v>
      </c>
    </row>
    <row r="646" customHeight="1" spans="1:6">
      <c r="A646" s="6">
        <v>645</v>
      </c>
      <c r="B646" s="8" t="s">
        <v>1578</v>
      </c>
      <c r="C646" s="8" t="s">
        <v>1579</v>
      </c>
      <c r="D646" s="8" t="s">
        <v>1580</v>
      </c>
      <c r="E646" s="8" t="s">
        <v>43</v>
      </c>
      <c r="F646" s="8" t="s">
        <v>1581</v>
      </c>
    </row>
    <row r="647" customHeight="1" spans="1:6">
      <c r="A647" s="6">
        <v>646</v>
      </c>
      <c r="B647" s="8" t="s">
        <v>1578</v>
      </c>
      <c r="C647" s="8" t="s">
        <v>1579</v>
      </c>
      <c r="D647" s="8" t="s">
        <v>1580</v>
      </c>
      <c r="E647" s="8" t="s">
        <v>43</v>
      </c>
      <c r="F647" s="8" t="s">
        <v>1581</v>
      </c>
    </row>
    <row r="648" customHeight="1" spans="1:6">
      <c r="A648" s="6">
        <v>647</v>
      </c>
      <c r="B648" s="8" t="s">
        <v>1578</v>
      </c>
      <c r="C648" s="8" t="s">
        <v>1579</v>
      </c>
      <c r="D648" s="8" t="s">
        <v>1580</v>
      </c>
      <c r="E648" s="8" t="s">
        <v>43</v>
      </c>
      <c r="F648" s="8" t="s">
        <v>1581</v>
      </c>
    </row>
    <row r="649" customHeight="1" spans="1:6">
      <c r="A649" s="6">
        <v>648</v>
      </c>
      <c r="B649" s="8" t="s">
        <v>1582</v>
      </c>
      <c r="C649" s="8" t="s">
        <v>1583</v>
      </c>
      <c r="D649" s="8" t="s">
        <v>1584</v>
      </c>
      <c r="E649" s="8" t="s">
        <v>881</v>
      </c>
      <c r="F649" s="8" t="s">
        <v>1585</v>
      </c>
    </row>
    <row r="650" customHeight="1" spans="1:6">
      <c r="A650" s="6">
        <v>649</v>
      </c>
      <c r="B650" s="8" t="s">
        <v>1582</v>
      </c>
      <c r="C650" s="8" t="s">
        <v>1583</v>
      </c>
      <c r="D650" s="8" t="s">
        <v>1584</v>
      </c>
      <c r="E650" s="8" t="s">
        <v>881</v>
      </c>
      <c r="F650" s="8" t="s">
        <v>1585</v>
      </c>
    </row>
    <row r="651" customHeight="1" spans="1:6">
      <c r="A651" s="6">
        <v>650</v>
      </c>
      <c r="B651" s="8" t="s">
        <v>1586</v>
      </c>
      <c r="C651" s="8" t="s">
        <v>1587</v>
      </c>
      <c r="D651" s="8" t="s">
        <v>1588</v>
      </c>
      <c r="E651" s="8" t="s">
        <v>1189</v>
      </c>
      <c r="F651" s="8" t="s">
        <v>1589</v>
      </c>
    </row>
    <row r="652" customHeight="1" spans="1:6">
      <c r="A652" s="6">
        <v>651</v>
      </c>
      <c r="B652" s="8" t="s">
        <v>1586</v>
      </c>
      <c r="C652" s="8" t="s">
        <v>1587</v>
      </c>
      <c r="D652" s="8" t="s">
        <v>1588</v>
      </c>
      <c r="E652" s="8" t="s">
        <v>1189</v>
      </c>
      <c r="F652" s="8" t="s">
        <v>1589</v>
      </c>
    </row>
    <row r="653" customHeight="1" spans="1:6">
      <c r="A653" s="6">
        <v>652</v>
      </c>
      <c r="B653" s="8" t="s">
        <v>1590</v>
      </c>
      <c r="C653" s="8" t="s">
        <v>1591</v>
      </c>
      <c r="D653" s="8" t="s">
        <v>1592</v>
      </c>
      <c r="E653" s="8" t="s">
        <v>43</v>
      </c>
      <c r="F653" s="8" t="s">
        <v>1593</v>
      </c>
    </row>
    <row r="654" customHeight="1" spans="1:6">
      <c r="A654" s="6">
        <v>653</v>
      </c>
      <c r="B654" s="8" t="s">
        <v>1590</v>
      </c>
      <c r="C654" s="8" t="s">
        <v>1591</v>
      </c>
      <c r="D654" s="8" t="s">
        <v>1592</v>
      </c>
      <c r="E654" s="8" t="s">
        <v>43</v>
      </c>
      <c r="F654" s="8" t="s">
        <v>1593</v>
      </c>
    </row>
    <row r="655" customHeight="1" spans="1:6">
      <c r="A655" s="6">
        <v>654</v>
      </c>
      <c r="B655" s="8" t="s">
        <v>1590</v>
      </c>
      <c r="C655" s="8" t="s">
        <v>1591</v>
      </c>
      <c r="D655" s="8" t="s">
        <v>1592</v>
      </c>
      <c r="E655" s="8" t="s">
        <v>43</v>
      </c>
      <c r="F655" s="8" t="s">
        <v>1593</v>
      </c>
    </row>
    <row r="656" customHeight="1" spans="1:6">
      <c r="A656" s="6">
        <v>655</v>
      </c>
      <c r="B656" s="8" t="s">
        <v>1594</v>
      </c>
      <c r="C656" s="8" t="s">
        <v>1595</v>
      </c>
      <c r="D656" s="8" t="s">
        <v>1596</v>
      </c>
      <c r="E656" s="8" t="s">
        <v>239</v>
      </c>
      <c r="F656" s="8" t="s">
        <v>1597</v>
      </c>
    </row>
    <row r="657" customHeight="1" spans="1:6">
      <c r="A657" s="6">
        <v>656</v>
      </c>
      <c r="B657" s="8" t="s">
        <v>1594</v>
      </c>
      <c r="C657" s="8" t="s">
        <v>1595</v>
      </c>
      <c r="D657" s="8" t="s">
        <v>1596</v>
      </c>
      <c r="E657" s="8" t="s">
        <v>239</v>
      </c>
      <c r="F657" s="8" t="s">
        <v>1597</v>
      </c>
    </row>
    <row r="658" customHeight="1" spans="1:6">
      <c r="A658" s="6">
        <v>657</v>
      </c>
      <c r="B658" s="8" t="s">
        <v>1594</v>
      </c>
      <c r="C658" s="8" t="s">
        <v>1595</v>
      </c>
      <c r="D658" s="8" t="s">
        <v>1596</v>
      </c>
      <c r="E658" s="8" t="s">
        <v>239</v>
      </c>
      <c r="F658" s="8" t="s">
        <v>1597</v>
      </c>
    </row>
    <row r="659" customHeight="1" spans="1:6">
      <c r="A659" s="6">
        <v>658</v>
      </c>
      <c r="B659" s="8" t="s">
        <v>1598</v>
      </c>
      <c r="C659" s="8" t="s">
        <v>1599</v>
      </c>
      <c r="D659" s="8" t="s">
        <v>1600</v>
      </c>
      <c r="E659" s="8" t="s">
        <v>385</v>
      </c>
      <c r="F659" s="8" t="s">
        <v>1601</v>
      </c>
    </row>
    <row r="660" customHeight="1" spans="1:6">
      <c r="A660" s="6">
        <v>659</v>
      </c>
      <c r="B660" s="8" t="s">
        <v>1598</v>
      </c>
      <c r="C660" s="8" t="s">
        <v>1599</v>
      </c>
      <c r="D660" s="8" t="s">
        <v>1600</v>
      </c>
      <c r="E660" s="8" t="s">
        <v>385</v>
      </c>
      <c r="F660" s="8" t="s">
        <v>1601</v>
      </c>
    </row>
    <row r="661" customHeight="1" spans="1:6">
      <c r="A661" s="6">
        <v>660</v>
      </c>
      <c r="B661" s="8" t="s">
        <v>1602</v>
      </c>
      <c r="C661" s="8" t="s">
        <v>1603</v>
      </c>
      <c r="D661" s="8" t="s">
        <v>1604</v>
      </c>
      <c r="E661" s="8" t="s">
        <v>239</v>
      </c>
      <c r="F661" s="8" t="s">
        <v>1605</v>
      </c>
    </row>
    <row r="662" customHeight="1" spans="1:6">
      <c r="A662" s="6">
        <v>661</v>
      </c>
      <c r="B662" s="8" t="s">
        <v>1602</v>
      </c>
      <c r="C662" s="8" t="s">
        <v>1603</v>
      </c>
      <c r="D662" s="8" t="s">
        <v>1604</v>
      </c>
      <c r="E662" s="8" t="s">
        <v>239</v>
      </c>
      <c r="F662" s="8" t="s">
        <v>1605</v>
      </c>
    </row>
    <row r="663" customHeight="1" spans="1:6">
      <c r="A663" s="6">
        <v>662</v>
      </c>
      <c r="B663" s="8" t="s">
        <v>1606</v>
      </c>
      <c r="C663" s="8" t="s">
        <v>1607</v>
      </c>
      <c r="D663" s="8" t="s">
        <v>1608</v>
      </c>
      <c r="E663" s="8" t="s">
        <v>48</v>
      </c>
      <c r="F663" s="8" t="s">
        <v>1609</v>
      </c>
    </row>
    <row r="664" customHeight="1" spans="1:6">
      <c r="A664" s="6">
        <v>663</v>
      </c>
      <c r="B664" s="8" t="s">
        <v>1606</v>
      </c>
      <c r="C664" s="8" t="s">
        <v>1607</v>
      </c>
      <c r="D664" s="8" t="s">
        <v>1608</v>
      </c>
      <c r="E664" s="8" t="s">
        <v>48</v>
      </c>
      <c r="F664" s="8" t="s">
        <v>1609</v>
      </c>
    </row>
    <row r="665" customHeight="1" spans="1:6">
      <c r="A665" s="6">
        <v>664</v>
      </c>
      <c r="B665" s="8" t="s">
        <v>1610</v>
      </c>
      <c r="C665" s="8" t="s">
        <v>1611</v>
      </c>
      <c r="D665" s="8" t="s">
        <v>1612</v>
      </c>
      <c r="E665" s="8" t="s">
        <v>13</v>
      </c>
      <c r="F665" s="8" t="s">
        <v>1613</v>
      </c>
    </row>
    <row r="666" customHeight="1" spans="1:6">
      <c r="A666" s="6">
        <v>665</v>
      </c>
      <c r="B666" s="8" t="s">
        <v>1610</v>
      </c>
      <c r="C666" s="8" t="s">
        <v>1611</v>
      </c>
      <c r="D666" s="8" t="s">
        <v>1612</v>
      </c>
      <c r="E666" s="8" t="s">
        <v>13</v>
      </c>
      <c r="F666" s="8" t="s">
        <v>1613</v>
      </c>
    </row>
    <row r="667" customHeight="1" spans="1:6">
      <c r="A667" s="6">
        <v>666</v>
      </c>
      <c r="B667" s="8" t="s">
        <v>1614</v>
      </c>
      <c r="C667" s="8" t="s">
        <v>1615</v>
      </c>
      <c r="D667" s="8" t="s">
        <v>1616</v>
      </c>
      <c r="E667" s="8" t="s">
        <v>1617</v>
      </c>
      <c r="F667" s="8" t="s">
        <v>1618</v>
      </c>
    </row>
    <row r="668" customHeight="1" spans="1:6">
      <c r="A668" s="6">
        <v>667</v>
      </c>
      <c r="B668" s="8" t="s">
        <v>1614</v>
      </c>
      <c r="C668" s="8" t="s">
        <v>1615</v>
      </c>
      <c r="D668" s="8" t="s">
        <v>1616</v>
      </c>
      <c r="E668" s="8" t="s">
        <v>1617</v>
      </c>
      <c r="F668" s="8" t="s">
        <v>1618</v>
      </c>
    </row>
    <row r="669" customHeight="1" spans="1:6">
      <c r="A669" s="6">
        <v>668</v>
      </c>
      <c r="B669" s="8" t="s">
        <v>1619</v>
      </c>
      <c r="C669" s="8" t="s">
        <v>1620</v>
      </c>
      <c r="D669" s="8" t="s">
        <v>1621</v>
      </c>
      <c r="E669" s="8" t="s">
        <v>1622</v>
      </c>
      <c r="F669" s="8" t="s">
        <v>1623</v>
      </c>
    </row>
    <row r="670" customHeight="1" spans="1:6">
      <c r="A670" s="6">
        <v>669</v>
      </c>
      <c r="B670" s="8" t="s">
        <v>1619</v>
      </c>
      <c r="C670" s="8" t="s">
        <v>1620</v>
      </c>
      <c r="D670" s="8" t="s">
        <v>1621</v>
      </c>
      <c r="E670" s="8" t="s">
        <v>1622</v>
      </c>
      <c r="F670" s="8" t="s">
        <v>1623</v>
      </c>
    </row>
    <row r="671" customHeight="1" spans="1:6">
      <c r="A671" s="6">
        <v>670</v>
      </c>
      <c r="B671" s="8" t="s">
        <v>1624</v>
      </c>
      <c r="C671" s="8" t="s">
        <v>1625</v>
      </c>
      <c r="D671" s="8" t="s">
        <v>1626</v>
      </c>
      <c r="E671" s="8" t="s">
        <v>43</v>
      </c>
      <c r="F671" s="8" t="s">
        <v>1627</v>
      </c>
    </row>
    <row r="672" customHeight="1" spans="1:6">
      <c r="A672" s="6">
        <v>671</v>
      </c>
      <c r="B672" s="8" t="s">
        <v>1624</v>
      </c>
      <c r="C672" s="8" t="s">
        <v>1625</v>
      </c>
      <c r="D672" s="8" t="s">
        <v>1626</v>
      </c>
      <c r="E672" s="8" t="s">
        <v>43</v>
      </c>
      <c r="F672" s="8" t="s">
        <v>1627</v>
      </c>
    </row>
    <row r="673" customHeight="1" spans="1:6">
      <c r="A673" s="6">
        <v>672</v>
      </c>
      <c r="B673" s="8" t="s">
        <v>1624</v>
      </c>
      <c r="C673" s="8" t="s">
        <v>1625</v>
      </c>
      <c r="D673" s="8" t="s">
        <v>1626</v>
      </c>
      <c r="E673" s="8" t="s">
        <v>43</v>
      </c>
      <c r="F673" s="8" t="s">
        <v>1627</v>
      </c>
    </row>
    <row r="674" customHeight="1" spans="1:6">
      <c r="A674" s="6">
        <v>673</v>
      </c>
      <c r="B674" s="8" t="s">
        <v>1628</v>
      </c>
      <c r="C674" s="8" t="s">
        <v>1629</v>
      </c>
      <c r="D674" s="8" t="s">
        <v>1630</v>
      </c>
      <c r="E674" s="8" t="s">
        <v>1631</v>
      </c>
      <c r="F674" s="8" t="s">
        <v>1632</v>
      </c>
    </row>
    <row r="675" customHeight="1" spans="1:6">
      <c r="A675" s="6">
        <v>674</v>
      </c>
      <c r="B675" s="8" t="s">
        <v>1628</v>
      </c>
      <c r="C675" s="8" t="s">
        <v>1629</v>
      </c>
      <c r="D675" s="8" t="s">
        <v>1630</v>
      </c>
      <c r="E675" s="8" t="s">
        <v>1631</v>
      </c>
      <c r="F675" s="8" t="s">
        <v>1632</v>
      </c>
    </row>
    <row r="676" customHeight="1" spans="1:6">
      <c r="A676" s="6">
        <v>675</v>
      </c>
      <c r="B676" s="8" t="s">
        <v>1633</v>
      </c>
      <c r="C676" s="8" t="s">
        <v>1634</v>
      </c>
      <c r="D676" s="8" t="s">
        <v>1635</v>
      </c>
      <c r="E676" s="8" t="s">
        <v>1636</v>
      </c>
      <c r="F676" s="8" t="s">
        <v>1637</v>
      </c>
    </row>
    <row r="677" customHeight="1" spans="1:6">
      <c r="A677" s="6">
        <v>676</v>
      </c>
      <c r="B677" s="8" t="s">
        <v>1633</v>
      </c>
      <c r="C677" s="8" t="s">
        <v>1634</v>
      </c>
      <c r="D677" s="8" t="s">
        <v>1635</v>
      </c>
      <c r="E677" s="8" t="s">
        <v>1636</v>
      </c>
      <c r="F677" s="8" t="s">
        <v>1637</v>
      </c>
    </row>
    <row r="678" customHeight="1" spans="1:6">
      <c r="A678" s="6">
        <v>677</v>
      </c>
      <c r="B678" s="8" t="s">
        <v>1638</v>
      </c>
      <c r="C678" s="8" t="s">
        <v>1639</v>
      </c>
      <c r="D678" s="8" t="s">
        <v>1640</v>
      </c>
      <c r="E678" s="8" t="s">
        <v>696</v>
      </c>
      <c r="F678" s="8" t="s">
        <v>1641</v>
      </c>
    </row>
    <row r="679" customHeight="1" spans="1:6">
      <c r="A679" s="6">
        <v>678</v>
      </c>
      <c r="B679" s="8" t="s">
        <v>1638</v>
      </c>
      <c r="C679" s="8" t="s">
        <v>1639</v>
      </c>
      <c r="D679" s="8" t="s">
        <v>1640</v>
      </c>
      <c r="E679" s="8" t="s">
        <v>696</v>
      </c>
      <c r="F679" s="8" t="s">
        <v>1641</v>
      </c>
    </row>
    <row r="680" customHeight="1" spans="1:6">
      <c r="A680" s="6">
        <v>679</v>
      </c>
      <c r="B680" s="7" t="str">
        <f>"978-7-208-17133-6"</f>
        <v>978-7-208-17133-6</v>
      </c>
      <c r="C680" s="7" t="str">
        <f>"置身事内：中国政府与经济发展"</f>
        <v>置身事内：中国政府与经济发展</v>
      </c>
      <c r="D680" s="7" t="str">
        <f>"兰小欢著"</f>
        <v>兰小欢著</v>
      </c>
      <c r="E680" s="7" t="str">
        <f>"上海人民出版社"</f>
        <v>上海人民出版社</v>
      </c>
      <c r="F680" s="7" t="str">
        <f>"D630.1/240"</f>
        <v>D630.1/240</v>
      </c>
    </row>
    <row r="681" customHeight="1" spans="1:6">
      <c r="A681" s="6">
        <v>680</v>
      </c>
      <c r="B681" s="7" t="str">
        <f>"978-7-208-17133-6"</f>
        <v>978-7-208-17133-6</v>
      </c>
      <c r="C681" s="7" t="str">
        <f>"置身事内：中国政府与经济发展"</f>
        <v>置身事内：中国政府与经济发展</v>
      </c>
      <c r="D681" s="7" t="str">
        <f>"兰小欢著"</f>
        <v>兰小欢著</v>
      </c>
      <c r="E681" s="7" t="str">
        <f>"上海人民出版社"</f>
        <v>上海人民出版社</v>
      </c>
      <c r="F681" s="7" t="str">
        <f>"D630.1/240"</f>
        <v>D630.1/240</v>
      </c>
    </row>
    <row r="682" customHeight="1" spans="1:6">
      <c r="A682" s="6">
        <v>681</v>
      </c>
      <c r="B682" s="8" t="s">
        <v>1642</v>
      </c>
      <c r="C682" s="8" t="s">
        <v>1643</v>
      </c>
      <c r="D682" s="8" t="s">
        <v>1644</v>
      </c>
      <c r="E682" s="8" t="s">
        <v>1645</v>
      </c>
      <c r="F682" s="8" t="s">
        <v>1646</v>
      </c>
    </row>
    <row r="683" customHeight="1" spans="1:6">
      <c r="A683" s="6">
        <v>682</v>
      </c>
      <c r="B683" s="8" t="s">
        <v>1642</v>
      </c>
      <c r="C683" s="8" t="s">
        <v>1643</v>
      </c>
      <c r="D683" s="8" t="s">
        <v>1644</v>
      </c>
      <c r="E683" s="8" t="s">
        <v>1645</v>
      </c>
      <c r="F683" s="8" t="s">
        <v>1646</v>
      </c>
    </row>
    <row r="684" customHeight="1" spans="1:6">
      <c r="A684" s="6">
        <v>683</v>
      </c>
      <c r="B684" s="8" t="s">
        <v>1647</v>
      </c>
      <c r="C684" s="8" t="s">
        <v>1648</v>
      </c>
      <c r="D684" s="8" t="s">
        <v>1649</v>
      </c>
      <c r="E684" s="8" t="s">
        <v>385</v>
      </c>
      <c r="F684" s="8" t="s">
        <v>1650</v>
      </c>
    </row>
    <row r="685" customHeight="1" spans="1:6">
      <c r="A685" s="6">
        <v>684</v>
      </c>
      <c r="B685" s="8" t="s">
        <v>1647</v>
      </c>
      <c r="C685" s="8" t="s">
        <v>1648</v>
      </c>
      <c r="D685" s="8" t="s">
        <v>1649</v>
      </c>
      <c r="E685" s="8" t="s">
        <v>385</v>
      </c>
      <c r="F685" s="8" t="s">
        <v>1650</v>
      </c>
    </row>
    <row r="686" customHeight="1" spans="1:6">
      <c r="A686" s="6">
        <v>685</v>
      </c>
      <c r="B686" s="8" t="s">
        <v>1647</v>
      </c>
      <c r="C686" s="8" t="s">
        <v>1648</v>
      </c>
      <c r="D686" s="8" t="s">
        <v>1649</v>
      </c>
      <c r="E686" s="8" t="s">
        <v>385</v>
      </c>
      <c r="F686" s="8" t="s">
        <v>1650</v>
      </c>
    </row>
    <row r="687" customHeight="1" spans="1:6">
      <c r="A687" s="6">
        <v>686</v>
      </c>
      <c r="B687" s="8" t="s">
        <v>1651</v>
      </c>
      <c r="C687" s="8" t="s">
        <v>1652</v>
      </c>
      <c r="D687" s="8" t="s">
        <v>1653</v>
      </c>
      <c r="E687" s="8" t="s">
        <v>23</v>
      </c>
      <c r="F687" s="8" t="s">
        <v>1654</v>
      </c>
    </row>
    <row r="688" customHeight="1" spans="1:6">
      <c r="A688" s="6">
        <v>687</v>
      </c>
      <c r="B688" s="7" t="str">
        <f t="shared" ref="B688:B690" si="127">"978-7-5158-2647-9"</f>
        <v>978-7-5158-2647-9</v>
      </c>
      <c r="C688" s="7" t="str">
        <f t="shared" ref="C688:C690" si="128">"政务礼仪"</f>
        <v>政务礼仪</v>
      </c>
      <c r="D688" s="7" t="str">
        <f t="shared" ref="D688:D690" si="129">"杨金波著"</f>
        <v>杨金波著</v>
      </c>
      <c r="E688" s="7" t="str">
        <f t="shared" ref="E688:E690" si="130">"中华工商联合出版社"</f>
        <v>中华工商联合出版社</v>
      </c>
      <c r="F688" s="7" t="str">
        <f t="shared" ref="F688:F690" si="131">"D630.3/676=4D"</f>
        <v>D630.3/676=4D</v>
      </c>
    </row>
    <row r="689" customHeight="1" spans="1:6">
      <c r="A689" s="6">
        <v>688</v>
      </c>
      <c r="B689" s="7" t="str">
        <f t="shared" si="127"/>
        <v>978-7-5158-2647-9</v>
      </c>
      <c r="C689" s="7" t="str">
        <f t="shared" si="128"/>
        <v>政务礼仪</v>
      </c>
      <c r="D689" s="7" t="str">
        <f t="shared" si="129"/>
        <v>杨金波著</v>
      </c>
      <c r="E689" s="7" t="str">
        <f t="shared" si="130"/>
        <v>中华工商联合出版社</v>
      </c>
      <c r="F689" s="7" t="str">
        <f t="shared" si="131"/>
        <v>D630.3/676=4D</v>
      </c>
    </row>
    <row r="690" customHeight="1" spans="1:6">
      <c r="A690" s="6">
        <v>689</v>
      </c>
      <c r="B690" s="7" t="str">
        <f t="shared" si="127"/>
        <v>978-7-5158-2647-9</v>
      </c>
      <c r="C690" s="7" t="str">
        <f t="shared" si="128"/>
        <v>政务礼仪</v>
      </c>
      <c r="D690" s="7" t="str">
        <f t="shared" si="129"/>
        <v>杨金波著</v>
      </c>
      <c r="E690" s="7" t="str">
        <f t="shared" si="130"/>
        <v>中华工商联合出版社</v>
      </c>
      <c r="F690" s="7" t="str">
        <f t="shared" si="131"/>
        <v>D630.3/676=4D</v>
      </c>
    </row>
    <row r="691" customHeight="1" spans="1:6">
      <c r="A691" s="6">
        <v>690</v>
      </c>
      <c r="B691" s="8" t="s">
        <v>1655</v>
      </c>
      <c r="C691" s="8" t="s">
        <v>1656</v>
      </c>
      <c r="D691" s="8" t="s">
        <v>1657</v>
      </c>
      <c r="E691" s="8" t="s">
        <v>425</v>
      </c>
      <c r="F691" s="8" t="s">
        <v>1658</v>
      </c>
    </row>
    <row r="692" customHeight="1" spans="1:6">
      <c r="A692" s="6">
        <v>691</v>
      </c>
      <c r="B692" s="8" t="s">
        <v>1655</v>
      </c>
      <c r="C692" s="8" t="s">
        <v>1656</v>
      </c>
      <c r="D692" s="8" t="s">
        <v>1657</v>
      </c>
      <c r="E692" s="8" t="s">
        <v>425</v>
      </c>
      <c r="F692" s="8" t="s">
        <v>1658</v>
      </c>
    </row>
    <row r="693" customHeight="1" spans="1:6">
      <c r="A693" s="6">
        <v>692</v>
      </c>
      <c r="B693" s="8" t="s">
        <v>1655</v>
      </c>
      <c r="C693" s="8" t="s">
        <v>1656</v>
      </c>
      <c r="D693" s="8" t="s">
        <v>1657</v>
      </c>
      <c r="E693" s="8" t="s">
        <v>425</v>
      </c>
      <c r="F693" s="8" t="s">
        <v>1658</v>
      </c>
    </row>
    <row r="694" customHeight="1" spans="1:6">
      <c r="A694" s="6">
        <v>693</v>
      </c>
      <c r="B694" s="8" t="s">
        <v>1659</v>
      </c>
      <c r="C694" s="8" t="s">
        <v>1660</v>
      </c>
      <c r="D694" s="8" t="s">
        <v>1661</v>
      </c>
      <c r="E694" s="8" t="s">
        <v>1662</v>
      </c>
      <c r="F694" s="8" t="s">
        <v>1663</v>
      </c>
    </row>
    <row r="695" customHeight="1" spans="1:6">
      <c r="A695" s="6">
        <v>694</v>
      </c>
      <c r="B695" s="8" t="s">
        <v>1659</v>
      </c>
      <c r="C695" s="8" t="s">
        <v>1660</v>
      </c>
      <c r="D695" s="8" t="s">
        <v>1661</v>
      </c>
      <c r="E695" s="8" t="s">
        <v>1662</v>
      </c>
      <c r="F695" s="8" t="s">
        <v>1663</v>
      </c>
    </row>
    <row r="696" customHeight="1" spans="1:6">
      <c r="A696" s="6">
        <v>695</v>
      </c>
      <c r="B696" s="8" t="s">
        <v>1664</v>
      </c>
      <c r="C696" s="8" t="s">
        <v>1665</v>
      </c>
      <c r="D696" s="8" t="s">
        <v>1666</v>
      </c>
      <c r="E696" s="8" t="s">
        <v>1667</v>
      </c>
      <c r="F696" s="8" t="s">
        <v>1668</v>
      </c>
    </row>
    <row r="697" customHeight="1" spans="1:6">
      <c r="A697" s="6">
        <v>696</v>
      </c>
      <c r="B697" s="8" t="s">
        <v>1664</v>
      </c>
      <c r="C697" s="8" t="s">
        <v>1665</v>
      </c>
      <c r="D697" s="8" t="s">
        <v>1666</v>
      </c>
      <c r="E697" s="8" t="s">
        <v>1667</v>
      </c>
      <c r="F697" s="8" t="s">
        <v>1668</v>
      </c>
    </row>
    <row r="698" customHeight="1" spans="1:6">
      <c r="A698" s="6">
        <v>697</v>
      </c>
      <c r="B698" s="8" t="s">
        <v>1664</v>
      </c>
      <c r="C698" s="8" t="s">
        <v>1665</v>
      </c>
      <c r="D698" s="8" t="s">
        <v>1666</v>
      </c>
      <c r="E698" s="8" t="s">
        <v>1667</v>
      </c>
      <c r="F698" s="8" t="s">
        <v>1668</v>
      </c>
    </row>
    <row r="699" customHeight="1" spans="1:6">
      <c r="A699" s="6">
        <v>698</v>
      </c>
      <c r="B699" s="8" t="s">
        <v>1669</v>
      </c>
      <c r="C699" s="8" t="s">
        <v>1670</v>
      </c>
      <c r="D699" s="8" t="s">
        <v>1671</v>
      </c>
      <c r="E699" s="8" t="s">
        <v>43</v>
      </c>
      <c r="F699" s="8" t="s">
        <v>1672</v>
      </c>
    </row>
    <row r="700" customHeight="1" spans="1:6">
      <c r="A700" s="6">
        <v>699</v>
      </c>
      <c r="B700" s="8" t="s">
        <v>1669</v>
      </c>
      <c r="C700" s="8" t="s">
        <v>1670</v>
      </c>
      <c r="D700" s="8" t="s">
        <v>1671</v>
      </c>
      <c r="E700" s="8" t="s">
        <v>43</v>
      </c>
      <c r="F700" s="8" t="s">
        <v>1672</v>
      </c>
    </row>
    <row r="701" customHeight="1" spans="1:6">
      <c r="A701" s="6">
        <v>700</v>
      </c>
      <c r="B701" s="8" t="s">
        <v>1669</v>
      </c>
      <c r="C701" s="8" t="s">
        <v>1670</v>
      </c>
      <c r="D701" s="8" t="s">
        <v>1671</v>
      </c>
      <c r="E701" s="8" t="s">
        <v>43</v>
      </c>
      <c r="F701" s="8" t="s">
        <v>1672</v>
      </c>
    </row>
    <row r="702" customHeight="1" spans="1:6">
      <c r="A702" s="6">
        <v>701</v>
      </c>
      <c r="B702" s="8" t="s">
        <v>1673</v>
      </c>
      <c r="C702" s="8" t="s">
        <v>1674</v>
      </c>
      <c r="D702" s="8" t="s">
        <v>1675</v>
      </c>
      <c r="E702" s="8" t="s">
        <v>415</v>
      </c>
      <c r="F702" s="8" t="s">
        <v>1676</v>
      </c>
    </row>
    <row r="703" customHeight="1" spans="1:6">
      <c r="A703" s="6">
        <v>702</v>
      </c>
      <c r="B703" s="8" t="s">
        <v>1673</v>
      </c>
      <c r="C703" s="8" t="s">
        <v>1674</v>
      </c>
      <c r="D703" s="8" t="s">
        <v>1675</v>
      </c>
      <c r="E703" s="8" t="s">
        <v>415</v>
      </c>
      <c r="F703" s="8" t="s">
        <v>1676</v>
      </c>
    </row>
    <row r="704" customHeight="1" spans="1:6">
      <c r="A704" s="6">
        <v>703</v>
      </c>
      <c r="B704" s="8" t="s">
        <v>1677</v>
      </c>
      <c r="C704" s="8" t="s">
        <v>1678</v>
      </c>
      <c r="D704" s="8" t="s">
        <v>1679</v>
      </c>
      <c r="E704" s="8" t="s">
        <v>615</v>
      </c>
      <c r="F704" s="8" t="s">
        <v>1680</v>
      </c>
    </row>
    <row r="705" customHeight="1" spans="1:6">
      <c r="A705" s="6">
        <v>704</v>
      </c>
      <c r="B705" s="8" t="s">
        <v>1677</v>
      </c>
      <c r="C705" s="8" t="s">
        <v>1678</v>
      </c>
      <c r="D705" s="8" t="s">
        <v>1679</v>
      </c>
      <c r="E705" s="8" t="s">
        <v>615</v>
      </c>
      <c r="F705" s="8" t="s">
        <v>1680</v>
      </c>
    </row>
    <row r="706" customHeight="1" spans="1:6">
      <c r="A706" s="6">
        <v>705</v>
      </c>
      <c r="B706" s="8" t="s">
        <v>1681</v>
      </c>
      <c r="C706" s="8" t="s">
        <v>1682</v>
      </c>
      <c r="D706" s="8" t="s">
        <v>1683</v>
      </c>
      <c r="E706" s="8" t="s">
        <v>1355</v>
      </c>
      <c r="F706" s="8" t="s">
        <v>1684</v>
      </c>
    </row>
    <row r="707" customHeight="1" spans="1:6">
      <c r="A707" s="6">
        <v>706</v>
      </c>
      <c r="B707" s="8" t="s">
        <v>1681</v>
      </c>
      <c r="C707" s="8" t="s">
        <v>1682</v>
      </c>
      <c r="D707" s="8" t="s">
        <v>1683</v>
      </c>
      <c r="E707" s="8" t="s">
        <v>1355</v>
      </c>
      <c r="F707" s="8" t="s">
        <v>1684</v>
      </c>
    </row>
    <row r="708" customHeight="1" spans="1:6">
      <c r="A708" s="6">
        <v>707</v>
      </c>
      <c r="B708" s="8" t="s">
        <v>1685</v>
      </c>
      <c r="C708" s="8" t="s">
        <v>1686</v>
      </c>
      <c r="D708" s="8" t="s">
        <v>1687</v>
      </c>
      <c r="E708" s="8" t="s">
        <v>1688</v>
      </c>
      <c r="F708" s="8" t="s">
        <v>1689</v>
      </c>
    </row>
    <row r="709" customHeight="1" spans="1:6">
      <c r="A709" s="6">
        <v>708</v>
      </c>
      <c r="B709" s="8" t="s">
        <v>1685</v>
      </c>
      <c r="C709" s="8" t="s">
        <v>1686</v>
      </c>
      <c r="D709" s="8" t="s">
        <v>1687</v>
      </c>
      <c r="E709" s="8" t="s">
        <v>1688</v>
      </c>
      <c r="F709" s="8" t="s">
        <v>1689</v>
      </c>
    </row>
    <row r="710" customHeight="1" spans="1:6">
      <c r="A710" s="6">
        <v>709</v>
      </c>
      <c r="B710" s="8" t="s">
        <v>1690</v>
      </c>
      <c r="C710" s="8" t="s">
        <v>1691</v>
      </c>
      <c r="D710" s="8" t="s">
        <v>1692</v>
      </c>
      <c r="E710" s="8" t="s">
        <v>425</v>
      </c>
      <c r="F710" s="8" t="s">
        <v>1693</v>
      </c>
    </row>
    <row r="711" customHeight="1" spans="1:6">
      <c r="A711" s="6">
        <v>710</v>
      </c>
      <c r="B711" s="8" t="s">
        <v>1690</v>
      </c>
      <c r="C711" s="8" t="s">
        <v>1691</v>
      </c>
      <c r="D711" s="8" t="s">
        <v>1692</v>
      </c>
      <c r="E711" s="8" t="s">
        <v>425</v>
      </c>
      <c r="F711" s="8" t="s">
        <v>1693</v>
      </c>
    </row>
    <row r="712" customHeight="1" spans="1:6">
      <c r="A712" s="6">
        <v>711</v>
      </c>
      <c r="B712" s="8" t="s">
        <v>1694</v>
      </c>
      <c r="C712" s="8" t="s">
        <v>1695</v>
      </c>
      <c r="D712" s="8" t="s">
        <v>1696</v>
      </c>
      <c r="E712" s="8" t="s">
        <v>23</v>
      </c>
      <c r="F712" s="8" t="s">
        <v>1697</v>
      </c>
    </row>
    <row r="713" customHeight="1" spans="1:6">
      <c r="A713" s="6">
        <v>712</v>
      </c>
      <c r="B713" s="8" t="s">
        <v>1694</v>
      </c>
      <c r="C713" s="8" t="s">
        <v>1695</v>
      </c>
      <c r="D713" s="8" t="s">
        <v>1696</v>
      </c>
      <c r="E713" s="8" t="s">
        <v>23</v>
      </c>
      <c r="F713" s="8" t="s">
        <v>1697</v>
      </c>
    </row>
    <row r="714" customHeight="1" spans="1:6">
      <c r="A714" s="6">
        <v>713</v>
      </c>
      <c r="B714" s="8" t="s">
        <v>1694</v>
      </c>
      <c r="C714" s="8" t="s">
        <v>1695</v>
      </c>
      <c r="D714" s="8" t="s">
        <v>1696</v>
      </c>
      <c r="E714" s="8" t="s">
        <v>23</v>
      </c>
      <c r="F714" s="8" t="s">
        <v>1697</v>
      </c>
    </row>
    <row r="715" customHeight="1" spans="1:6">
      <c r="A715" s="6">
        <v>714</v>
      </c>
      <c r="B715" s="8" t="s">
        <v>1698</v>
      </c>
      <c r="C715" s="8" t="s">
        <v>1699</v>
      </c>
      <c r="D715" s="8" t="s">
        <v>1700</v>
      </c>
      <c r="E715" s="8" t="s">
        <v>288</v>
      </c>
      <c r="F715" s="8" t="s">
        <v>1701</v>
      </c>
    </row>
    <row r="716" customHeight="1" spans="1:6">
      <c r="A716" s="6">
        <v>715</v>
      </c>
      <c r="B716" s="8" t="s">
        <v>1698</v>
      </c>
      <c r="C716" s="8" t="s">
        <v>1699</v>
      </c>
      <c r="D716" s="8" t="s">
        <v>1700</v>
      </c>
      <c r="E716" s="8" t="s">
        <v>288</v>
      </c>
      <c r="F716" s="8" t="s">
        <v>1701</v>
      </c>
    </row>
    <row r="717" customHeight="1" spans="1:6">
      <c r="A717" s="6">
        <v>716</v>
      </c>
      <c r="B717" s="8" t="s">
        <v>1702</v>
      </c>
      <c r="C717" s="8" t="s">
        <v>1703</v>
      </c>
      <c r="D717" s="8" t="s">
        <v>1704</v>
      </c>
      <c r="E717" s="8" t="s">
        <v>1705</v>
      </c>
      <c r="F717" s="8" t="s">
        <v>1706</v>
      </c>
    </row>
    <row r="718" customHeight="1" spans="1:6">
      <c r="A718" s="6">
        <v>717</v>
      </c>
      <c r="B718" s="8" t="s">
        <v>1702</v>
      </c>
      <c r="C718" s="8" t="s">
        <v>1703</v>
      </c>
      <c r="D718" s="8" t="s">
        <v>1704</v>
      </c>
      <c r="E718" s="8" t="s">
        <v>1705</v>
      </c>
      <c r="F718" s="8" t="s">
        <v>1706</v>
      </c>
    </row>
    <row r="719" customHeight="1" spans="1:6">
      <c r="A719" s="6">
        <v>718</v>
      </c>
      <c r="B719" s="8" t="s">
        <v>1702</v>
      </c>
      <c r="C719" s="8" t="s">
        <v>1703</v>
      </c>
      <c r="D719" s="8" t="s">
        <v>1704</v>
      </c>
      <c r="E719" s="8" t="s">
        <v>1705</v>
      </c>
      <c r="F719" s="8" t="s">
        <v>1706</v>
      </c>
    </row>
    <row r="720" customHeight="1" spans="1:6">
      <c r="A720" s="6">
        <v>719</v>
      </c>
      <c r="B720" s="8" t="s">
        <v>1707</v>
      </c>
      <c r="C720" s="8" t="s">
        <v>1708</v>
      </c>
      <c r="D720" s="8" t="s">
        <v>1709</v>
      </c>
      <c r="E720" s="8" t="s">
        <v>629</v>
      </c>
      <c r="F720" s="8" t="s">
        <v>1710</v>
      </c>
    </row>
    <row r="721" customHeight="1" spans="1:6">
      <c r="A721" s="6">
        <v>720</v>
      </c>
      <c r="B721" s="8" t="s">
        <v>1707</v>
      </c>
      <c r="C721" s="8" t="s">
        <v>1708</v>
      </c>
      <c r="D721" s="8" t="s">
        <v>1709</v>
      </c>
      <c r="E721" s="8" t="s">
        <v>629</v>
      </c>
      <c r="F721" s="8" t="s">
        <v>1710</v>
      </c>
    </row>
    <row r="722" customHeight="1" spans="1:6">
      <c r="A722" s="6">
        <v>721</v>
      </c>
      <c r="B722" s="8" t="s">
        <v>1711</v>
      </c>
      <c r="C722" s="8" t="s">
        <v>1712</v>
      </c>
      <c r="D722" s="8" t="s">
        <v>1713</v>
      </c>
      <c r="E722" s="8" t="s">
        <v>696</v>
      </c>
      <c r="F722" s="8" t="s">
        <v>1714</v>
      </c>
    </row>
    <row r="723" customHeight="1" spans="1:6">
      <c r="A723" s="6">
        <v>722</v>
      </c>
      <c r="B723" s="8" t="s">
        <v>1711</v>
      </c>
      <c r="C723" s="8" t="s">
        <v>1712</v>
      </c>
      <c r="D723" s="8" t="s">
        <v>1713</v>
      </c>
      <c r="E723" s="8" t="s">
        <v>696</v>
      </c>
      <c r="F723" s="8" t="s">
        <v>1714</v>
      </c>
    </row>
    <row r="724" customHeight="1" spans="1:6">
      <c r="A724" s="6">
        <v>723</v>
      </c>
      <c r="B724" s="8" t="s">
        <v>1711</v>
      </c>
      <c r="C724" s="8" t="s">
        <v>1712</v>
      </c>
      <c r="D724" s="8" t="s">
        <v>1713</v>
      </c>
      <c r="E724" s="8" t="s">
        <v>696</v>
      </c>
      <c r="F724" s="8" t="s">
        <v>1714</v>
      </c>
    </row>
    <row r="725" customHeight="1" spans="1:6">
      <c r="A725" s="6">
        <v>724</v>
      </c>
      <c r="B725" s="8" t="s">
        <v>1715</v>
      </c>
      <c r="C725" s="8" t="s">
        <v>1716</v>
      </c>
      <c r="D725" s="8" t="s">
        <v>1717</v>
      </c>
      <c r="E725" s="8" t="s">
        <v>48</v>
      </c>
      <c r="F725" s="8" t="s">
        <v>1718</v>
      </c>
    </row>
    <row r="726" customHeight="1" spans="1:6">
      <c r="A726" s="6">
        <v>725</v>
      </c>
      <c r="B726" s="8" t="s">
        <v>1715</v>
      </c>
      <c r="C726" s="8" t="s">
        <v>1716</v>
      </c>
      <c r="D726" s="8" t="s">
        <v>1717</v>
      </c>
      <c r="E726" s="8" t="s">
        <v>48</v>
      </c>
      <c r="F726" s="8" t="s">
        <v>1718</v>
      </c>
    </row>
    <row r="727" customHeight="1" spans="1:6">
      <c r="A727" s="6">
        <v>726</v>
      </c>
      <c r="B727" s="8" t="s">
        <v>1719</v>
      </c>
      <c r="C727" s="8" t="s">
        <v>1720</v>
      </c>
      <c r="D727" s="8" t="s">
        <v>1721</v>
      </c>
      <c r="E727" s="8" t="s">
        <v>48</v>
      </c>
      <c r="F727" s="8" t="s">
        <v>1722</v>
      </c>
    </row>
    <row r="728" customHeight="1" spans="1:6">
      <c r="A728" s="6">
        <v>727</v>
      </c>
      <c r="B728" s="8" t="s">
        <v>1719</v>
      </c>
      <c r="C728" s="8" t="s">
        <v>1720</v>
      </c>
      <c r="D728" s="8" t="s">
        <v>1721</v>
      </c>
      <c r="E728" s="8" t="s">
        <v>48</v>
      </c>
      <c r="F728" s="8" t="s">
        <v>1722</v>
      </c>
    </row>
    <row r="729" customHeight="1" spans="1:6">
      <c r="A729" s="6">
        <v>728</v>
      </c>
      <c r="B729" s="8" t="s">
        <v>1723</v>
      </c>
      <c r="C729" s="8" t="s">
        <v>1724</v>
      </c>
      <c r="D729" s="8" t="s">
        <v>1725</v>
      </c>
      <c r="E729" s="8" t="s">
        <v>589</v>
      </c>
      <c r="F729" s="8" t="s">
        <v>1726</v>
      </c>
    </row>
    <row r="730" customHeight="1" spans="1:6">
      <c r="A730" s="6">
        <v>729</v>
      </c>
      <c r="B730" s="8" t="s">
        <v>1723</v>
      </c>
      <c r="C730" s="8" t="s">
        <v>1724</v>
      </c>
      <c r="D730" s="8" t="s">
        <v>1725</v>
      </c>
      <c r="E730" s="8" t="s">
        <v>589</v>
      </c>
      <c r="F730" s="8" t="s">
        <v>1726</v>
      </c>
    </row>
    <row r="731" customHeight="1" spans="1:6">
      <c r="A731" s="6">
        <v>730</v>
      </c>
      <c r="B731" s="8" t="s">
        <v>1723</v>
      </c>
      <c r="C731" s="8" t="s">
        <v>1724</v>
      </c>
      <c r="D731" s="8" t="s">
        <v>1725</v>
      </c>
      <c r="E731" s="8" t="s">
        <v>589</v>
      </c>
      <c r="F731" s="8" t="s">
        <v>1726</v>
      </c>
    </row>
    <row r="732" customHeight="1" spans="1:6">
      <c r="A732" s="6">
        <v>731</v>
      </c>
      <c r="B732" s="8" t="s">
        <v>1727</v>
      </c>
      <c r="C732" s="8" t="s">
        <v>1728</v>
      </c>
      <c r="D732" s="8" t="s">
        <v>1729</v>
      </c>
      <c r="E732" s="8" t="s">
        <v>1198</v>
      </c>
      <c r="F732" s="8" t="s">
        <v>1730</v>
      </c>
    </row>
    <row r="733" customHeight="1" spans="1:6">
      <c r="A733" s="6">
        <v>732</v>
      </c>
      <c r="B733" s="8" t="s">
        <v>1727</v>
      </c>
      <c r="C733" s="8" t="s">
        <v>1728</v>
      </c>
      <c r="D733" s="8" t="s">
        <v>1729</v>
      </c>
      <c r="E733" s="8" t="s">
        <v>1198</v>
      </c>
      <c r="F733" s="8" t="s">
        <v>1730</v>
      </c>
    </row>
    <row r="734" customHeight="1" spans="1:6">
      <c r="A734" s="6">
        <v>733</v>
      </c>
      <c r="B734" s="7" t="str">
        <f>"978-7-205-10275-3"</f>
        <v>978-7-205-10275-3</v>
      </c>
      <c r="C734" s="7" t="str">
        <f>"中国适度普惠型社会福利制度建构研究"</f>
        <v>中国适度普惠型社会福利制度建构研究</v>
      </c>
      <c r="D734" s="7" t="str">
        <f>"王磊著"</f>
        <v>王磊著</v>
      </c>
      <c r="E734" s="7" t="str">
        <f>"辽宁人民出版社"</f>
        <v>辽宁人民出版社</v>
      </c>
      <c r="F734" s="7" t="str">
        <f>"D632.1/233"</f>
        <v>D632.1/233</v>
      </c>
    </row>
    <row r="735" customHeight="1" spans="1:6">
      <c r="A735" s="6">
        <v>734</v>
      </c>
      <c r="B735" s="7" t="str">
        <f>"978-7-205-10275-3"</f>
        <v>978-7-205-10275-3</v>
      </c>
      <c r="C735" s="7" t="str">
        <f>"中国适度普惠型社会福利制度建构研究"</f>
        <v>中国适度普惠型社会福利制度建构研究</v>
      </c>
      <c r="D735" s="7" t="str">
        <f>"王磊著"</f>
        <v>王磊著</v>
      </c>
      <c r="E735" s="7" t="str">
        <f>"辽宁人民出版社"</f>
        <v>辽宁人民出版社</v>
      </c>
      <c r="F735" s="7" t="str">
        <f>"D632.1/233"</f>
        <v>D632.1/233</v>
      </c>
    </row>
    <row r="736" customHeight="1" spans="1:6">
      <c r="A736" s="6">
        <v>735</v>
      </c>
      <c r="B736" s="8" t="s">
        <v>1731</v>
      </c>
      <c r="C736" s="8" t="s">
        <v>1732</v>
      </c>
      <c r="D736" s="8" t="s">
        <v>1733</v>
      </c>
      <c r="E736" s="8" t="s">
        <v>1734</v>
      </c>
      <c r="F736" s="8" t="s">
        <v>1735</v>
      </c>
    </row>
    <row r="737" customHeight="1" spans="1:6">
      <c r="A737" s="6">
        <v>736</v>
      </c>
      <c r="B737" s="8" t="s">
        <v>1731</v>
      </c>
      <c r="C737" s="8" t="s">
        <v>1732</v>
      </c>
      <c r="D737" s="8" t="s">
        <v>1733</v>
      </c>
      <c r="E737" s="8" t="s">
        <v>1734</v>
      </c>
      <c r="F737" s="8" t="s">
        <v>1735</v>
      </c>
    </row>
    <row r="738" customHeight="1" spans="1:6">
      <c r="A738" s="6">
        <v>737</v>
      </c>
      <c r="B738" s="8" t="s">
        <v>1736</v>
      </c>
      <c r="C738" s="8" t="s">
        <v>1737</v>
      </c>
      <c r="D738" s="8" t="s">
        <v>1738</v>
      </c>
      <c r="E738" s="8" t="s">
        <v>43</v>
      </c>
      <c r="F738" s="8" t="s">
        <v>1739</v>
      </c>
    </row>
    <row r="739" customHeight="1" spans="1:6">
      <c r="A739" s="6">
        <v>738</v>
      </c>
      <c r="B739" s="8" t="s">
        <v>1736</v>
      </c>
      <c r="C739" s="8" t="s">
        <v>1737</v>
      </c>
      <c r="D739" s="8" t="s">
        <v>1738</v>
      </c>
      <c r="E739" s="8" t="s">
        <v>43</v>
      </c>
      <c r="F739" s="8" t="s">
        <v>1739</v>
      </c>
    </row>
    <row r="740" customHeight="1" spans="1:6">
      <c r="A740" s="6">
        <v>739</v>
      </c>
      <c r="B740" s="8" t="s">
        <v>1740</v>
      </c>
      <c r="C740" s="8" t="s">
        <v>1741</v>
      </c>
      <c r="D740" s="8" t="s">
        <v>992</v>
      </c>
      <c r="E740" s="8" t="s">
        <v>28</v>
      </c>
      <c r="F740" s="8" t="s">
        <v>1742</v>
      </c>
    </row>
    <row r="741" customHeight="1" spans="1:6">
      <c r="A741" s="6">
        <v>740</v>
      </c>
      <c r="B741" s="8" t="s">
        <v>1740</v>
      </c>
      <c r="C741" s="8" t="s">
        <v>1741</v>
      </c>
      <c r="D741" s="8" t="s">
        <v>992</v>
      </c>
      <c r="E741" s="8" t="s">
        <v>28</v>
      </c>
      <c r="F741" s="8" t="s">
        <v>1742</v>
      </c>
    </row>
    <row r="742" customHeight="1" spans="1:6">
      <c r="A742" s="6">
        <v>741</v>
      </c>
      <c r="B742" s="8" t="s">
        <v>1740</v>
      </c>
      <c r="C742" s="8" t="s">
        <v>1741</v>
      </c>
      <c r="D742" s="8" t="s">
        <v>992</v>
      </c>
      <c r="E742" s="8" t="s">
        <v>28</v>
      </c>
      <c r="F742" s="8" t="s">
        <v>1742</v>
      </c>
    </row>
    <row r="743" customHeight="1" spans="1:6">
      <c r="A743" s="6">
        <v>742</v>
      </c>
      <c r="B743" s="8" t="s">
        <v>1743</v>
      </c>
      <c r="C743" s="8" t="s">
        <v>1744</v>
      </c>
      <c r="D743" s="8" t="s">
        <v>1745</v>
      </c>
      <c r="E743" s="8" t="s">
        <v>48</v>
      </c>
      <c r="F743" s="8" t="s">
        <v>1746</v>
      </c>
    </row>
    <row r="744" customHeight="1" spans="1:6">
      <c r="A744" s="6">
        <v>743</v>
      </c>
      <c r="B744" s="8" t="s">
        <v>1743</v>
      </c>
      <c r="C744" s="8" t="s">
        <v>1744</v>
      </c>
      <c r="D744" s="8" t="s">
        <v>1745</v>
      </c>
      <c r="E744" s="8" t="s">
        <v>48</v>
      </c>
      <c r="F744" s="8" t="s">
        <v>1746</v>
      </c>
    </row>
    <row r="745" customHeight="1" spans="1:6">
      <c r="A745" s="6">
        <v>744</v>
      </c>
      <c r="B745" s="8" t="s">
        <v>1747</v>
      </c>
      <c r="C745" s="8" t="s">
        <v>1748</v>
      </c>
      <c r="D745" s="8" t="s">
        <v>1749</v>
      </c>
      <c r="E745" s="8" t="s">
        <v>360</v>
      </c>
      <c r="F745" s="8" t="s">
        <v>1750</v>
      </c>
    </row>
    <row r="746" customHeight="1" spans="1:6">
      <c r="A746" s="6">
        <v>745</v>
      </c>
      <c r="B746" s="8" t="s">
        <v>1747</v>
      </c>
      <c r="C746" s="8" t="s">
        <v>1748</v>
      </c>
      <c r="D746" s="8" t="s">
        <v>1749</v>
      </c>
      <c r="E746" s="8" t="s">
        <v>360</v>
      </c>
      <c r="F746" s="8" t="s">
        <v>1750</v>
      </c>
    </row>
    <row r="747" customHeight="1" spans="1:6">
      <c r="A747" s="6">
        <v>746</v>
      </c>
      <c r="B747" s="8" t="s">
        <v>1751</v>
      </c>
      <c r="C747" s="8" t="s">
        <v>1752</v>
      </c>
      <c r="D747" s="8" t="s">
        <v>1753</v>
      </c>
      <c r="E747" s="8" t="s">
        <v>23</v>
      </c>
      <c r="F747" s="8" t="s">
        <v>1754</v>
      </c>
    </row>
    <row r="748" customHeight="1" spans="1:6">
      <c r="A748" s="6">
        <v>747</v>
      </c>
      <c r="B748" s="8" t="s">
        <v>1751</v>
      </c>
      <c r="C748" s="8" t="s">
        <v>1752</v>
      </c>
      <c r="D748" s="8" t="s">
        <v>1753</v>
      </c>
      <c r="E748" s="8" t="s">
        <v>23</v>
      </c>
      <c r="F748" s="8" t="s">
        <v>1754</v>
      </c>
    </row>
    <row r="749" customHeight="1" spans="1:6">
      <c r="A749" s="6">
        <v>748</v>
      </c>
      <c r="B749" s="8" t="s">
        <v>1755</v>
      </c>
      <c r="C749" s="8" t="s">
        <v>1756</v>
      </c>
      <c r="D749" s="8" t="s">
        <v>1757</v>
      </c>
      <c r="E749" s="8" t="s">
        <v>425</v>
      </c>
      <c r="F749" s="8" t="s">
        <v>1758</v>
      </c>
    </row>
    <row r="750" customHeight="1" spans="1:6">
      <c r="A750" s="6">
        <v>749</v>
      </c>
      <c r="B750" s="8" t="s">
        <v>1755</v>
      </c>
      <c r="C750" s="8" t="s">
        <v>1756</v>
      </c>
      <c r="D750" s="8" t="s">
        <v>1757</v>
      </c>
      <c r="E750" s="8" t="s">
        <v>425</v>
      </c>
      <c r="F750" s="8" t="s">
        <v>1758</v>
      </c>
    </row>
    <row r="751" customHeight="1" spans="1:6">
      <c r="A751" s="6">
        <v>750</v>
      </c>
      <c r="B751" s="8" t="s">
        <v>1755</v>
      </c>
      <c r="C751" s="8" t="s">
        <v>1756</v>
      </c>
      <c r="D751" s="8" t="s">
        <v>1757</v>
      </c>
      <c r="E751" s="8" t="s">
        <v>425</v>
      </c>
      <c r="F751" s="8" t="s">
        <v>1758</v>
      </c>
    </row>
    <row r="752" customHeight="1" spans="1:6">
      <c r="A752" s="6">
        <v>751</v>
      </c>
      <c r="B752" s="8" t="s">
        <v>1759</v>
      </c>
      <c r="C752" s="8" t="s">
        <v>1760</v>
      </c>
      <c r="D752" s="8" t="s">
        <v>1761</v>
      </c>
      <c r="E752" s="8" t="s">
        <v>838</v>
      </c>
      <c r="F752" s="8" t="s">
        <v>1762</v>
      </c>
    </row>
    <row r="753" customHeight="1" spans="1:6">
      <c r="A753" s="6">
        <v>752</v>
      </c>
      <c r="B753" s="8" t="s">
        <v>1759</v>
      </c>
      <c r="C753" s="8" t="s">
        <v>1760</v>
      </c>
      <c r="D753" s="8" t="s">
        <v>1761</v>
      </c>
      <c r="E753" s="8" t="s">
        <v>838</v>
      </c>
      <c r="F753" s="8" t="s">
        <v>1762</v>
      </c>
    </row>
    <row r="754" customHeight="1" spans="1:6">
      <c r="A754" s="6">
        <v>753</v>
      </c>
      <c r="B754" s="8" t="s">
        <v>1759</v>
      </c>
      <c r="C754" s="8" t="s">
        <v>1760</v>
      </c>
      <c r="D754" s="8" t="s">
        <v>1761</v>
      </c>
      <c r="E754" s="8" t="s">
        <v>838</v>
      </c>
      <c r="F754" s="8" t="s">
        <v>1762</v>
      </c>
    </row>
    <row r="755" customHeight="1" spans="1:6">
      <c r="A755" s="6">
        <v>754</v>
      </c>
      <c r="B755" s="8" t="s">
        <v>1763</v>
      </c>
      <c r="C755" s="8" t="s">
        <v>1764</v>
      </c>
      <c r="D755" s="8" t="s">
        <v>1765</v>
      </c>
      <c r="E755" s="8" t="s">
        <v>380</v>
      </c>
      <c r="F755" s="8" t="s">
        <v>1766</v>
      </c>
    </row>
    <row r="756" customHeight="1" spans="1:6">
      <c r="A756" s="6">
        <v>755</v>
      </c>
      <c r="B756" s="8" t="s">
        <v>1763</v>
      </c>
      <c r="C756" s="8" t="s">
        <v>1764</v>
      </c>
      <c r="D756" s="8" t="s">
        <v>1765</v>
      </c>
      <c r="E756" s="8" t="s">
        <v>380</v>
      </c>
      <c r="F756" s="8" t="s">
        <v>1766</v>
      </c>
    </row>
    <row r="757" customHeight="1" spans="1:6">
      <c r="A757" s="6">
        <v>756</v>
      </c>
      <c r="B757" s="8" t="s">
        <v>1763</v>
      </c>
      <c r="C757" s="8" t="s">
        <v>1764</v>
      </c>
      <c r="D757" s="8" t="s">
        <v>1765</v>
      </c>
      <c r="E757" s="8" t="s">
        <v>380</v>
      </c>
      <c r="F757" s="8" t="s">
        <v>1766</v>
      </c>
    </row>
    <row r="758" customHeight="1" spans="1:6">
      <c r="A758" s="6">
        <v>757</v>
      </c>
      <c r="B758" s="8" t="s">
        <v>1767</v>
      </c>
      <c r="C758" s="8" t="s">
        <v>1768</v>
      </c>
      <c r="D758" s="8" t="s">
        <v>1769</v>
      </c>
      <c r="E758" s="8" t="s">
        <v>48</v>
      </c>
      <c r="F758" s="8" t="s">
        <v>1770</v>
      </c>
    </row>
    <row r="759" customHeight="1" spans="1:6">
      <c r="A759" s="6">
        <v>758</v>
      </c>
      <c r="B759" s="8" t="s">
        <v>1767</v>
      </c>
      <c r="C759" s="8" t="s">
        <v>1768</v>
      </c>
      <c r="D759" s="8" t="s">
        <v>1769</v>
      </c>
      <c r="E759" s="8" t="s">
        <v>48</v>
      </c>
      <c r="F759" s="8" t="s">
        <v>1770</v>
      </c>
    </row>
    <row r="760" customHeight="1" spans="1:6">
      <c r="A760" s="6">
        <v>759</v>
      </c>
      <c r="B760" s="8" t="s">
        <v>1771</v>
      </c>
      <c r="C760" s="8" t="s">
        <v>1772</v>
      </c>
      <c r="D760" s="8" t="s">
        <v>1773</v>
      </c>
      <c r="E760" s="8" t="s">
        <v>1355</v>
      </c>
      <c r="F760" s="8" t="s">
        <v>1774</v>
      </c>
    </row>
    <row r="761" customHeight="1" spans="1:6">
      <c r="A761" s="6">
        <v>760</v>
      </c>
      <c r="B761" s="8" t="s">
        <v>1771</v>
      </c>
      <c r="C761" s="8" t="s">
        <v>1772</v>
      </c>
      <c r="D761" s="8" t="s">
        <v>1773</v>
      </c>
      <c r="E761" s="8" t="s">
        <v>1355</v>
      </c>
      <c r="F761" s="8" t="s">
        <v>1774</v>
      </c>
    </row>
    <row r="762" customHeight="1" spans="1:6">
      <c r="A762" s="6">
        <v>761</v>
      </c>
      <c r="B762" s="8" t="s">
        <v>1771</v>
      </c>
      <c r="C762" s="8" t="s">
        <v>1775</v>
      </c>
      <c r="D762" s="8" t="s">
        <v>1773</v>
      </c>
      <c r="E762" s="8" t="s">
        <v>1355</v>
      </c>
      <c r="F762" s="8" t="s">
        <v>1776</v>
      </c>
    </row>
    <row r="763" customHeight="1" spans="1:6">
      <c r="A763" s="6">
        <v>762</v>
      </c>
      <c r="B763" s="8" t="s">
        <v>1771</v>
      </c>
      <c r="C763" s="8" t="s">
        <v>1775</v>
      </c>
      <c r="D763" s="8" t="s">
        <v>1773</v>
      </c>
      <c r="E763" s="8" t="s">
        <v>1355</v>
      </c>
      <c r="F763" s="8" t="s">
        <v>1776</v>
      </c>
    </row>
    <row r="764" customHeight="1" spans="1:6">
      <c r="A764" s="6">
        <v>763</v>
      </c>
      <c r="B764" s="8" t="s">
        <v>1777</v>
      </c>
      <c r="C764" s="8" t="s">
        <v>1778</v>
      </c>
      <c r="D764" s="8" t="s">
        <v>1779</v>
      </c>
      <c r="E764" s="8" t="s">
        <v>288</v>
      </c>
      <c r="F764" s="8" t="s">
        <v>1780</v>
      </c>
    </row>
    <row r="765" customHeight="1" spans="1:6">
      <c r="A765" s="6">
        <v>764</v>
      </c>
      <c r="B765" s="8" t="s">
        <v>1777</v>
      </c>
      <c r="C765" s="8" t="s">
        <v>1778</v>
      </c>
      <c r="D765" s="8" t="s">
        <v>1779</v>
      </c>
      <c r="E765" s="8" t="s">
        <v>288</v>
      </c>
      <c r="F765" s="8" t="s">
        <v>1780</v>
      </c>
    </row>
    <row r="766" customHeight="1" spans="1:6">
      <c r="A766" s="6">
        <v>765</v>
      </c>
      <c r="B766" s="8" t="s">
        <v>1781</v>
      </c>
      <c r="C766" s="8" t="s">
        <v>1782</v>
      </c>
      <c r="D766" s="8" t="s">
        <v>1783</v>
      </c>
      <c r="E766" s="8" t="s">
        <v>415</v>
      </c>
      <c r="F766" s="8" t="s">
        <v>1784</v>
      </c>
    </row>
    <row r="767" customHeight="1" spans="1:6">
      <c r="A767" s="6">
        <v>766</v>
      </c>
      <c r="B767" s="8" t="s">
        <v>1781</v>
      </c>
      <c r="C767" s="8" t="s">
        <v>1782</v>
      </c>
      <c r="D767" s="8" t="s">
        <v>1783</v>
      </c>
      <c r="E767" s="8" t="s">
        <v>415</v>
      </c>
      <c r="F767" s="8" t="s">
        <v>1784</v>
      </c>
    </row>
    <row r="768" customHeight="1" spans="1:6">
      <c r="A768" s="6">
        <v>767</v>
      </c>
      <c r="B768" s="7" t="str">
        <f>"978-7-5217-3102-6"</f>
        <v>978-7-5217-3102-6</v>
      </c>
      <c r="C768" s="7" t="str">
        <f>"政务大数据应用方法与实践"</f>
        <v>政务大数据应用方法与实践</v>
      </c>
      <c r="D768" s="7" t="str">
        <f>"张毅主编"</f>
        <v>张毅主编</v>
      </c>
      <c r="E768" s="7" t="str">
        <f>"中信出版集团股份有限公司"</f>
        <v>中信出版集团股份有限公司</v>
      </c>
      <c r="F768" s="7" t="str">
        <f>"D63-39/9"</f>
        <v>D63-39/9</v>
      </c>
    </row>
    <row r="769" customHeight="1" spans="1:6">
      <c r="A769" s="6">
        <v>768</v>
      </c>
      <c r="B769" s="7" t="str">
        <f>"978-7-5217-3102-6"</f>
        <v>978-7-5217-3102-6</v>
      </c>
      <c r="C769" s="7" t="str">
        <f>"政务大数据应用方法与实践"</f>
        <v>政务大数据应用方法与实践</v>
      </c>
      <c r="D769" s="7" t="str">
        <f>"张毅主编"</f>
        <v>张毅主编</v>
      </c>
      <c r="E769" s="7" t="str">
        <f>"中信出版集团股份有限公司"</f>
        <v>中信出版集团股份有限公司</v>
      </c>
      <c r="F769" s="7" t="str">
        <f>"D63-39/9"</f>
        <v>D63-39/9</v>
      </c>
    </row>
    <row r="770" customHeight="1" spans="1:6">
      <c r="A770" s="6">
        <v>769</v>
      </c>
      <c r="B770" s="8" t="s">
        <v>1785</v>
      </c>
      <c r="C770" s="8" t="s">
        <v>1786</v>
      </c>
      <c r="D770" s="8" t="s">
        <v>1787</v>
      </c>
      <c r="E770" s="8" t="s">
        <v>615</v>
      </c>
      <c r="F770" s="8" t="s">
        <v>1788</v>
      </c>
    </row>
    <row r="771" customHeight="1" spans="1:6">
      <c r="A771" s="6">
        <v>770</v>
      </c>
      <c r="B771" s="8" t="s">
        <v>1785</v>
      </c>
      <c r="C771" s="8" t="s">
        <v>1786</v>
      </c>
      <c r="D771" s="8" t="s">
        <v>1787</v>
      </c>
      <c r="E771" s="8" t="s">
        <v>615</v>
      </c>
      <c r="F771" s="8" t="s">
        <v>1788</v>
      </c>
    </row>
    <row r="772" customHeight="1" spans="1:6">
      <c r="A772" s="6">
        <v>771</v>
      </c>
      <c r="B772" s="8" t="s">
        <v>1785</v>
      </c>
      <c r="C772" s="8" t="s">
        <v>1786</v>
      </c>
      <c r="D772" s="8" t="s">
        <v>1787</v>
      </c>
      <c r="E772" s="8" t="s">
        <v>615</v>
      </c>
      <c r="F772" s="8" t="s">
        <v>1788</v>
      </c>
    </row>
    <row r="773" customHeight="1" spans="1:6">
      <c r="A773" s="6">
        <v>772</v>
      </c>
      <c r="B773" s="7" t="str">
        <f>"978-7-5117-3894-3"</f>
        <v>978-7-5117-3894-3</v>
      </c>
      <c r="C773" s="7" t="str">
        <f>"新时代思想政治理论课改革创新研究"</f>
        <v>新时代思想政治理论课改革创新研究</v>
      </c>
      <c r="D773" s="7" t="str">
        <f>"韩振峰主编"</f>
        <v>韩振峰主编</v>
      </c>
      <c r="E773" s="7" t="str">
        <f>"中央编译出版社"</f>
        <v>中央编译出版社</v>
      </c>
      <c r="F773" s="7" t="str">
        <f>"D64/146"</f>
        <v>D64/146</v>
      </c>
    </row>
    <row r="774" customHeight="1" spans="1:6">
      <c r="A774" s="6">
        <v>773</v>
      </c>
      <c r="B774" s="7" t="str">
        <f>"978-7-5117-3894-3"</f>
        <v>978-7-5117-3894-3</v>
      </c>
      <c r="C774" s="7" t="str">
        <f>"新时代思想政治理论课改革创新研究"</f>
        <v>新时代思想政治理论课改革创新研究</v>
      </c>
      <c r="D774" s="7" t="str">
        <f>"韩振峰主编"</f>
        <v>韩振峰主编</v>
      </c>
      <c r="E774" s="7" t="str">
        <f>"中央编译出版社"</f>
        <v>中央编译出版社</v>
      </c>
      <c r="F774" s="7" t="str">
        <f>"D64/146"</f>
        <v>D64/146</v>
      </c>
    </row>
    <row r="775" customHeight="1" spans="1:6">
      <c r="A775" s="6">
        <v>774</v>
      </c>
      <c r="B775" s="8" t="s">
        <v>1789</v>
      </c>
      <c r="C775" s="8" t="s">
        <v>1790</v>
      </c>
      <c r="D775" s="8" t="s">
        <v>1791</v>
      </c>
      <c r="E775" s="8" t="s">
        <v>544</v>
      </c>
      <c r="F775" s="8" t="s">
        <v>1792</v>
      </c>
    </row>
    <row r="776" customHeight="1" spans="1:6">
      <c r="A776" s="6">
        <v>775</v>
      </c>
      <c r="B776" s="8" t="s">
        <v>1789</v>
      </c>
      <c r="C776" s="8" t="s">
        <v>1790</v>
      </c>
      <c r="D776" s="8" t="s">
        <v>1791</v>
      </c>
      <c r="E776" s="8" t="s">
        <v>544</v>
      </c>
      <c r="F776" s="8" t="s">
        <v>1792</v>
      </c>
    </row>
    <row r="777" customHeight="1" spans="1:6">
      <c r="A777" s="6">
        <v>776</v>
      </c>
      <c r="B777" s="8" t="s">
        <v>1793</v>
      </c>
      <c r="C777" s="8" t="s">
        <v>1794</v>
      </c>
      <c r="D777" s="8" t="s">
        <v>1795</v>
      </c>
      <c r="E777" s="8" t="s">
        <v>1796</v>
      </c>
      <c r="F777" s="8" t="s">
        <v>1797</v>
      </c>
    </row>
    <row r="778" customHeight="1" spans="1:6">
      <c r="A778" s="6">
        <v>777</v>
      </c>
      <c r="B778" s="8" t="s">
        <v>1793</v>
      </c>
      <c r="C778" s="8" t="s">
        <v>1794</v>
      </c>
      <c r="D778" s="8" t="s">
        <v>1795</v>
      </c>
      <c r="E778" s="8" t="s">
        <v>1796</v>
      </c>
      <c r="F778" s="8" t="s">
        <v>1797</v>
      </c>
    </row>
    <row r="779" customHeight="1" spans="1:6">
      <c r="A779" s="6">
        <v>778</v>
      </c>
      <c r="B779" s="8" t="s">
        <v>1798</v>
      </c>
      <c r="C779" s="8" t="s">
        <v>1799</v>
      </c>
      <c r="D779" s="8" t="s">
        <v>1800</v>
      </c>
      <c r="E779" s="8" t="s">
        <v>589</v>
      </c>
      <c r="F779" s="8" t="s">
        <v>1801</v>
      </c>
    </row>
    <row r="780" customHeight="1" spans="1:6">
      <c r="A780" s="6">
        <v>779</v>
      </c>
      <c r="B780" s="8" t="s">
        <v>1798</v>
      </c>
      <c r="C780" s="8" t="s">
        <v>1799</v>
      </c>
      <c r="D780" s="8" t="s">
        <v>1800</v>
      </c>
      <c r="E780" s="8" t="s">
        <v>589</v>
      </c>
      <c r="F780" s="8" t="s">
        <v>1801</v>
      </c>
    </row>
    <row r="781" customHeight="1" spans="1:6">
      <c r="A781" s="6">
        <v>780</v>
      </c>
      <c r="B781" s="8" t="s">
        <v>1802</v>
      </c>
      <c r="C781" s="8" t="s">
        <v>1803</v>
      </c>
      <c r="D781" s="8" t="s">
        <v>1804</v>
      </c>
      <c r="E781" s="8" t="s">
        <v>425</v>
      </c>
      <c r="F781" s="8" t="s">
        <v>1805</v>
      </c>
    </row>
    <row r="782" customHeight="1" spans="1:6">
      <c r="A782" s="6">
        <v>781</v>
      </c>
      <c r="B782" s="8" t="s">
        <v>1802</v>
      </c>
      <c r="C782" s="8" t="s">
        <v>1803</v>
      </c>
      <c r="D782" s="8" t="s">
        <v>1804</v>
      </c>
      <c r="E782" s="8" t="s">
        <v>425</v>
      </c>
      <c r="F782" s="8" t="s">
        <v>1805</v>
      </c>
    </row>
    <row r="783" customHeight="1" spans="1:6">
      <c r="A783" s="6">
        <v>782</v>
      </c>
      <c r="B783" s="8" t="s">
        <v>1806</v>
      </c>
      <c r="C783" s="8" t="s">
        <v>1807</v>
      </c>
      <c r="D783" s="8" t="s">
        <v>1808</v>
      </c>
      <c r="E783" s="8" t="s">
        <v>415</v>
      </c>
      <c r="F783" s="8" t="s">
        <v>1809</v>
      </c>
    </row>
    <row r="784" customHeight="1" spans="1:6">
      <c r="A784" s="6">
        <v>783</v>
      </c>
      <c r="B784" s="8" t="s">
        <v>1806</v>
      </c>
      <c r="C784" s="8" t="s">
        <v>1807</v>
      </c>
      <c r="D784" s="8" t="s">
        <v>1808</v>
      </c>
      <c r="E784" s="8" t="s">
        <v>415</v>
      </c>
      <c r="F784" s="8" t="s">
        <v>1809</v>
      </c>
    </row>
    <row r="785" customHeight="1" spans="1:6">
      <c r="A785" s="6">
        <v>784</v>
      </c>
      <c r="B785" s="8" t="s">
        <v>1810</v>
      </c>
      <c r="C785" s="8" t="s">
        <v>1811</v>
      </c>
      <c r="D785" s="8" t="s">
        <v>1812</v>
      </c>
      <c r="E785" s="8" t="s">
        <v>1813</v>
      </c>
      <c r="F785" s="8" t="s">
        <v>1814</v>
      </c>
    </row>
    <row r="786" customHeight="1" spans="1:6">
      <c r="A786" s="6">
        <v>785</v>
      </c>
      <c r="B786" s="8" t="s">
        <v>1810</v>
      </c>
      <c r="C786" s="8" t="s">
        <v>1811</v>
      </c>
      <c r="D786" s="8" t="s">
        <v>1812</v>
      </c>
      <c r="E786" s="8" t="s">
        <v>1813</v>
      </c>
      <c r="F786" s="8" t="s">
        <v>1814</v>
      </c>
    </row>
    <row r="787" customHeight="1" spans="1:6">
      <c r="A787" s="6">
        <v>786</v>
      </c>
      <c r="B787" s="8" t="s">
        <v>1815</v>
      </c>
      <c r="C787" s="8" t="s">
        <v>1816</v>
      </c>
      <c r="D787" s="8" t="s">
        <v>1817</v>
      </c>
      <c r="E787" s="8" t="s">
        <v>1818</v>
      </c>
      <c r="F787" s="8" t="s">
        <v>1819</v>
      </c>
    </row>
    <row r="788" customHeight="1" spans="1:6">
      <c r="A788" s="6">
        <v>787</v>
      </c>
      <c r="B788" s="8" t="s">
        <v>1815</v>
      </c>
      <c r="C788" s="8" t="s">
        <v>1816</v>
      </c>
      <c r="D788" s="8" t="s">
        <v>1817</v>
      </c>
      <c r="E788" s="8" t="s">
        <v>1818</v>
      </c>
      <c r="F788" s="8" t="s">
        <v>1819</v>
      </c>
    </row>
    <row r="789" customHeight="1" spans="1:6">
      <c r="A789" s="6">
        <v>788</v>
      </c>
      <c r="B789" s="8" t="s">
        <v>1820</v>
      </c>
      <c r="C789" s="8" t="s">
        <v>1821</v>
      </c>
      <c r="D789" s="8" t="s">
        <v>1822</v>
      </c>
      <c r="E789" s="8" t="s">
        <v>415</v>
      </c>
      <c r="F789" s="8" t="s">
        <v>1823</v>
      </c>
    </row>
    <row r="790" customHeight="1" spans="1:6">
      <c r="A790" s="6">
        <v>789</v>
      </c>
      <c r="B790" s="8" t="s">
        <v>1820</v>
      </c>
      <c r="C790" s="8" t="s">
        <v>1821</v>
      </c>
      <c r="D790" s="8" t="s">
        <v>1822</v>
      </c>
      <c r="E790" s="8" t="s">
        <v>415</v>
      </c>
      <c r="F790" s="8" t="s">
        <v>1823</v>
      </c>
    </row>
    <row r="791" customHeight="1" spans="1:6">
      <c r="A791" s="6">
        <v>790</v>
      </c>
      <c r="B791" s="8" t="s">
        <v>1824</v>
      </c>
      <c r="C791" s="8" t="s">
        <v>1825</v>
      </c>
      <c r="D791" s="8" t="s">
        <v>1826</v>
      </c>
      <c r="E791" s="8" t="s">
        <v>415</v>
      </c>
      <c r="F791" s="8" t="s">
        <v>1827</v>
      </c>
    </row>
    <row r="792" customHeight="1" spans="1:6">
      <c r="A792" s="6">
        <v>791</v>
      </c>
      <c r="B792" s="8" t="s">
        <v>1824</v>
      </c>
      <c r="C792" s="8" t="s">
        <v>1825</v>
      </c>
      <c r="D792" s="8" t="s">
        <v>1826</v>
      </c>
      <c r="E792" s="8" t="s">
        <v>415</v>
      </c>
      <c r="F792" s="8" t="s">
        <v>1827</v>
      </c>
    </row>
    <row r="793" customHeight="1" spans="1:6">
      <c r="A793" s="6">
        <v>792</v>
      </c>
      <c r="B793" s="8" t="s">
        <v>1828</v>
      </c>
      <c r="C793" s="8" t="s">
        <v>1829</v>
      </c>
      <c r="D793" s="8" t="s">
        <v>1830</v>
      </c>
      <c r="E793" s="8" t="s">
        <v>360</v>
      </c>
      <c r="F793" s="8" t="s">
        <v>1831</v>
      </c>
    </row>
    <row r="794" customHeight="1" spans="1:6">
      <c r="A794" s="6">
        <v>793</v>
      </c>
      <c r="B794" s="8" t="s">
        <v>1828</v>
      </c>
      <c r="C794" s="8" t="s">
        <v>1829</v>
      </c>
      <c r="D794" s="8" t="s">
        <v>1830</v>
      </c>
      <c r="E794" s="8" t="s">
        <v>360</v>
      </c>
      <c r="F794" s="8" t="s">
        <v>1831</v>
      </c>
    </row>
    <row r="795" customHeight="1" spans="1:6">
      <c r="A795" s="6">
        <v>794</v>
      </c>
      <c r="B795" s="8" t="s">
        <v>1828</v>
      </c>
      <c r="C795" s="8" t="s">
        <v>1832</v>
      </c>
      <c r="D795" s="8" t="s">
        <v>1830</v>
      </c>
      <c r="E795" s="8" t="s">
        <v>360</v>
      </c>
      <c r="F795" s="8" t="s">
        <v>1833</v>
      </c>
    </row>
    <row r="796" customHeight="1" spans="1:6">
      <c r="A796" s="6">
        <v>795</v>
      </c>
      <c r="B796" s="8" t="s">
        <v>1828</v>
      </c>
      <c r="C796" s="8" t="s">
        <v>1832</v>
      </c>
      <c r="D796" s="8" t="s">
        <v>1830</v>
      </c>
      <c r="E796" s="8" t="s">
        <v>360</v>
      </c>
      <c r="F796" s="8" t="s">
        <v>1833</v>
      </c>
    </row>
    <row r="797" customHeight="1" spans="1:6">
      <c r="A797" s="6">
        <v>796</v>
      </c>
      <c r="B797" s="8" t="s">
        <v>1834</v>
      </c>
      <c r="C797" s="8" t="s">
        <v>1835</v>
      </c>
      <c r="D797" s="8" t="s">
        <v>1836</v>
      </c>
      <c r="E797" s="8" t="s">
        <v>365</v>
      </c>
      <c r="F797" s="8" t="s">
        <v>1837</v>
      </c>
    </row>
    <row r="798" customHeight="1" spans="1:6">
      <c r="A798" s="6">
        <v>797</v>
      </c>
      <c r="B798" s="8" t="s">
        <v>1834</v>
      </c>
      <c r="C798" s="8" t="s">
        <v>1835</v>
      </c>
      <c r="D798" s="8" t="s">
        <v>1836</v>
      </c>
      <c r="E798" s="8" t="s">
        <v>365</v>
      </c>
      <c r="F798" s="8" t="s">
        <v>1837</v>
      </c>
    </row>
    <row r="799" customHeight="1" spans="1:6">
      <c r="A799" s="6">
        <v>798</v>
      </c>
      <c r="B799" s="8" t="s">
        <v>1838</v>
      </c>
      <c r="C799" s="8" t="s">
        <v>1839</v>
      </c>
      <c r="D799" s="8" t="s">
        <v>1840</v>
      </c>
      <c r="E799" s="8" t="s">
        <v>530</v>
      </c>
      <c r="F799" s="8" t="s">
        <v>1841</v>
      </c>
    </row>
    <row r="800" customHeight="1" spans="1:6">
      <c r="A800" s="6">
        <v>799</v>
      </c>
      <c r="B800" s="8" t="s">
        <v>1838</v>
      </c>
      <c r="C800" s="8" t="s">
        <v>1839</v>
      </c>
      <c r="D800" s="8" t="s">
        <v>1840</v>
      </c>
      <c r="E800" s="8" t="s">
        <v>530</v>
      </c>
      <c r="F800" s="8" t="s">
        <v>1841</v>
      </c>
    </row>
    <row r="801" customHeight="1" spans="1:6">
      <c r="A801" s="6">
        <v>800</v>
      </c>
      <c r="B801" s="8" t="s">
        <v>1842</v>
      </c>
      <c r="C801" s="8" t="s">
        <v>1843</v>
      </c>
      <c r="D801" s="8" t="s">
        <v>1844</v>
      </c>
      <c r="E801" s="8" t="s">
        <v>211</v>
      </c>
      <c r="F801" s="8" t="s">
        <v>1845</v>
      </c>
    </row>
    <row r="802" customHeight="1" spans="1:6">
      <c r="A802" s="6">
        <v>801</v>
      </c>
      <c r="B802" s="8" t="s">
        <v>1842</v>
      </c>
      <c r="C802" s="8" t="s">
        <v>1843</v>
      </c>
      <c r="D802" s="8" t="s">
        <v>1844</v>
      </c>
      <c r="E802" s="8" t="s">
        <v>211</v>
      </c>
      <c r="F802" s="8" t="s">
        <v>1845</v>
      </c>
    </row>
    <row r="803" customHeight="1" spans="1:6">
      <c r="A803" s="6">
        <v>802</v>
      </c>
      <c r="B803" s="7" t="str">
        <f>"978-7-5098-3888-4"</f>
        <v>978-7-5098-3888-4</v>
      </c>
      <c r="C803" s="7" t="str">
        <f>"抗战精神"</f>
        <v>抗战精神</v>
      </c>
      <c r="D803" s="7" t="str">
        <f>"李佑新主编"</f>
        <v>李佑新主编</v>
      </c>
      <c r="E803" s="7" t="str">
        <f>"中共党史出版社"</f>
        <v>中共党史出版社</v>
      </c>
      <c r="F803" s="7" t="str">
        <f>"D647/37"</f>
        <v>D647/37</v>
      </c>
    </row>
    <row r="804" customHeight="1" spans="1:6">
      <c r="A804" s="6">
        <v>803</v>
      </c>
      <c r="B804" s="7" t="str">
        <f>"978-7-5098-3888-4"</f>
        <v>978-7-5098-3888-4</v>
      </c>
      <c r="C804" s="7" t="str">
        <f>"抗战精神"</f>
        <v>抗战精神</v>
      </c>
      <c r="D804" s="7" t="str">
        <f>"李佑新主编"</f>
        <v>李佑新主编</v>
      </c>
      <c r="E804" s="7" t="str">
        <f>"中共党史出版社"</f>
        <v>中共党史出版社</v>
      </c>
      <c r="F804" s="7" t="str">
        <f>"D647/37"</f>
        <v>D647/37</v>
      </c>
    </row>
    <row r="805" customHeight="1" spans="1:6">
      <c r="A805" s="6">
        <v>804</v>
      </c>
      <c r="B805" s="7" t="str">
        <f>"978-7-101-15250-0"</f>
        <v>978-7-101-15250-0</v>
      </c>
      <c r="C805" s="7" t="str">
        <f>"屈原精神传承接受史论"</f>
        <v>屈原精神传承接受史论</v>
      </c>
      <c r="D805" s="7" t="str">
        <f>"龚红林著"</f>
        <v>龚红林著</v>
      </c>
      <c r="E805" s="7" t="str">
        <f>"中华书局"</f>
        <v>中华书局</v>
      </c>
      <c r="F805" s="7" t="str">
        <f>"D647/38"</f>
        <v>D647/38</v>
      </c>
    </row>
    <row r="806" customHeight="1" spans="1:6">
      <c r="A806" s="6">
        <v>805</v>
      </c>
      <c r="B806" s="8" t="s">
        <v>1846</v>
      </c>
      <c r="C806" s="8" t="s">
        <v>1847</v>
      </c>
      <c r="D806" s="8" t="s">
        <v>1848</v>
      </c>
      <c r="E806" s="8" t="s">
        <v>58</v>
      </c>
      <c r="F806" s="8" t="s">
        <v>1849</v>
      </c>
    </row>
    <row r="807" customHeight="1" spans="1:6">
      <c r="A807" s="6">
        <v>806</v>
      </c>
      <c r="B807" s="8" t="s">
        <v>1846</v>
      </c>
      <c r="C807" s="8" t="s">
        <v>1847</v>
      </c>
      <c r="D807" s="8" t="s">
        <v>1848</v>
      </c>
      <c r="E807" s="8" t="s">
        <v>58</v>
      </c>
      <c r="F807" s="8" t="s">
        <v>1849</v>
      </c>
    </row>
    <row r="808" customHeight="1" spans="1:6">
      <c r="A808" s="6">
        <v>807</v>
      </c>
      <c r="B808" s="8" t="s">
        <v>1850</v>
      </c>
      <c r="C808" s="8" t="s">
        <v>1851</v>
      </c>
      <c r="D808" s="8" t="s">
        <v>1852</v>
      </c>
      <c r="E808" s="8" t="s">
        <v>239</v>
      </c>
      <c r="F808" s="8" t="s">
        <v>1853</v>
      </c>
    </row>
    <row r="809" customHeight="1" spans="1:6">
      <c r="A809" s="6">
        <v>808</v>
      </c>
      <c r="B809" s="8" t="s">
        <v>1850</v>
      </c>
      <c r="C809" s="8" t="s">
        <v>1851</v>
      </c>
      <c r="D809" s="8" t="s">
        <v>1852</v>
      </c>
      <c r="E809" s="8" t="s">
        <v>239</v>
      </c>
      <c r="F809" s="8" t="s">
        <v>1853</v>
      </c>
    </row>
    <row r="810" customHeight="1" spans="1:6">
      <c r="A810" s="6">
        <v>809</v>
      </c>
      <c r="B810" s="8" t="s">
        <v>1854</v>
      </c>
      <c r="C810" s="8" t="s">
        <v>1855</v>
      </c>
      <c r="D810" s="8" t="s">
        <v>960</v>
      </c>
      <c r="E810" s="8" t="s">
        <v>28</v>
      </c>
      <c r="F810" s="8" t="s">
        <v>1856</v>
      </c>
    </row>
    <row r="811" customHeight="1" spans="1:6">
      <c r="A811" s="6">
        <v>810</v>
      </c>
      <c r="B811" s="8" t="s">
        <v>1854</v>
      </c>
      <c r="C811" s="8" t="s">
        <v>1855</v>
      </c>
      <c r="D811" s="8" t="s">
        <v>960</v>
      </c>
      <c r="E811" s="8" t="s">
        <v>28</v>
      </c>
      <c r="F811" s="8" t="s">
        <v>1856</v>
      </c>
    </row>
    <row r="812" customHeight="1" spans="1:6">
      <c r="A812" s="6">
        <v>811</v>
      </c>
      <c r="B812" s="8" t="s">
        <v>1857</v>
      </c>
      <c r="C812" s="8" t="s">
        <v>1858</v>
      </c>
      <c r="D812" s="8" t="s">
        <v>1859</v>
      </c>
      <c r="E812" s="8" t="s">
        <v>43</v>
      </c>
      <c r="F812" s="8" t="s">
        <v>1860</v>
      </c>
    </row>
    <row r="813" customHeight="1" spans="1:6">
      <c r="A813" s="6">
        <v>812</v>
      </c>
      <c r="B813" s="8" t="s">
        <v>1857</v>
      </c>
      <c r="C813" s="8" t="s">
        <v>1858</v>
      </c>
      <c r="D813" s="8" t="s">
        <v>1859</v>
      </c>
      <c r="E813" s="8" t="s">
        <v>43</v>
      </c>
      <c r="F813" s="8" t="s">
        <v>1860</v>
      </c>
    </row>
    <row r="814" customHeight="1" spans="1:6">
      <c r="A814" s="6">
        <v>813</v>
      </c>
      <c r="B814" s="8" t="s">
        <v>1861</v>
      </c>
      <c r="C814" s="8" t="s">
        <v>1862</v>
      </c>
      <c r="D814" s="8" t="s">
        <v>1863</v>
      </c>
      <c r="E814" s="8" t="s">
        <v>270</v>
      </c>
      <c r="F814" s="8" t="s">
        <v>1864</v>
      </c>
    </row>
    <row r="815" customHeight="1" spans="1:6">
      <c r="A815" s="6">
        <v>814</v>
      </c>
      <c r="B815" s="8" t="s">
        <v>1861</v>
      </c>
      <c r="C815" s="8" t="s">
        <v>1862</v>
      </c>
      <c r="D815" s="8" t="s">
        <v>1863</v>
      </c>
      <c r="E815" s="8" t="s">
        <v>270</v>
      </c>
      <c r="F815" s="8" t="s">
        <v>1864</v>
      </c>
    </row>
    <row r="816" customHeight="1" spans="1:6">
      <c r="A816" s="6">
        <v>815</v>
      </c>
      <c r="B816" s="7" t="str">
        <f>"978-7-5115-6553-2"</f>
        <v>978-7-5115-6553-2</v>
      </c>
      <c r="C816" s="7" t="str">
        <f>"南泥湾精神"</f>
        <v>南泥湾精神</v>
      </c>
      <c r="D816" s="7" t="str">
        <f>"陈福荣著"</f>
        <v>陈福荣著</v>
      </c>
      <c r="E816" s="7" t="str">
        <f>"人民日报出版社"</f>
        <v>人民日报出版社</v>
      </c>
      <c r="F816" s="7" t="str">
        <f>"D648.4/12"</f>
        <v>D648.4/12</v>
      </c>
    </row>
    <row r="817" customHeight="1" spans="1:6">
      <c r="A817" s="6">
        <v>816</v>
      </c>
      <c r="B817" s="7" t="str">
        <f>"978-7-5115-6553-2"</f>
        <v>978-7-5115-6553-2</v>
      </c>
      <c r="C817" s="7" t="str">
        <f>"南泥湾精神"</f>
        <v>南泥湾精神</v>
      </c>
      <c r="D817" s="7" t="str">
        <f>"陈福荣著"</f>
        <v>陈福荣著</v>
      </c>
      <c r="E817" s="7" t="str">
        <f>"人民日报出版社"</f>
        <v>人民日报出版社</v>
      </c>
      <c r="F817" s="7" t="str">
        <f>"D648.4/12"</f>
        <v>D648.4/12</v>
      </c>
    </row>
    <row r="818" customHeight="1" spans="1:6">
      <c r="A818" s="6">
        <v>817</v>
      </c>
      <c r="B818" s="7" t="str">
        <f>"978-7-5098-4551-6"</f>
        <v>978-7-5098-4551-6</v>
      </c>
      <c r="C818" s="7" t="str">
        <f>"沂蒙精神"</f>
        <v>沂蒙精神</v>
      </c>
      <c r="D818" s="7" t="str">
        <f>"费聿辉， 徐东升主编"</f>
        <v>费聿辉， 徐东升主编</v>
      </c>
      <c r="E818" s="7" t="str">
        <f>"中共党史出版社"</f>
        <v>中共党史出版社</v>
      </c>
      <c r="F818" s="7" t="str">
        <f>"D648/81"</f>
        <v>D648/81</v>
      </c>
    </row>
    <row r="819" customHeight="1" spans="1:6">
      <c r="A819" s="6">
        <v>818</v>
      </c>
      <c r="B819" s="7" t="str">
        <f>"978-7-5098-4551-6"</f>
        <v>978-7-5098-4551-6</v>
      </c>
      <c r="C819" s="7" t="str">
        <f>"沂蒙精神"</f>
        <v>沂蒙精神</v>
      </c>
      <c r="D819" s="7" t="str">
        <f>"费聿辉， 徐东升主编"</f>
        <v>费聿辉， 徐东升主编</v>
      </c>
      <c r="E819" s="7" t="str">
        <f>"中共党史出版社"</f>
        <v>中共党史出版社</v>
      </c>
      <c r="F819" s="7" t="str">
        <f>"D648/81"</f>
        <v>D648/81</v>
      </c>
    </row>
    <row r="820" customHeight="1" spans="1:6">
      <c r="A820" s="6">
        <v>819</v>
      </c>
      <c r="B820" s="8" t="s">
        <v>1865</v>
      </c>
      <c r="C820" s="8" t="s">
        <v>1866</v>
      </c>
      <c r="D820" s="8" t="s">
        <v>1867</v>
      </c>
      <c r="E820" s="8" t="s">
        <v>43</v>
      </c>
      <c r="F820" s="8" t="s">
        <v>1868</v>
      </c>
    </row>
    <row r="821" customHeight="1" spans="1:6">
      <c r="A821" s="6">
        <v>820</v>
      </c>
      <c r="B821" s="8" t="s">
        <v>1865</v>
      </c>
      <c r="C821" s="8" t="s">
        <v>1866</v>
      </c>
      <c r="D821" s="8" t="s">
        <v>1867</v>
      </c>
      <c r="E821" s="8" t="s">
        <v>43</v>
      </c>
      <c r="F821" s="8" t="s">
        <v>1868</v>
      </c>
    </row>
    <row r="822" customHeight="1" spans="1:6">
      <c r="A822" s="6">
        <v>821</v>
      </c>
      <c r="B822" s="8" t="s">
        <v>1869</v>
      </c>
      <c r="C822" s="8" t="s">
        <v>1870</v>
      </c>
      <c r="D822" s="8" t="s">
        <v>1871</v>
      </c>
      <c r="E822" s="8" t="s">
        <v>1872</v>
      </c>
      <c r="F822" s="8" t="s">
        <v>1873</v>
      </c>
    </row>
    <row r="823" customHeight="1" spans="1:6">
      <c r="A823" s="6">
        <v>822</v>
      </c>
      <c r="B823" s="8" t="s">
        <v>1869</v>
      </c>
      <c r="C823" s="8" t="s">
        <v>1870</v>
      </c>
      <c r="D823" s="8" t="s">
        <v>1871</v>
      </c>
      <c r="E823" s="8" t="s">
        <v>1872</v>
      </c>
      <c r="F823" s="8" t="s">
        <v>1873</v>
      </c>
    </row>
    <row r="824" customHeight="1" spans="1:6">
      <c r="A824" s="6">
        <v>823</v>
      </c>
      <c r="B824" s="8" t="s">
        <v>1874</v>
      </c>
      <c r="C824" s="8" t="s">
        <v>1875</v>
      </c>
      <c r="D824" s="8" t="s">
        <v>1876</v>
      </c>
      <c r="E824" s="8" t="s">
        <v>189</v>
      </c>
      <c r="F824" s="8" t="s">
        <v>1877</v>
      </c>
    </row>
    <row r="825" customHeight="1" spans="1:6">
      <c r="A825" s="6">
        <v>824</v>
      </c>
      <c r="B825" s="8" t="s">
        <v>1874</v>
      </c>
      <c r="C825" s="8" t="s">
        <v>1875</v>
      </c>
      <c r="D825" s="8" t="s">
        <v>1876</v>
      </c>
      <c r="E825" s="8" t="s">
        <v>189</v>
      </c>
      <c r="F825" s="8" t="s">
        <v>1877</v>
      </c>
    </row>
    <row r="826" customHeight="1" spans="1:6">
      <c r="A826" s="6">
        <v>825</v>
      </c>
      <c r="B826" s="8" t="s">
        <v>1874</v>
      </c>
      <c r="C826" s="8" t="s">
        <v>1875</v>
      </c>
      <c r="D826" s="8" t="s">
        <v>1876</v>
      </c>
      <c r="E826" s="8" t="s">
        <v>189</v>
      </c>
      <c r="F826" s="8" t="s">
        <v>1877</v>
      </c>
    </row>
    <row r="827" customHeight="1" spans="1:6">
      <c r="A827" s="6">
        <v>826</v>
      </c>
      <c r="B827" s="8" t="s">
        <v>1878</v>
      </c>
      <c r="C827" s="8" t="s">
        <v>1879</v>
      </c>
      <c r="D827" s="8" t="s">
        <v>1880</v>
      </c>
      <c r="E827" s="8" t="s">
        <v>1504</v>
      </c>
      <c r="F827" s="8" t="s">
        <v>1881</v>
      </c>
    </row>
    <row r="828" customHeight="1" spans="1:6">
      <c r="A828" s="6">
        <v>827</v>
      </c>
      <c r="B828" s="8" t="s">
        <v>1878</v>
      </c>
      <c r="C828" s="8" t="s">
        <v>1879</v>
      </c>
      <c r="D828" s="8" t="s">
        <v>1880</v>
      </c>
      <c r="E828" s="8" t="s">
        <v>1504</v>
      </c>
      <c r="F828" s="8" t="s">
        <v>1881</v>
      </c>
    </row>
    <row r="829" customHeight="1" spans="1:6">
      <c r="A829" s="6">
        <v>828</v>
      </c>
      <c r="B829" s="8" t="s">
        <v>1882</v>
      </c>
      <c r="C829" s="8" t="s">
        <v>1883</v>
      </c>
      <c r="D829" s="8" t="s">
        <v>1884</v>
      </c>
      <c r="E829" s="8" t="s">
        <v>311</v>
      </c>
      <c r="F829" s="8" t="s">
        <v>1885</v>
      </c>
    </row>
    <row r="830" customHeight="1" spans="1:6">
      <c r="A830" s="6">
        <v>829</v>
      </c>
      <c r="B830" s="8" t="s">
        <v>1882</v>
      </c>
      <c r="C830" s="8" t="s">
        <v>1883</v>
      </c>
      <c r="D830" s="8" t="s">
        <v>1884</v>
      </c>
      <c r="E830" s="8" t="s">
        <v>311</v>
      </c>
      <c r="F830" s="8" t="s">
        <v>1885</v>
      </c>
    </row>
    <row r="831" customHeight="1" spans="1:6">
      <c r="A831" s="6">
        <v>830</v>
      </c>
      <c r="B831" s="8" t="s">
        <v>1886</v>
      </c>
      <c r="C831" s="8" t="s">
        <v>1887</v>
      </c>
      <c r="D831" s="8" t="s">
        <v>1888</v>
      </c>
      <c r="E831" s="8" t="s">
        <v>43</v>
      </c>
      <c r="F831" s="8" t="s">
        <v>1889</v>
      </c>
    </row>
    <row r="832" customHeight="1" spans="1:6">
      <c r="A832" s="6">
        <v>831</v>
      </c>
      <c r="B832" s="8" t="s">
        <v>1886</v>
      </c>
      <c r="C832" s="8" t="s">
        <v>1887</v>
      </c>
      <c r="D832" s="8" t="s">
        <v>1888</v>
      </c>
      <c r="E832" s="8" t="s">
        <v>43</v>
      </c>
      <c r="F832" s="8" t="s">
        <v>1889</v>
      </c>
    </row>
    <row r="833" customHeight="1" spans="1:6">
      <c r="A833" s="6">
        <v>832</v>
      </c>
      <c r="B833" s="8" t="s">
        <v>1890</v>
      </c>
      <c r="C833" s="8" t="s">
        <v>1891</v>
      </c>
      <c r="D833" s="8" t="s">
        <v>1892</v>
      </c>
      <c r="E833" s="8" t="s">
        <v>385</v>
      </c>
      <c r="F833" s="8" t="s">
        <v>1893</v>
      </c>
    </row>
    <row r="834" customHeight="1" spans="1:6">
      <c r="A834" s="6">
        <v>833</v>
      </c>
      <c r="B834" s="8" t="s">
        <v>1890</v>
      </c>
      <c r="C834" s="8" t="s">
        <v>1891</v>
      </c>
      <c r="D834" s="8" t="s">
        <v>1892</v>
      </c>
      <c r="E834" s="8" t="s">
        <v>385</v>
      </c>
      <c r="F834" s="8" t="s">
        <v>1893</v>
      </c>
    </row>
    <row r="835" customHeight="1" spans="1:6">
      <c r="A835" s="6">
        <v>834</v>
      </c>
      <c r="B835" s="8" t="s">
        <v>1894</v>
      </c>
      <c r="C835" s="8" t="s">
        <v>1895</v>
      </c>
      <c r="D835" s="8" t="s">
        <v>1896</v>
      </c>
      <c r="E835" s="8" t="s">
        <v>23</v>
      </c>
      <c r="F835" s="8" t="s">
        <v>1897</v>
      </c>
    </row>
    <row r="836" customHeight="1" spans="1:6">
      <c r="A836" s="6">
        <v>835</v>
      </c>
      <c r="B836" s="8" t="s">
        <v>1894</v>
      </c>
      <c r="C836" s="8" t="s">
        <v>1895</v>
      </c>
      <c r="D836" s="8" t="s">
        <v>1896</v>
      </c>
      <c r="E836" s="8" t="s">
        <v>23</v>
      </c>
      <c r="F836" s="8" t="s">
        <v>1897</v>
      </c>
    </row>
    <row r="837" customHeight="1" spans="1:6">
      <c r="A837" s="6">
        <v>836</v>
      </c>
      <c r="B837" s="7" t="str">
        <f>"978-7-308-21740-8"</f>
        <v>978-7-308-21740-8</v>
      </c>
      <c r="C837" s="7" t="str">
        <f>"面向未来：浙江社区治理的创新"</f>
        <v>面向未来：浙江社区治理的创新</v>
      </c>
      <c r="D837" s="7" t="str">
        <f>"浙江省民政厅主编"</f>
        <v>浙江省民政厅主编</v>
      </c>
      <c r="E837" s="7" t="str">
        <f>"浙江大学出版社"</f>
        <v>浙江大学出版社</v>
      </c>
      <c r="F837" s="7" t="str">
        <f>"D669.3/263"</f>
        <v>D669.3/263</v>
      </c>
    </row>
    <row r="838" customHeight="1" spans="1:6">
      <c r="A838" s="6">
        <v>837</v>
      </c>
      <c r="B838" s="7" t="str">
        <f>"978-7-308-21740-8"</f>
        <v>978-7-308-21740-8</v>
      </c>
      <c r="C838" s="7" t="str">
        <f>"面向未来：浙江社区治理的创新"</f>
        <v>面向未来：浙江社区治理的创新</v>
      </c>
      <c r="D838" s="7" t="str">
        <f>"浙江省民政厅主编"</f>
        <v>浙江省民政厅主编</v>
      </c>
      <c r="E838" s="7" t="str">
        <f>"浙江大学出版社"</f>
        <v>浙江大学出版社</v>
      </c>
      <c r="F838" s="7" t="str">
        <f>"D669.3/263"</f>
        <v>D669.3/263</v>
      </c>
    </row>
    <row r="839" customHeight="1" spans="1:6">
      <c r="A839" s="6">
        <v>838</v>
      </c>
      <c r="B839" s="8" t="s">
        <v>1898</v>
      </c>
      <c r="C839" s="8" t="s">
        <v>1899</v>
      </c>
      <c r="D839" s="8" t="s">
        <v>1900</v>
      </c>
      <c r="E839" s="8" t="s">
        <v>710</v>
      </c>
      <c r="F839" s="8" t="s">
        <v>1901</v>
      </c>
    </row>
    <row r="840" customHeight="1" spans="1:6">
      <c r="A840" s="6">
        <v>839</v>
      </c>
      <c r="B840" s="8" t="s">
        <v>1898</v>
      </c>
      <c r="C840" s="8" t="s">
        <v>1899</v>
      </c>
      <c r="D840" s="8" t="s">
        <v>1900</v>
      </c>
      <c r="E840" s="8" t="s">
        <v>710</v>
      </c>
      <c r="F840" s="8" t="s">
        <v>1901</v>
      </c>
    </row>
    <row r="841" customHeight="1" spans="1:6">
      <c r="A841" s="6">
        <v>840</v>
      </c>
      <c r="B841" s="8" t="s">
        <v>1902</v>
      </c>
      <c r="C841" s="8" t="s">
        <v>1903</v>
      </c>
      <c r="D841" s="8" t="s">
        <v>1904</v>
      </c>
      <c r="E841" s="8" t="s">
        <v>239</v>
      </c>
      <c r="F841" s="8" t="s">
        <v>1905</v>
      </c>
    </row>
    <row r="842" customHeight="1" spans="1:6">
      <c r="A842" s="6">
        <v>841</v>
      </c>
      <c r="B842" s="8" t="s">
        <v>1902</v>
      </c>
      <c r="C842" s="8" t="s">
        <v>1903</v>
      </c>
      <c r="D842" s="8" t="s">
        <v>1904</v>
      </c>
      <c r="E842" s="8" t="s">
        <v>239</v>
      </c>
      <c r="F842" s="8" t="s">
        <v>1905</v>
      </c>
    </row>
    <row r="843" customHeight="1" spans="1:6">
      <c r="A843" s="6">
        <v>842</v>
      </c>
      <c r="B843" s="8" t="s">
        <v>1906</v>
      </c>
      <c r="C843" s="8" t="s">
        <v>1907</v>
      </c>
      <c r="D843" s="8" t="s">
        <v>1908</v>
      </c>
      <c r="E843" s="8" t="s">
        <v>43</v>
      </c>
      <c r="F843" s="8" t="s">
        <v>1909</v>
      </c>
    </row>
    <row r="844" customHeight="1" spans="1:6">
      <c r="A844" s="6">
        <v>843</v>
      </c>
      <c r="B844" s="8" t="s">
        <v>1906</v>
      </c>
      <c r="C844" s="8" t="s">
        <v>1907</v>
      </c>
      <c r="D844" s="8" t="s">
        <v>1908</v>
      </c>
      <c r="E844" s="8" t="s">
        <v>43</v>
      </c>
      <c r="F844" s="8" t="s">
        <v>1909</v>
      </c>
    </row>
    <row r="845" customHeight="1" spans="1:6">
      <c r="A845" s="6">
        <v>844</v>
      </c>
      <c r="B845" s="8" t="s">
        <v>1910</v>
      </c>
      <c r="C845" s="8" t="s">
        <v>1911</v>
      </c>
      <c r="D845" s="8" t="s">
        <v>1912</v>
      </c>
      <c r="E845" s="8" t="s">
        <v>43</v>
      </c>
      <c r="F845" s="8" t="s">
        <v>1913</v>
      </c>
    </row>
    <row r="846" customHeight="1" spans="1:6">
      <c r="A846" s="6">
        <v>845</v>
      </c>
      <c r="B846" s="8" t="s">
        <v>1910</v>
      </c>
      <c r="C846" s="8" t="s">
        <v>1911</v>
      </c>
      <c r="D846" s="8" t="s">
        <v>1912</v>
      </c>
      <c r="E846" s="8" t="s">
        <v>43</v>
      </c>
      <c r="F846" s="8" t="s">
        <v>1913</v>
      </c>
    </row>
    <row r="847" customHeight="1" spans="1:6">
      <c r="A847" s="6">
        <v>846</v>
      </c>
      <c r="B847" s="8" t="s">
        <v>1914</v>
      </c>
      <c r="C847" s="8" t="s">
        <v>1915</v>
      </c>
      <c r="D847" s="8" t="s">
        <v>1916</v>
      </c>
      <c r="E847" s="8" t="s">
        <v>48</v>
      </c>
      <c r="F847" s="8" t="s">
        <v>1917</v>
      </c>
    </row>
    <row r="848" customHeight="1" spans="1:6">
      <c r="A848" s="6">
        <v>847</v>
      </c>
      <c r="B848" s="8" t="s">
        <v>1914</v>
      </c>
      <c r="C848" s="8" t="s">
        <v>1915</v>
      </c>
      <c r="D848" s="8" t="s">
        <v>1916</v>
      </c>
      <c r="E848" s="8" t="s">
        <v>48</v>
      </c>
      <c r="F848" s="8" t="s">
        <v>1917</v>
      </c>
    </row>
    <row r="849" customHeight="1" spans="1:6">
      <c r="A849" s="6">
        <v>848</v>
      </c>
      <c r="B849" s="8" t="s">
        <v>1918</v>
      </c>
      <c r="C849" s="8" t="s">
        <v>1919</v>
      </c>
      <c r="D849" s="8" t="s">
        <v>1448</v>
      </c>
      <c r="E849" s="8" t="s">
        <v>1449</v>
      </c>
      <c r="F849" s="8" t="s">
        <v>1920</v>
      </c>
    </row>
    <row r="850" customHeight="1" spans="1:6">
      <c r="A850" s="6">
        <v>849</v>
      </c>
      <c r="B850" s="8" t="s">
        <v>1918</v>
      </c>
      <c r="C850" s="8" t="s">
        <v>1919</v>
      </c>
      <c r="D850" s="8" t="s">
        <v>1448</v>
      </c>
      <c r="E850" s="8" t="s">
        <v>1449</v>
      </c>
      <c r="F850" s="8" t="s">
        <v>1920</v>
      </c>
    </row>
    <row r="851" customHeight="1" spans="1:6">
      <c r="A851" s="6">
        <v>850</v>
      </c>
      <c r="B851" s="8" t="s">
        <v>1921</v>
      </c>
      <c r="C851" s="8" t="s">
        <v>1922</v>
      </c>
      <c r="D851" s="8" t="s">
        <v>1923</v>
      </c>
      <c r="E851" s="8" t="s">
        <v>415</v>
      </c>
      <c r="F851" s="8" t="s">
        <v>1924</v>
      </c>
    </row>
    <row r="852" customHeight="1" spans="1:6">
      <c r="A852" s="6">
        <v>851</v>
      </c>
      <c r="B852" s="8" t="s">
        <v>1921</v>
      </c>
      <c r="C852" s="8" t="s">
        <v>1922</v>
      </c>
      <c r="D852" s="8" t="s">
        <v>1923</v>
      </c>
      <c r="E852" s="8" t="s">
        <v>415</v>
      </c>
      <c r="F852" s="8" t="s">
        <v>1924</v>
      </c>
    </row>
    <row r="853" customHeight="1" spans="1:6">
      <c r="A853" s="6">
        <v>852</v>
      </c>
      <c r="B853" s="8" t="s">
        <v>1925</v>
      </c>
      <c r="C853" s="8" t="s">
        <v>1926</v>
      </c>
      <c r="D853" s="8" t="s">
        <v>1927</v>
      </c>
      <c r="E853" s="8" t="s">
        <v>18</v>
      </c>
      <c r="F853" s="8" t="s">
        <v>1928</v>
      </c>
    </row>
    <row r="854" customHeight="1" spans="1:6">
      <c r="A854" s="6">
        <v>853</v>
      </c>
      <c r="B854" s="8" t="s">
        <v>1925</v>
      </c>
      <c r="C854" s="8" t="s">
        <v>1926</v>
      </c>
      <c r="D854" s="8" t="s">
        <v>1927</v>
      </c>
      <c r="E854" s="8" t="s">
        <v>18</v>
      </c>
      <c r="F854" s="8" t="s">
        <v>1928</v>
      </c>
    </row>
    <row r="855" customHeight="1" spans="1:6">
      <c r="A855" s="6">
        <v>854</v>
      </c>
      <c r="B855" s="8" t="s">
        <v>1929</v>
      </c>
      <c r="C855" s="8" t="s">
        <v>1930</v>
      </c>
      <c r="D855" s="8" t="s">
        <v>1931</v>
      </c>
      <c r="E855" s="8" t="s">
        <v>415</v>
      </c>
      <c r="F855" s="8" t="s">
        <v>1932</v>
      </c>
    </row>
    <row r="856" customHeight="1" spans="1:6">
      <c r="A856" s="6">
        <v>855</v>
      </c>
      <c r="B856" s="8" t="s">
        <v>1929</v>
      </c>
      <c r="C856" s="8" t="s">
        <v>1930</v>
      </c>
      <c r="D856" s="8" t="s">
        <v>1931</v>
      </c>
      <c r="E856" s="8" t="s">
        <v>415</v>
      </c>
      <c r="F856" s="8" t="s">
        <v>1932</v>
      </c>
    </row>
    <row r="857" customHeight="1" spans="1:6">
      <c r="A857" s="6">
        <v>856</v>
      </c>
      <c r="B857" s="7" t="str">
        <f>"978-7-5710-0992-2"</f>
        <v>978-7-5710-0992-2</v>
      </c>
      <c r="C857" s="7" t="str">
        <f>"养老服务机构标准化建设管理规范"</f>
        <v>养老服务机构标准化建设管理规范</v>
      </c>
      <c r="D857" s="7" t="str">
        <f>"分册主编李雪兵， 龙岳华"</f>
        <v>分册主编李雪兵， 龙岳华</v>
      </c>
      <c r="E857" s="7" t="str">
        <f>"湖南科学技术出版社"</f>
        <v>湖南科学技术出版社</v>
      </c>
      <c r="F857" s="7" t="str">
        <f>"D669.6/93"</f>
        <v>D669.6/93</v>
      </c>
    </row>
    <row r="858" customHeight="1" spans="1:6">
      <c r="A858" s="6">
        <v>857</v>
      </c>
      <c r="B858" s="7" t="str">
        <f>"978-7-5710-0992-2"</f>
        <v>978-7-5710-0992-2</v>
      </c>
      <c r="C858" s="7" t="str">
        <f>"养老服务机构标准化建设管理规范"</f>
        <v>养老服务机构标准化建设管理规范</v>
      </c>
      <c r="D858" s="7" t="str">
        <f>"分册主编李雪兵， 龙岳华"</f>
        <v>分册主编李雪兵， 龙岳华</v>
      </c>
      <c r="E858" s="7" t="str">
        <f>"湖南科学技术出版社"</f>
        <v>湖南科学技术出版社</v>
      </c>
      <c r="F858" s="7" t="str">
        <f>"D669.6/93"</f>
        <v>D669.6/93</v>
      </c>
    </row>
    <row r="859" customHeight="1" spans="1:6">
      <c r="A859" s="6">
        <v>858</v>
      </c>
      <c r="B859" s="8" t="s">
        <v>1933</v>
      </c>
      <c r="C859" s="8" t="s">
        <v>1934</v>
      </c>
      <c r="D859" s="8" t="s">
        <v>1935</v>
      </c>
      <c r="E859" s="8" t="s">
        <v>1872</v>
      </c>
      <c r="F859" s="8" t="s">
        <v>1936</v>
      </c>
    </row>
    <row r="860" customHeight="1" spans="1:6">
      <c r="A860" s="6">
        <v>859</v>
      </c>
      <c r="B860" s="8" t="s">
        <v>1933</v>
      </c>
      <c r="C860" s="8" t="s">
        <v>1934</v>
      </c>
      <c r="D860" s="8" t="s">
        <v>1935</v>
      </c>
      <c r="E860" s="8" t="s">
        <v>1872</v>
      </c>
      <c r="F860" s="8" t="s">
        <v>1936</v>
      </c>
    </row>
    <row r="861" customHeight="1" spans="1:6">
      <c r="A861" s="6">
        <v>860</v>
      </c>
      <c r="B861" s="7" t="str">
        <f>"978-7-5201-8327-7"</f>
        <v>978-7-5201-8327-7</v>
      </c>
      <c r="C861" s="7" t="str">
        <f>"中国老龄产业发展论文集"</f>
        <v>中国老龄产业发展论文集</v>
      </c>
      <c r="D861" s="7" t="str">
        <f>"党俊武， 王莉莉主编"</f>
        <v>党俊武， 王莉莉主编</v>
      </c>
      <c r="E861" s="7" t="str">
        <f>"社会科学文献出版社"</f>
        <v>社会科学文献出版社</v>
      </c>
      <c r="F861" s="7" t="str">
        <f>"D669.6-53/3"</f>
        <v>D669.6-53/3</v>
      </c>
    </row>
    <row r="862" customHeight="1" spans="1:6">
      <c r="A862" s="6">
        <v>861</v>
      </c>
      <c r="B862" s="7" t="str">
        <f>"978-7-5201-8327-7"</f>
        <v>978-7-5201-8327-7</v>
      </c>
      <c r="C862" s="7" t="str">
        <f>"中国老龄产业发展论文集"</f>
        <v>中国老龄产业发展论文集</v>
      </c>
      <c r="D862" s="7" t="str">
        <f>"党俊武， 王莉莉主编"</f>
        <v>党俊武， 王莉莉主编</v>
      </c>
      <c r="E862" s="7" t="str">
        <f>"社会科学文献出版社"</f>
        <v>社会科学文献出版社</v>
      </c>
      <c r="F862" s="7" t="str">
        <f>"D669.6-53/3"</f>
        <v>D669.6-53/3</v>
      </c>
    </row>
    <row r="863" customHeight="1" spans="1:6">
      <c r="A863" s="6">
        <v>862</v>
      </c>
      <c r="B863" s="8" t="s">
        <v>1937</v>
      </c>
      <c r="C863" s="8" t="s">
        <v>1938</v>
      </c>
      <c r="D863" s="8" t="s">
        <v>1939</v>
      </c>
      <c r="E863" s="8" t="s">
        <v>881</v>
      </c>
      <c r="F863" s="8" t="s">
        <v>1940</v>
      </c>
    </row>
    <row r="864" customHeight="1" spans="1:6">
      <c r="A864" s="6">
        <v>863</v>
      </c>
      <c r="B864" s="8" t="s">
        <v>1937</v>
      </c>
      <c r="C864" s="8" t="s">
        <v>1938</v>
      </c>
      <c r="D864" s="8" t="s">
        <v>1939</v>
      </c>
      <c r="E864" s="8" t="s">
        <v>881</v>
      </c>
      <c r="F864" s="8" t="s">
        <v>1940</v>
      </c>
    </row>
    <row r="865" customHeight="1" spans="1:6">
      <c r="A865" s="6">
        <v>864</v>
      </c>
      <c r="B865" s="8" t="s">
        <v>1941</v>
      </c>
      <c r="C865" s="8" t="s">
        <v>1942</v>
      </c>
      <c r="D865" s="8" t="s">
        <v>1943</v>
      </c>
      <c r="E865" s="8" t="s">
        <v>615</v>
      </c>
      <c r="F865" s="8" t="s">
        <v>1944</v>
      </c>
    </row>
    <row r="866" customHeight="1" spans="1:6">
      <c r="A866" s="6">
        <v>865</v>
      </c>
      <c r="B866" s="8" t="s">
        <v>1941</v>
      </c>
      <c r="C866" s="8" t="s">
        <v>1942</v>
      </c>
      <c r="D866" s="8" t="s">
        <v>1943</v>
      </c>
      <c r="E866" s="8" t="s">
        <v>615</v>
      </c>
      <c r="F866" s="8" t="s">
        <v>1944</v>
      </c>
    </row>
    <row r="867" customHeight="1" spans="1:6">
      <c r="A867" s="6">
        <v>866</v>
      </c>
      <c r="B867" s="8" t="s">
        <v>1945</v>
      </c>
      <c r="C867" s="8" t="s">
        <v>1946</v>
      </c>
      <c r="D867" s="8" t="s">
        <v>1947</v>
      </c>
      <c r="E867" s="8" t="s">
        <v>1948</v>
      </c>
      <c r="F867" s="8" t="s">
        <v>1949</v>
      </c>
    </row>
    <row r="868" customHeight="1" spans="1:6">
      <c r="A868" s="6">
        <v>867</v>
      </c>
      <c r="B868" s="8" t="s">
        <v>1945</v>
      </c>
      <c r="C868" s="8" t="s">
        <v>1946</v>
      </c>
      <c r="D868" s="8" t="s">
        <v>1947</v>
      </c>
      <c r="E868" s="8" t="s">
        <v>1948</v>
      </c>
      <c r="F868" s="8" t="s">
        <v>1949</v>
      </c>
    </row>
    <row r="869" customHeight="1" spans="1:6">
      <c r="A869" s="6">
        <v>868</v>
      </c>
      <c r="B869" s="8" t="s">
        <v>1950</v>
      </c>
      <c r="C869" s="8" t="s">
        <v>1951</v>
      </c>
      <c r="D869" s="8" t="s">
        <v>1952</v>
      </c>
      <c r="E869" s="8" t="s">
        <v>1355</v>
      </c>
      <c r="F869" s="8" t="s">
        <v>1953</v>
      </c>
    </row>
    <row r="870" customHeight="1" spans="1:6">
      <c r="A870" s="6">
        <v>869</v>
      </c>
      <c r="B870" s="8" t="s">
        <v>1950</v>
      </c>
      <c r="C870" s="8" t="s">
        <v>1951</v>
      </c>
      <c r="D870" s="8" t="s">
        <v>1952</v>
      </c>
      <c r="E870" s="8" t="s">
        <v>1355</v>
      </c>
      <c r="F870" s="8" t="s">
        <v>1953</v>
      </c>
    </row>
    <row r="871" customHeight="1" spans="1:6">
      <c r="A871" s="6">
        <v>870</v>
      </c>
      <c r="B871" s="8" t="s">
        <v>1954</v>
      </c>
      <c r="C871" s="8" t="s">
        <v>1955</v>
      </c>
      <c r="D871" s="8" t="s">
        <v>1956</v>
      </c>
      <c r="E871" s="8" t="s">
        <v>1957</v>
      </c>
      <c r="F871" s="8" t="s">
        <v>1958</v>
      </c>
    </row>
    <row r="872" customHeight="1" spans="1:6">
      <c r="A872" s="6">
        <v>871</v>
      </c>
      <c r="B872" s="8" t="s">
        <v>1954</v>
      </c>
      <c r="C872" s="8" t="s">
        <v>1955</v>
      </c>
      <c r="D872" s="8" t="s">
        <v>1956</v>
      </c>
      <c r="E872" s="8" t="s">
        <v>1957</v>
      </c>
      <c r="F872" s="8" t="s">
        <v>1958</v>
      </c>
    </row>
    <row r="873" customHeight="1" spans="1:6">
      <c r="A873" s="6">
        <v>872</v>
      </c>
      <c r="B873" s="8" t="s">
        <v>1959</v>
      </c>
      <c r="C873" s="8" t="s">
        <v>1960</v>
      </c>
      <c r="D873" s="8" t="s">
        <v>1961</v>
      </c>
      <c r="E873" s="8" t="s">
        <v>1962</v>
      </c>
      <c r="F873" s="8" t="s">
        <v>1963</v>
      </c>
    </row>
    <row r="874" customHeight="1" spans="1:6">
      <c r="A874" s="6">
        <v>873</v>
      </c>
      <c r="B874" s="8" t="s">
        <v>1959</v>
      </c>
      <c r="C874" s="8" t="s">
        <v>1960</v>
      </c>
      <c r="D874" s="8" t="s">
        <v>1961</v>
      </c>
      <c r="E874" s="8" t="s">
        <v>1962</v>
      </c>
      <c r="F874" s="8" t="s">
        <v>1963</v>
      </c>
    </row>
    <row r="875" customHeight="1" spans="1:6">
      <c r="A875" s="6">
        <v>874</v>
      </c>
      <c r="B875" s="8" t="s">
        <v>1964</v>
      </c>
      <c r="C875" s="8" t="s">
        <v>1965</v>
      </c>
      <c r="D875" s="8" t="s">
        <v>1966</v>
      </c>
      <c r="E875" s="8" t="s">
        <v>1967</v>
      </c>
      <c r="F875" s="8" t="s">
        <v>1968</v>
      </c>
    </row>
    <row r="876" customHeight="1" spans="1:6">
      <c r="A876" s="6">
        <v>875</v>
      </c>
      <c r="B876" s="8" t="s">
        <v>1964</v>
      </c>
      <c r="C876" s="8" t="s">
        <v>1965</v>
      </c>
      <c r="D876" s="8" t="s">
        <v>1966</v>
      </c>
      <c r="E876" s="8" t="s">
        <v>1967</v>
      </c>
      <c r="F876" s="8" t="s">
        <v>1968</v>
      </c>
    </row>
    <row r="877" customHeight="1" spans="1:6">
      <c r="A877" s="6">
        <v>876</v>
      </c>
      <c r="B877" s="8" t="s">
        <v>1969</v>
      </c>
      <c r="C877" s="8" t="s">
        <v>1970</v>
      </c>
      <c r="D877" s="8" t="s">
        <v>1971</v>
      </c>
      <c r="E877" s="8" t="s">
        <v>53</v>
      </c>
      <c r="F877" s="8" t="s">
        <v>1972</v>
      </c>
    </row>
    <row r="878" customHeight="1" spans="1:6">
      <c r="A878" s="6">
        <v>877</v>
      </c>
      <c r="B878" s="8" t="s">
        <v>1969</v>
      </c>
      <c r="C878" s="8" t="s">
        <v>1970</v>
      </c>
      <c r="D878" s="8" t="s">
        <v>1971</v>
      </c>
      <c r="E878" s="8" t="s">
        <v>53</v>
      </c>
      <c r="F878" s="8" t="s">
        <v>1972</v>
      </c>
    </row>
    <row r="879" customHeight="1" spans="1:6">
      <c r="A879" s="6">
        <v>878</v>
      </c>
      <c r="B879" s="7" t="str">
        <f>"978-7-301-31869-0"</f>
        <v>978-7-301-31869-0</v>
      </c>
      <c r="C879" s="7" t="str">
        <f>"观书辨音：历史书写与魏晋精英的政治文化：the writing of history and the political culture of the elites in the Wei and Jin dynasties"</f>
        <v>观书辨音：历史书写与魏晋精英的政治文化：the writing of history and the political culture of the elites in the Wei and Jin dynasties</v>
      </c>
      <c r="D879" s="7" t="str">
        <f>"徐冲著"</f>
        <v>徐冲著</v>
      </c>
      <c r="E879" s="7" t="str">
        <f>"北京大学出版社"</f>
        <v>北京大学出版社</v>
      </c>
      <c r="F879" s="7" t="str">
        <f>"D691.2/76"</f>
        <v>D691.2/76</v>
      </c>
    </row>
    <row r="880" customHeight="1" spans="1:6">
      <c r="A880" s="6">
        <v>879</v>
      </c>
      <c r="B880" s="7" t="str">
        <f>"978-7-301-31869-0"</f>
        <v>978-7-301-31869-0</v>
      </c>
      <c r="C880" s="7" t="str">
        <f>"观书辨音：历史书写与魏晋精英的政治文化：the writing of history and the political culture of the elites in the Wei and Jin dynasties"</f>
        <v>观书辨音：历史书写与魏晋精英的政治文化：the writing of history and the political culture of the elites in the Wei and Jin dynasties</v>
      </c>
      <c r="D880" s="7" t="str">
        <f>"徐冲著"</f>
        <v>徐冲著</v>
      </c>
      <c r="E880" s="7" t="str">
        <f>"北京大学出版社"</f>
        <v>北京大学出版社</v>
      </c>
      <c r="F880" s="7" t="str">
        <f>"D691.2/76"</f>
        <v>D691.2/76</v>
      </c>
    </row>
    <row r="881" customHeight="1" spans="1:6">
      <c r="A881" s="6">
        <v>880</v>
      </c>
      <c r="B881" s="7" t="str">
        <f t="shared" ref="B881:B883" si="132">"978-7-214-20733-3"</f>
        <v>978-7-214-20733-3</v>
      </c>
      <c r="C881" s="7" t="str">
        <f t="shared" ref="C881:C883" si="133">"斯文：唐宋思想的转型：intellectual transitions in t'ang and sung China"</f>
        <v>斯文：唐宋思想的转型：intellectual transitions in t'ang and sung China</v>
      </c>
      <c r="D881" s="7" t="str">
        <f t="shared" ref="D881:D883" si="134">"(美) 包弼德著；刘宁译"</f>
        <v>(美) 包弼德著；刘宁译</v>
      </c>
      <c r="E881" s="7" t="str">
        <f t="shared" ref="E881:E885" si="135">"江苏人民出版社"</f>
        <v>江苏人民出版社</v>
      </c>
      <c r="F881" s="7" t="str">
        <f t="shared" ref="F881:F883" si="136">"D691.2/77"</f>
        <v>D691.2/77</v>
      </c>
    </row>
    <row r="882" customHeight="1" spans="1:6">
      <c r="A882" s="6">
        <v>881</v>
      </c>
      <c r="B882" s="7" t="str">
        <f t="shared" si="132"/>
        <v>978-7-214-20733-3</v>
      </c>
      <c r="C882" s="7" t="str">
        <f t="shared" si="133"/>
        <v>斯文：唐宋思想的转型：intellectual transitions in t'ang and sung China</v>
      </c>
      <c r="D882" s="7" t="str">
        <f t="shared" si="134"/>
        <v>(美) 包弼德著；刘宁译</v>
      </c>
      <c r="E882" s="7" t="str">
        <f t="shared" si="135"/>
        <v>江苏人民出版社</v>
      </c>
      <c r="F882" s="7" t="str">
        <f t="shared" si="136"/>
        <v>D691.2/77</v>
      </c>
    </row>
    <row r="883" customHeight="1" spans="1:6">
      <c r="A883" s="6">
        <v>882</v>
      </c>
      <c r="B883" s="7" t="str">
        <f t="shared" si="132"/>
        <v>978-7-214-20733-3</v>
      </c>
      <c r="C883" s="7" t="str">
        <f t="shared" si="133"/>
        <v>斯文：唐宋思想的转型：intellectual transitions in t'ang and sung China</v>
      </c>
      <c r="D883" s="7" t="str">
        <f t="shared" si="134"/>
        <v>(美) 包弼德著；刘宁译</v>
      </c>
      <c r="E883" s="7" t="str">
        <f t="shared" si="135"/>
        <v>江苏人民出版社</v>
      </c>
      <c r="F883" s="7" t="str">
        <f t="shared" si="136"/>
        <v>D691.2/77</v>
      </c>
    </row>
    <row r="884" customHeight="1" spans="1:6">
      <c r="A884" s="6">
        <v>883</v>
      </c>
      <c r="B884" s="7" t="str">
        <f>"978-7-214-25558-7"</f>
        <v>978-7-214-25558-7</v>
      </c>
      <c r="C884" s="7" t="str">
        <f>"魏晋政治社会史研究"</f>
        <v>魏晋政治社会史研究</v>
      </c>
      <c r="D884" s="7" t="str">
        <f>"(日) 福原启郎著；陆帅， 刘萃峰， 张紫毫译"</f>
        <v>(日) 福原启郎著；陆帅， 刘萃峰， 张紫毫译</v>
      </c>
      <c r="E884" s="7" t="str">
        <f t="shared" si="135"/>
        <v>江苏人民出版社</v>
      </c>
      <c r="F884" s="7" t="str">
        <f>"D691.2/78"</f>
        <v>D691.2/78</v>
      </c>
    </row>
    <row r="885" customHeight="1" spans="1:6">
      <c r="A885" s="6">
        <v>884</v>
      </c>
      <c r="B885" s="7" t="str">
        <f>"978-7-214-25558-7"</f>
        <v>978-7-214-25558-7</v>
      </c>
      <c r="C885" s="7" t="str">
        <f>"魏晋政治社会史研究"</f>
        <v>魏晋政治社会史研究</v>
      </c>
      <c r="D885" s="7" t="str">
        <f>"(日) 福原启郎著；陆帅， 刘萃峰， 张紫毫译"</f>
        <v>(日) 福原启郎著；陆帅， 刘萃峰， 张紫毫译</v>
      </c>
      <c r="E885" s="7" t="str">
        <f t="shared" si="135"/>
        <v>江苏人民出版社</v>
      </c>
      <c r="F885" s="7" t="str">
        <f>"D691.2/78"</f>
        <v>D691.2/78</v>
      </c>
    </row>
    <row r="886" customHeight="1" spans="1:6">
      <c r="A886" s="6">
        <v>885</v>
      </c>
      <c r="B886" s="8" t="s">
        <v>1973</v>
      </c>
      <c r="C886" s="8" t="s">
        <v>1974</v>
      </c>
      <c r="D886" s="8" t="s">
        <v>1975</v>
      </c>
      <c r="E886" s="8" t="s">
        <v>202</v>
      </c>
      <c r="F886" s="8" t="s">
        <v>1976</v>
      </c>
    </row>
    <row r="887" customHeight="1" spans="1:6">
      <c r="A887" s="6">
        <v>886</v>
      </c>
      <c r="B887" s="8" t="s">
        <v>1973</v>
      </c>
      <c r="C887" s="8" t="s">
        <v>1974</v>
      </c>
      <c r="D887" s="8" t="s">
        <v>1975</v>
      </c>
      <c r="E887" s="8" t="s">
        <v>202</v>
      </c>
      <c r="F887" s="8" t="s">
        <v>1976</v>
      </c>
    </row>
    <row r="888" customHeight="1" spans="1:6">
      <c r="A888" s="6">
        <v>887</v>
      </c>
      <c r="B888" s="8" t="s">
        <v>1977</v>
      </c>
      <c r="C888" s="8" t="s">
        <v>1978</v>
      </c>
      <c r="D888" s="8" t="s">
        <v>1979</v>
      </c>
      <c r="E888" s="8" t="s">
        <v>33</v>
      </c>
      <c r="F888" s="8" t="s">
        <v>1980</v>
      </c>
    </row>
    <row r="889" customHeight="1" spans="1:6">
      <c r="A889" s="6">
        <v>888</v>
      </c>
      <c r="B889" s="8" t="s">
        <v>1977</v>
      </c>
      <c r="C889" s="8" t="s">
        <v>1978</v>
      </c>
      <c r="D889" s="8" t="s">
        <v>1979</v>
      </c>
      <c r="E889" s="8" t="s">
        <v>33</v>
      </c>
      <c r="F889" s="8" t="s">
        <v>1980</v>
      </c>
    </row>
    <row r="890" customHeight="1" spans="1:6">
      <c r="A890" s="6">
        <v>889</v>
      </c>
      <c r="B890" s="8" t="s">
        <v>1981</v>
      </c>
      <c r="C890" s="8" t="s">
        <v>1982</v>
      </c>
      <c r="D890" s="8" t="s">
        <v>1983</v>
      </c>
      <c r="E890" s="8" t="s">
        <v>150</v>
      </c>
      <c r="F890" s="8" t="s">
        <v>1984</v>
      </c>
    </row>
    <row r="891" customHeight="1" spans="1:6">
      <c r="A891" s="6">
        <v>890</v>
      </c>
      <c r="B891" s="8" t="s">
        <v>1981</v>
      </c>
      <c r="C891" s="8" t="s">
        <v>1982</v>
      </c>
      <c r="D891" s="8" t="s">
        <v>1983</v>
      </c>
      <c r="E891" s="8" t="s">
        <v>150</v>
      </c>
      <c r="F891" s="8" t="s">
        <v>1984</v>
      </c>
    </row>
    <row r="892" customHeight="1" spans="1:6">
      <c r="A892" s="6">
        <v>891</v>
      </c>
      <c r="B892" s="8" t="s">
        <v>1985</v>
      </c>
      <c r="C892" s="8" t="s">
        <v>1986</v>
      </c>
      <c r="D892" s="8" t="s">
        <v>1987</v>
      </c>
      <c r="E892" s="8" t="s">
        <v>723</v>
      </c>
      <c r="F892" s="8" t="s">
        <v>1988</v>
      </c>
    </row>
    <row r="893" customHeight="1" spans="1:6">
      <c r="A893" s="6">
        <v>892</v>
      </c>
      <c r="B893" s="8" t="s">
        <v>1985</v>
      </c>
      <c r="C893" s="8" t="s">
        <v>1986</v>
      </c>
      <c r="D893" s="8" t="s">
        <v>1987</v>
      </c>
      <c r="E893" s="8" t="s">
        <v>723</v>
      </c>
      <c r="F893" s="8" t="s">
        <v>1988</v>
      </c>
    </row>
    <row r="894" customHeight="1" spans="1:6">
      <c r="A894" s="6">
        <v>893</v>
      </c>
      <c r="B894" s="7" t="str">
        <f t="shared" ref="B894:B897" si="137">"978-7-101-15053-7"</f>
        <v>978-7-101-15053-7</v>
      </c>
      <c r="C894" s="7" t="str">
        <f>"貞觀政要集校．上"</f>
        <v>貞觀政要集校．上</v>
      </c>
      <c r="D894" s="7" t="str">
        <f t="shared" ref="D894:D897" si="138">"(唐) 吳兢撰；謝保成集校"</f>
        <v>(唐) 吳兢撰；謝保成集校</v>
      </c>
      <c r="E894" s="7" t="str">
        <f t="shared" ref="E894:E897" si="139">"中華書局"</f>
        <v>中華書局</v>
      </c>
      <c r="F894" s="7" t="str">
        <f>"D691.5/38/1=D"</f>
        <v>D691.5/38/1=D</v>
      </c>
    </row>
    <row r="895" customHeight="1" spans="1:6">
      <c r="A895" s="6">
        <v>894</v>
      </c>
      <c r="B895" s="7" t="str">
        <f t="shared" si="137"/>
        <v>978-7-101-15053-7</v>
      </c>
      <c r="C895" s="7" t="str">
        <f>"貞觀政要集校．上"</f>
        <v>貞觀政要集校．上</v>
      </c>
      <c r="D895" s="7" t="str">
        <f t="shared" si="138"/>
        <v>(唐) 吳兢撰；謝保成集校</v>
      </c>
      <c r="E895" s="7" t="str">
        <f t="shared" si="139"/>
        <v>中華書局</v>
      </c>
      <c r="F895" s="7" t="str">
        <f>"D691.5/38/1=D"</f>
        <v>D691.5/38/1=D</v>
      </c>
    </row>
    <row r="896" customHeight="1" spans="1:6">
      <c r="A896" s="6">
        <v>895</v>
      </c>
      <c r="B896" s="7" t="str">
        <f t="shared" si="137"/>
        <v>978-7-101-15053-7</v>
      </c>
      <c r="C896" s="7" t="str">
        <f>"貞觀政要集校．下"</f>
        <v>貞觀政要集校．下</v>
      </c>
      <c r="D896" s="7" t="str">
        <f t="shared" si="138"/>
        <v>(唐) 吳兢撰；謝保成集校</v>
      </c>
      <c r="E896" s="7" t="str">
        <f t="shared" si="139"/>
        <v>中華書局</v>
      </c>
      <c r="F896" s="7" t="str">
        <f>"D691.5/38/2=D"</f>
        <v>D691.5/38/2=D</v>
      </c>
    </row>
    <row r="897" customHeight="1" spans="1:6">
      <c r="A897" s="6">
        <v>896</v>
      </c>
      <c r="B897" s="7" t="str">
        <f t="shared" si="137"/>
        <v>978-7-101-15053-7</v>
      </c>
      <c r="C897" s="7" t="str">
        <f>"貞觀政要集校．下"</f>
        <v>貞觀政要集校．下</v>
      </c>
      <c r="D897" s="7" t="str">
        <f t="shared" si="138"/>
        <v>(唐) 吳兢撰；謝保成集校</v>
      </c>
      <c r="E897" s="7" t="str">
        <f t="shared" si="139"/>
        <v>中華書局</v>
      </c>
      <c r="F897" s="7" t="str">
        <f>"D691.5/38/2=D"</f>
        <v>D691.5/38/2=D</v>
      </c>
    </row>
    <row r="898" customHeight="1" spans="1:6">
      <c r="A898" s="6">
        <v>897</v>
      </c>
      <c r="B898" s="7" t="str">
        <f>"978-7-303-26283-0"</f>
        <v>978-7-303-26283-0</v>
      </c>
      <c r="C898" s="7" t="str">
        <f>"明代秀才的生活世界"</f>
        <v>明代秀才的生活世界</v>
      </c>
      <c r="D898" s="7" t="str">
        <f>"陈宝良著"</f>
        <v>陈宝良著</v>
      </c>
      <c r="E898" s="7" t="str">
        <f>"北京师范大学出版社"</f>
        <v>北京师范大学出版社</v>
      </c>
      <c r="F898" s="7" t="str">
        <f>"D691.71/40"</f>
        <v>D691.71/40</v>
      </c>
    </row>
    <row r="899" customHeight="1" spans="1:6">
      <c r="A899" s="6">
        <v>898</v>
      </c>
      <c r="B899" s="7" t="str">
        <f>"978-7-303-26283-0"</f>
        <v>978-7-303-26283-0</v>
      </c>
      <c r="C899" s="7" t="str">
        <f>"明代秀才的生活世界"</f>
        <v>明代秀才的生活世界</v>
      </c>
      <c r="D899" s="7" t="str">
        <f>"陈宝良著"</f>
        <v>陈宝良著</v>
      </c>
      <c r="E899" s="7" t="str">
        <f>"北京师范大学出版社"</f>
        <v>北京师范大学出版社</v>
      </c>
      <c r="F899" s="7" t="str">
        <f>"D691.71/40"</f>
        <v>D691.71/40</v>
      </c>
    </row>
    <row r="900" customHeight="1" spans="1:6">
      <c r="A900" s="6">
        <v>899</v>
      </c>
      <c r="B900" s="7" t="str">
        <f>"978-7-5732-0002-0"</f>
        <v>978-7-5732-0002-0</v>
      </c>
      <c r="C900" s="7" t="str">
        <f>"北宋三大文人集团"</f>
        <v>北宋三大文人集团</v>
      </c>
      <c r="D900" s="7" t="str">
        <f>"王水照著"</f>
        <v>王水照著</v>
      </c>
      <c r="E900" s="7" t="str">
        <f>"上海古籍出版社"</f>
        <v>上海古籍出版社</v>
      </c>
      <c r="F900" s="7" t="str">
        <f>"D691.71/41"</f>
        <v>D691.71/41</v>
      </c>
    </row>
    <row r="901" customHeight="1" spans="1:6">
      <c r="A901" s="6">
        <v>900</v>
      </c>
      <c r="B901" s="8" t="s">
        <v>1989</v>
      </c>
      <c r="C901" s="8" t="s">
        <v>1990</v>
      </c>
      <c r="D901" s="8" t="s">
        <v>1991</v>
      </c>
      <c r="E901" s="8" t="s">
        <v>23</v>
      </c>
      <c r="F901" s="8" t="s">
        <v>1992</v>
      </c>
    </row>
    <row r="902" customHeight="1" spans="1:6">
      <c r="A902" s="6">
        <v>901</v>
      </c>
      <c r="B902" s="8" t="s">
        <v>1989</v>
      </c>
      <c r="C902" s="8" t="s">
        <v>1990</v>
      </c>
      <c r="D902" s="8" t="s">
        <v>1991</v>
      </c>
      <c r="E902" s="8" t="s">
        <v>23</v>
      </c>
      <c r="F902" s="8" t="s">
        <v>1992</v>
      </c>
    </row>
    <row r="903" customHeight="1" spans="1:6">
      <c r="A903" s="6">
        <v>902</v>
      </c>
      <c r="B903" s="8" t="s">
        <v>1993</v>
      </c>
      <c r="C903" s="8" t="s">
        <v>1994</v>
      </c>
      <c r="D903" s="8" t="s">
        <v>1995</v>
      </c>
      <c r="E903" s="8" t="s">
        <v>3</v>
      </c>
      <c r="F903" s="8" t="s">
        <v>1996</v>
      </c>
    </row>
    <row r="904" customHeight="1" spans="1:6">
      <c r="A904" s="6">
        <v>903</v>
      </c>
      <c r="B904" s="8" t="s">
        <v>1993</v>
      </c>
      <c r="C904" s="8" t="s">
        <v>1994</v>
      </c>
      <c r="D904" s="8" t="s">
        <v>1995</v>
      </c>
      <c r="E904" s="8" t="s">
        <v>3</v>
      </c>
      <c r="F904" s="8" t="s">
        <v>1996</v>
      </c>
    </row>
    <row r="905" customHeight="1" spans="1:6">
      <c r="A905" s="6">
        <v>904</v>
      </c>
      <c r="B905" s="7" t="str">
        <f t="shared" ref="B905:B907" si="140">"978-7-214-23711-8"</f>
        <v>978-7-214-23711-8</v>
      </c>
      <c r="C905" s="7" t="str">
        <f t="shared" ref="C905:C907" si="141">"行善的艺术：晚明中国的慈善事业：charity in late Ming China：新译本"</f>
        <v>行善的艺术：晚明中国的慈善事业：charity in late Ming China：新译本</v>
      </c>
      <c r="D905" s="7" t="str">
        <f t="shared" ref="D905:D907" si="142">"(美) 韩德玲著；曹晔译"</f>
        <v>(美) 韩德玲著；曹晔译</v>
      </c>
      <c r="E905" s="7" t="str">
        <f t="shared" ref="E905:E913" si="143">"江苏人民出版社"</f>
        <v>江苏人民出版社</v>
      </c>
      <c r="F905" s="7" t="str">
        <f t="shared" ref="F905:F907" si="144">"D691.9/43"</f>
        <v>D691.9/43</v>
      </c>
    </row>
    <row r="906" customHeight="1" spans="1:6">
      <c r="A906" s="6">
        <v>905</v>
      </c>
      <c r="B906" s="7" t="str">
        <f t="shared" si="140"/>
        <v>978-7-214-23711-8</v>
      </c>
      <c r="C906" s="7" t="str">
        <f t="shared" si="141"/>
        <v>行善的艺术：晚明中国的慈善事业：charity in late Ming China：新译本</v>
      </c>
      <c r="D906" s="7" t="str">
        <f t="shared" si="142"/>
        <v>(美) 韩德玲著；曹晔译</v>
      </c>
      <c r="E906" s="7" t="str">
        <f t="shared" si="143"/>
        <v>江苏人民出版社</v>
      </c>
      <c r="F906" s="7" t="str">
        <f t="shared" si="144"/>
        <v>D691.9/43</v>
      </c>
    </row>
    <row r="907" customHeight="1" spans="1:6">
      <c r="A907" s="6">
        <v>906</v>
      </c>
      <c r="B907" s="7" t="str">
        <f t="shared" si="140"/>
        <v>978-7-214-23711-8</v>
      </c>
      <c r="C907" s="7" t="str">
        <f t="shared" si="141"/>
        <v>行善的艺术：晚明中国的慈善事业：charity in late Ming China：新译本</v>
      </c>
      <c r="D907" s="7" t="str">
        <f t="shared" si="142"/>
        <v>(美) 韩德玲著；曹晔译</v>
      </c>
      <c r="E907" s="7" t="str">
        <f t="shared" si="143"/>
        <v>江苏人民出版社</v>
      </c>
      <c r="F907" s="7" t="str">
        <f t="shared" si="144"/>
        <v>D691.9/43</v>
      </c>
    </row>
    <row r="908" customHeight="1" spans="1:6">
      <c r="A908" s="6">
        <v>907</v>
      </c>
      <c r="B908" s="7" t="str">
        <f t="shared" ref="B908:B910" si="145">"978-7-214-15343-2"</f>
        <v>978-7-214-15343-2</v>
      </c>
      <c r="C908" s="7" t="str">
        <f t="shared" ref="C908:C910" si="146">"行善的艺术：晚明中国的慈善事业：charity in late ming China"</f>
        <v>行善的艺术：晚明中国的慈善事业：charity in late ming China</v>
      </c>
      <c r="D908" s="7" t="str">
        <f t="shared" ref="D908:D910" si="147">"(美) 韩德林著；吴士勇， 王桐， 史桢豪译"</f>
        <v>(美) 韩德林著；吴士勇， 王桐， 史桢豪译</v>
      </c>
      <c r="E908" s="7" t="str">
        <f t="shared" si="143"/>
        <v>江苏人民出版社</v>
      </c>
      <c r="F908" s="7" t="str">
        <f t="shared" ref="F908:F910" si="148">"D691.9/43.2"</f>
        <v>D691.9/43.2</v>
      </c>
    </row>
    <row r="909" customHeight="1" spans="1:6">
      <c r="A909" s="6">
        <v>908</v>
      </c>
      <c r="B909" s="7" t="str">
        <f t="shared" si="145"/>
        <v>978-7-214-15343-2</v>
      </c>
      <c r="C909" s="7" t="str">
        <f t="shared" si="146"/>
        <v>行善的艺术：晚明中国的慈善事业：charity in late ming China</v>
      </c>
      <c r="D909" s="7" t="str">
        <f t="shared" si="147"/>
        <v>(美) 韩德林著；吴士勇， 王桐， 史桢豪译</v>
      </c>
      <c r="E909" s="7" t="str">
        <f t="shared" si="143"/>
        <v>江苏人民出版社</v>
      </c>
      <c r="F909" s="7" t="str">
        <f t="shared" si="148"/>
        <v>D691.9/43.2</v>
      </c>
    </row>
    <row r="910" customHeight="1" spans="1:6">
      <c r="A910" s="6">
        <v>909</v>
      </c>
      <c r="B910" s="7" t="str">
        <f t="shared" si="145"/>
        <v>978-7-214-15343-2</v>
      </c>
      <c r="C910" s="7" t="str">
        <f t="shared" si="146"/>
        <v>行善的艺术：晚明中国的慈善事业：charity in late ming China</v>
      </c>
      <c r="D910" s="7" t="str">
        <f t="shared" si="147"/>
        <v>(美) 韩德林著；吴士勇， 王桐， 史桢豪译</v>
      </c>
      <c r="E910" s="7" t="str">
        <f t="shared" si="143"/>
        <v>江苏人民出版社</v>
      </c>
      <c r="F910" s="7" t="str">
        <f t="shared" si="148"/>
        <v>D691.9/43.2</v>
      </c>
    </row>
    <row r="911" customHeight="1" spans="1:6">
      <c r="A911" s="6">
        <v>910</v>
      </c>
      <c r="B911" s="7" t="str">
        <f t="shared" ref="B911:B913" si="149">"978-7-214-22240-4"</f>
        <v>978-7-214-22240-4</v>
      </c>
      <c r="C911" s="7" t="str">
        <f t="shared" ref="C911:C913" si="150">"汉帝国的日常生活：公元前202年至公元220年：during the han period 2002B. C.-A.D.220"</f>
        <v>汉帝国的日常生活：公元前202年至公元220年：during the han period 2002B. C.-A.D.220</v>
      </c>
      <c r="D911" s="7" t="str">
        <f t="shared" ref="D911:D913" si="151">"(英) 鲁惟一著；刘洁， 余霄等译"</f>
        <v>(英) 鲁惟一著；刘洁， 余霄等译</v>
      </c>
      <c r="E911" s="7" t="str">
        <f t="shared" si="143"/>
        <v>江苏人民出版社</v>
      </c>
      <c r="F911" s="7" t="str">
        <f t="shared" ref="F911:F913" si="152">"D691.9/44"</f>
        <v>D691.9/44</v>
      </c>
    </row>
    <row r="912" customHeight="1" spans="1:6">
      <c r="A912" s="6">
        <v>911</v>
      </c>
      <c r="B912" s="7" t="str">
        <f t="shared" si="149"/>
        <v>978-7-214-22240-4</v>
      </c>
      <c r="C912" s="7" t="str">
        <f t="shared" si="150"/>
        <v>汉帝国的日常生活：公元前202年至公元220年：during the han period 2002B. C.-A.D.220</v>
      </c>
      <c r="D912" s="7" t="str">
        <f t="shared" si="151"/>
        <v>(英) 鲁惟一著；刘洁， 余霄等译</v>
      </c>
      <c r="E912" s="7" t="str">
        <f t="shared" si="143"/>
        <v>江苏人民出版社</v>
      </c>
      <c r="F912" s="7" t="str">
        <f t="shared" si="152"/>
        <v>D691.9/44</v>
      </c>
    </row>
    <row r="913" customHeight="1" spans="1:6">
      <c r="A913" s="6">
        <v>912</v>
      </c>
      <c r="B913" s="7" t="str">
        <f t="shared" si="149"/>
        <v>978-7-214-22240-4</v>
      </c>
      <c r="C913" s="7" t="str">
        <f t="shared" si="150"/>
        <v>汉帝国的日常生活：公元前202年至公元220年：during the han period 2002B. C.-A.D.220</v>
      </c>
      <c r="D913" s="7" t="str">
        <f t="shared" si="151"/>
        <v>(英) 鲁惟一著；刘洁， 余霄等译</v>
      </c>
      <c r="E913" s="7" t="str">
        <f t="shared" si="143"/>
        <v>江苏人民出版社</v>
      </c>
      <c r="F913" s="7" t="str">
        <f t="shared" si="152"/>
        <v>D691.9/44</v>
      </c>
    </row>
    <row r="914" customHeight="1" spans="1:6">
      <c r="A914" s="6">
        <v>913</v>
      </c>
      <c r="B914" s="8" t="s">
        <v>1997</v>
      </c>
      <c r="C914" s="8" t="s">
        <v>1998</v>
      </c>
      <c r="D914" s="8" t="s">
        <v>1999</v>
      </c>
      <c r="E914" s="8" t="s">
        <v>2000</v>
      </c>
      <c r="F914" s="8" t="s">
        <v>2001</v>
      </c>
    </row>
    <row r="915" customHeight="1" spans="1:6">
      <c r="A915" s="6">
        <v>914</v>
      </c>
      <c r="B915" s="8" t="s">
        <v>1997</v>
      </c>
      <c r="C915" s="8" t="s">
        <v>1998</v>
      </c>
      <c r="D915" s="8" t="s">
        <v>1999</v>
      </c>
      <c r="E915" s="8" t="s">
        <v>2000</v>
      </c>
      <c r="F915" s="8" t="s">
        <v>2001</v>
      </c>
    </row>
    <row r="916" customHeight="1" spans="1:6">
      <c r="A916" s="6">
        <v>915</v>
      </c>
      <c r="B916" s="8" t="s">
        <v>2002</v>
      </c>
      <c r="C916" s="8" t="s">
        <v>2003</v>
      </c>
      <c r="D916" s="8" t="s">
        <v>2004</v>
      </c>
      <c r="E916" s="8" t="s">
        <v>1688</v>
      </c>
      <c r="F916" s="8" t="s">
        <v>2005</v>
      </c>
    </row>
    <row r="917" customHeight="1" spans="1:6">
      <c r="A917" s="6">
        <v>916</v>
      </c>
      <c r="B917" s="8" t="s">
        <v>2002</v>
      </c>
      <c r="C917" s="8" t="s">
        <v>2003</v>
      </c>
      <c r="D917" s="8" t="s">
        <v>2004</v>
      </c>
      <c r="E917" s="8" t="s">
        <v>1688</v>
      </c>
      <c r="F917" s="8" t="s">
        <v>2005</v>
      </c>
    </row>
    <row r="918" customHeight="1" spans="1:6">
      <c r="A918" s="6">
        <v>917</v>
      </c>
      <c r="B918" s="8" t="s">
        <v>2006</v>
      </c>
      <c r="C918" s="8" t="s">
        <v>2007</v>
      </c>
      <c r="D918" s="8" t="s">
        <v>2004</v>
      </c>
      <c r="E918" s="8" t="s">
        <v>1688</v>
      </c>
      <c r="F918" s="8" t="s">
        <v>2008</v>
      </c>
    </row>
    <row r="919" customHeight="1" spans="1:6">
      <c r="A919" s="6">
        <v>918</v>
      </c>
      <c r="B919" s="8" t="s">
        <v>2006</v>
      </c>
      <c r="C919" s="8" t="s">
        <v>2007</v>
      </c>
      <c r="D919" s="8" t="s">
        <v>2004</v>
      </c>
      <c r="E919" s="8" t="s">
        <v>1688</v>
      </c>
      <c r="F919" s="8" t="s">
        <v>2008</v>
      </c>
    </row>
    <row r="920" customHeight="1" spans="1:6">
      <c r="A920" s="6">
        <v>919</v>
      </c>
      <c r="B920" s="8" t="s">
        <v>2009</v>
      </c>
      <c r="C920" s="8" t="s">
        <v>2010</v>
      </c>
      <c r="D920" s="8" t="s">
        <v>2011</v>
      </c>
      <c r="E920" s="8" t="s">
        <v>33</v>
      </c>
      <c r="F920" s="8" t="s">
        <v>2012</v>
      </c>
    </row>
    <row r="921" customHeight="1" spans="1:6">
      <c r="A921" s="6">
        <v>920</v>
      </c>
      <c r="B921" s="8" t="s">
        <v>2009</v>
      </c>
      <c r="C921" s="8" t="s">
        <v>2010</v>
      </c>
      <c r="D921" s="8" t="s">
        <v>2011</v>
      </c>
      <c r="E921" s="8" t="s">
        <v>33</v>
      </c>
      <c r="F921" s="8" t="s">
        <v>2012</v>
      </c>
    </row>
    <row r="922" customHeight="1" spans="1:6">
      <c r="A922" s="6">
        <v>921</v>
      </c>
      <c r="B922" s="7" t="str">
        <f>"978-7-5732-0006-8"</f>
        <v>978-7-5732-0006-8</v>
      </c>
      <c r="C922" s="7" t="str">
        <f>"离形去智 无累乎物：遗言中的隋唐女性世界"</f>
        <v>离形去智 无累乎物：遗言中的隋唐女性世界</v>
      </c>
      <c r="D922" s="7" t="str">
        <f>"么振华， 吕璐瑶著"</f>
        <v>么振华， 吕璐瑶著</v>
      </c>
      <c r="E922" s="7" t="str">
        <f>"上海古籍出版社"</f>
        <v>上海古籍出版社</v>
      </c>
      <c r="F922" s="7" t="str">
        <f>"D691.968/17"</f>
        <v>D691.968/17</v>
      </c>
    </row>
    <row r="923" customHeight="1" spans="1:6">
      <c r="A923" s="6">
        <v>922</v>
      </c>
      <c r="B923" s="7" t="str">
        <f>"978-7-5732-0006-8"</f>
        <v>978-7-5732-0006-8</v>
      </c>
      <c r="C923" s="7" t="str">
        <f>"离形去智 无累乎物：遗言中的隋唐女性世界"</f>
        <v>离形去智 无累乎物：遗言中的隋唐女性世界</v>
      </c>
      <c r="D923" s="7" t="str">
        <f>"么振华， 吕璐瑶著"</f>
        <v>么振华， 吕璐瑶著</v>
      </c>
      <c r="E923" s="7" t="str">
        <f>"上海古籍出版社"</f>
        <v>上海古籍出版社</v>
      </c>
      <c r="F923" s="7" t="str">
        <f>"D691.968/17"</f>
        <v>D691.968/17</v>
      </c>
    </row>
    <row r="924" customHeight="1" spans="1:6">
      <c r="A924" s="6">
        <v>923</v>
      </c>
      <c r="B924" s="7" t="str">
        <f t="shared" ref="B924:B926" si="153">"978-7-214-15811-6"</f>
        <v>978-7-214-15811-6</v>
      </c>
      <c r="C924" s="7" t="str">
        <f t="shared" ref="C924:C926" si="154">"权力关系：宋代中国的家族、地位与国家"</f>
        <v>权力关系：宋代中国的家族、地位与国家</v>
      </c>
      <c r="D924" s="7" t="str">
        <f t="shared" ref="D924:D926" si="155">"(美) 柏文莉著；刘云军译"</f>
        <v>(美) 柏文莉著；刘云军译</v>
      </c>
      <c r="E924" s="7" t="str">
        <f t="shared" ref="E924:E926" si="156">"江苏人民出版社"</f>
        <v>江苏人民出版社</v>
      </c>
      <c r="F924" s="7" t="str">
        <f t="shared" ref="F924:F926" si="157">"D691/173"</f>
        <v>D691/173</v>
      </c>
    </row>
    <row r="925" customHeight="1" spans="1:6">
      <c r="A925" s="6">
        <v>924</v>
      </c>
      <c r="B925" s="7" t="str">
        <f t="shared" si="153"/>
        <v>978-7-214-15811-6</v>
      </c>
      <c r="C925" s="7" t="str">
        <f t="shared" si="154"/>
        <v>权力关系：宋代中国的家族、地位与国家</v>
      </c>
      <c r="D925" s="7" t="str">
        <f t="shared" si="155"/>
        <v>(美) 柏文莉著；刘云军译</v>
      </c>
      <c r="E925" s="7" t="str">
        <f t="shared" si="156"/>
        <v>江苏人民出版社</v>
      </c>
      <c r="F925" s="7" t="str">
        <f t="shared" si="157"/>
        <v>D691/173</v>
      </c>
    </row>
    <row r="926" customHeight="1" spans="1:6">
      <c r="A926" s="6">
        <v>925</v>
      </c>
      <c r="B926" s="7" t="str">
        <f t="shared" si="153"/>
        <v>978-7-214-15811-6</v>
      </c>
      <c r="C926" s="7" t="str">
        <f t="shared" si="154"/>
        <v>权力关系：宋代中国的家族、地位与国家</v>
      </c>
      <c r="D926" s="7" t="str">
        <f t="shared" si="155"/>
        <v>(美) 柏文莉著；刘云军译</v>
      </c>
      <c r="E926" s="7" t="str">
        <f t="shared" si="156"/>
        <v>江苏人民出版社</v>
      </c>
      <c r="F926" s="7" t="str">
        <f t="shared" si="157"/>
        <v>D691/173</v>
      </c>
    </row>
    <row r="927" customHeight="1" spans="1:6">
      <c r="A927" s="6">
        <v>926</v>
      </c>
      <c r="B927" s="8" t="s">
        <v>2013</v>
      </c>
      <c r="C927" s="8" t="s">
        <v>2014</v>
      </c>
      <c r="D927" s="8" t="s">
        <v>2015</v>
      </c>
      <c r="E927" s="8" t="s">
        <v>33</v>
      </c>
      <c r="F927" s="8" t="s">
        <v>2016</v>
      </c>
    </row>
    <row r="928" customHeight="1" spans="1:6">
      <c r="A928" s="6">
        <v>927</v>
      </c>
      <c r="B928" s="8" t="s">
        <v>2013</v>
      </c>
      <c r="C928" s="8" t="s">
        <v>2014</v>
      </c>
      <c r="D928" s="8" t="s">
        <v>2015</v>
      </c>
      <c r="E928" s="8" t="s">
        <v>33</v>
      </c>
      <c r="F928" s="8" t="s">
        <v>2016</v>
      </c>
    </row>
    <row r="929" customHeight="1" spans="1:6">
      <c r="A929" s="6">
        <v>928</v>
      </c>
      <c r="B929" s="8" t="s">
        <v>2017</v>
      </c>
      <c r="C929" s="8" t="s">
        <v>2018</v>
      </c>
      <c r="D929" s="8" t="s">
        <v>2019</v>
      </c>
      <c r="E929" s="8" t="s">
        <v>13</v>
      </c>
      <c r="F929" s="8" t="s">
        <v>2020</v>
      </c>
    </row>
    <row r="930" customHeight="1" spans="1:6">
      <c r="A930" s="6">
        <v>929</v>
      </c>
      <c r="B930" s="8" t="s">
        <v>2017</v>
      </c>
      <c r="C930" s="8" t="s">
        <v>2018</v>
      </c>
      <c r="D930" s="8" t="s">
        <v>2019</v>
      </c>
      <c r="E930" s="8" t="s">
        <v>13</v>
      </c>
      <c r="F930" s="8" t="s">
        <v>2020</v>
      </c>
    </row>
    <row r="931" customHeight="1" spans="1:6">
      <c r="A931" s="6">
        <v>930</v>
      </c>
      <c r="B931" s="7" t="str">
        <f>"978-7-309-15333-0"</f>
        <v>978-7-309-15333-0</v>
      </c>
      <c r="C931" s="7" t="str">
        <f>"乱世与末世的自我救赎：中国近代的知识分子"</f>
        <v>乱世与末世的自我救赎：中国近代的知识分子</v>
      </c>
      <c r="D931" s="7" t="str">
        <f>"周树山著"</f>
        <v>周树山著</v>
      </c>
      <c r="E931" s="7" t="str">
        <f>"复旦大学出版社"</f>
        <v>复旦大学出版社</v>
      </c>
      <c r="F931" s="7" t="str">
        <f>"D693.71/14"</f>
        <v>D693.71/14</v>
      </c>
    </row>
    <row r="932" customHeight="1" spans="1:6">
      <c r="A932" s="6">
        <v>931</v>
      </c>
      <c r="B932" s="7" t="str">
        <f>"978-7-309-15333-0"</f>
        <v>978-7-309-15333-0</v>
      </c>
      <c r="C932" s="7" t="str">
        <f>"乱世与末世的自我救赎：中国近代的知识分子"</f>
        <v>乱世与末世的自我救赎：中国近代的知识分子</v>
      </c>
      <c r="D932" s="7" t="str">
        <f>"周树山著"</f>
        <v>周树山著</v>
      </c>
      <c r="E932" s="7" t="str">
        <f>"复旦大学出版社"</f>
        <v>复旦大学出版社</v>
      </c>
      <c r="F932" s="7" t="str">
        <f>"D693.71/14"</f>
        <v>D693.71/14</v>
      </c>
    </row>
    <row r="933" customHeight="1" spans="1:6">
      <c r="A933" s="6">
        <v>932</v>
      </c>
      <c r="B933" s="8" t="s">
        <v>2021</v>
      </c>
      <c r="C933" s="8" t="s">
        <v>2022</v>
      </c>
      <c r="D933" s="8" t="s">
        <v>2023</v>
      </c>
      <c r="E933" s="8" t="s">
        <v>890</v>
      </c>
      <c r="F933" s="8" t="s">
        <v>2024</v>
      </c>
    </row>
    <row r="934" customHeight="1" spans="1:6">
      <c r="A934" s="6">
        <v>933</v>
      </c>
      <c r="B934" s="8" t="s">
        <v>2021</v>
      </c>
      <c r="C934" s="8" t="s">
        <v>2022</v>
      </c>
      <c r="D934" s="8" t="s">
        <v>2023</v>
      </c>
      <c r="E934" s="8" t="s">
        <v>890</v>
      </c>
      <c r="F934" s="8" t="s">
        <v>2024</v>
      </c>
    </row>
    <row r="935" customHeight="1" spans="1:6">
      <c r="A935" s="6">
        <v>934</v>
      </c>
      <c r="B935" s="8" t="s">
        <v>2025</v>
      </c>
      <c r="C935" s="8" t="s">
        <v>2026</v>
      </c>
      <c r="D935" s="8" t="s">
        <v>2027</v>
      </c>
      <c r="E935" s="8" t="s">
        <v>1329</v>
      </c>
      <c r="F935" s="8" t="s">
        <v>2028</v>
      </c>
    </row>
    <row r="936" customHeight="1" spans="1:6">
      <c r="A936" s="6">
        <v>935</v>
      </c>
      <c r="B936" s="8" t="s">
        <v>2025</v>
      </c>
      <c r="C936" s="8" t="s">
        <v>2026</v>
      </c>
      <c r="D936" s="8" t="s">
        <v>2027</v>
      </c>
      <c r="E936" s="8" t="s">
        <v>1329</v>
      </c>
      <c r="F936" s="8" t="s">
        <v>2028</v>
      </c>
    </row>
    <row r="937" customHeight="1" spans="1:6">
      <c r="A937" s="6">
        <v>936</v>
      </c>
      <c r="B937" s="8" t="s">
        <v>2029</v>
      </c>
      <c r="C937" s="8" t="s">
        <v>2030</v>
      </c>
      <c r="D937" s="8" t="s">
        <v>2031</v>
      </c>
      <c r="E937" s="8" t="s">
        <v>283</v>
      </c>
      <c r="F937" s="8" t="s">
        <v>2032</v>
      </c>
    </row>
    <row r="938" customHeight="1" spans="1:6">
      <c r="A938" s="6">
        <v>937</v>
      </c>
      <c r="B938" s="8" t="s">
        <v>2029</v>
      </c>
      <c r="C938" s="8" t="s">
        <v>2030</v>
      </c>
      <c r="D938" s="8" t="s">
        <v>2031</v>
      </c>
      <c r="E938" s="8" t="s">
        <v>283</v>
      </c>
      <c r="F938" s="8" t="s">
        <v>2032</v>
      </c>
    </row>
    <row r="939" customHeight="1" spans="1:6">
      <c r="A939" s="6">
        <v>938</v>
      </c>
      <c r="B939" s="8" t="s">
        <v>2033</v>
      </c>
      <c r="C939" s="8" t="s">
        <v>2034</v>
      </c>
      <c r="D939" s="8" t="s">
        <v>2035</v>
      </c>
      <c r="E939" s="8" t="s">
        <v>1329</v>
      </c>
      <c r="F939" s="8" t="s">
        <v>2036</v>
      </c>
    </row>
    <row r="940" customHeight="1" spans="1:6">
      <c r="A940" s="6">
        <v>939</v>
      </c>
      <c r="B940" s="8" t="s">
        <v>2033</v>
      </c>
      <c r="C940" s="8" t="s">
        <v>2034</v>
      </c>
      <c r="D940" s="8" t="s">
        <v>2035</v>
      </c>
      <c r="E940" s="8" t="s">
        <v>1329</v>
      </c>
      <c r="F940" s="8" t="s">
        <v>2036</v>
      </c>
    </row>
    <row r="941" customHeight="1" spans="1:6">
      <c r="A941" s="6">
        <v>940</v>
      </c>
      <c r="B941" s="7" t="str">
        <f>"978-7-5195-0413-7"</f>
        <v>978-7-5195-0413-7</v>
      </c>
      <c r="C941" s="7" t="str">
        <f>"失序与迷茫：大变局下欧洲的未来：the future of Europe under great changes"</f>
        <v>失序与迷茫：大变局下欧洲的未来：the future of Europe under great changes</v>
      </c>
      <c r="D941" s="7" t="str">
        <f>"张健著"</f>
        <v>张健著</v>
      </c>
      <c r="E941" s="7" t="str">
        <f>"时事出版社"</f>
        <v>时事出版社</v>
      </c>
      <c r="F941" s="7" t="str">
        <f>"D750.0/9"</f>
        <v>D750.0/9</v>
      </c>
    </row>
    <row r="942" customHeight="1" spans="1:6">
      <c r="A942" s="6">
        <v>941</v>
      </c>
      <c r="B942" s="7" t="str">
        <f>"978-7-5195-0413-7"</f>
        <v>978-7-5195-0413-7</v>
      </c>
      <c r="C942" s="7" t="str">
        <f>"失序与迷茫：大变局下欧洲的未来：the future of Europe under great changes"</f>
        <v>失序与迷茫：大变局下欧洲的未来：the future of Europe under great changes</v>
      </c>
      <c r="D942" s="7" t="str">
        <f>"张健著"</f>
        <v>张健著</v>
      </c>
      <c r="E942" s="7" t="str">
        <f>"时事出版社"</f>
        <v>时事出版社</v>
      </c>
      <c r="F942" s="7" t="str">
        <f>"D750.0/9"</f>
        <v>D750.0/9</v>
      </c>
    </row>
    <row r="943" customHeight="1" spans="1:6">
      <c r="A943" s="6">
        <v>942</v>
      </c>
      <c r="B943" s="8" t="s">
        <v>2037</v>
      </c>
      <c r="C943" s="8" t="s">
        <v>2038</v>
      </c>
      <c r="D943" s="8" t="s">
        <v>2039</v>
      </c>
      <c r="E943" s="8" t="s">
        <v>2040</v>
      </c>
      <c r="F943" s="8" t="s">
        <v>2041</v>
      </c>
    </row>
    <row r="944" customHeight="1" spans="1:6">
      <c r="A944" s="6">
        <v>943</v>
      </c>
      <c r="B944" s="8" t="s">
        <v>2037</v>
      </c>
      <c r="C944" s="8" t="s">
        <v>2038</v>
      </c>
      <c r="D944" s="8" t="s">
        <v>2039</v>
      </c>
      <c r="E944" s="8" t="s">
        <v>2040</v>
      </c>
      <c r="F944" s="8" t="s">
        <v>2041</v>
      </c>
    </row>
    <row r="945" customHeight="1" spans="1:6">
      <c r="A945" s="6">
        <v>944</v>
      </c>
      <c r="B945" s="8" t="s">
        <v>2042</v>
      </c>
      <c r="C945" s="8" t="s">
        <v>2043</v>
      </c>
      <c r="D945" s="8" t="s">
        <v>2044</v>
      </c>
      <c r="E945" s="8" t="s">
        <v>1329</v>
      </c>
      <c r="F945" s="8" t="s">
        <v>2045</v>
      </c>
    </row>
    <row r="946" customHeight="1" spans="1:6">
      <c r="A946" s="6">
        <v>945</v>
      </c>
      <c r="B946" s="8" t="s">
        <v>2042</v>
      </c>
      <c r="C946" s="8" t="s">
        <v>2043</v>
      </c>
      <c r="D946" s="8" t="s">
        <v>2044</v>
      </c>
      <c r="E946" s="8" t="s">
        <v>1329</v>
      </c>
      <c r="F946" s="8" t="s">
        <v>2045</v>
      </c>
    </row>
    <row r="947" customHeight="1" spans="1:6">
      <c r="A947" s="6">
        <v>946</v>
      </c>
      <c r="B947" s="8" t="s">
        <v>2046</v>
      </c>
      <c r="C947" s="8" t="s">
        <v>2047</v>
      </c>
      <c r="D947" s="8" t="s">
        <v>2048</v>
      </c>
      <c r="E947" s="8" t="s">
        <v>189</v>
      </c>
      <c r="F947" s="8" t="s">
        <v>2049</v>
      </c>
    </row>
    <row r="948" customHeight="1" spans="1:6">
      <c r="A948" s="6">
        <v>947</v>
      </c>
      <c r="B948" s="8" t="s">
        <v>2046</v>
      </c>
      <c r="C948" s="8" t="s">
        <v>2047</v>
      </c>
      <c r="D948" s="8" t="s">
        <v>2048</v>
      </c>
      <c r="E948" s="8" t="s">
        <v>189</v>
      </c>
      <c r="F948" s="8" t="s">
        <v>2049</v>
      </c>
    </row>
    <row r="949" customHeight="1" spans="1:6">
      <c r="A949" s="6">
        <v>948</v>
      </c>
      <c r="B949" s="8" t="s">
        <v>2050</v>
      </c>
      <c r="C949" s="8" t="s">
        <v>2051</v>
      </c>
      <c r="D949" s="8" t="s">
        <v>2052</v>
      </c>
      <c r="E949" s="8" t="s">
        <v>1315</v>
      </c>
      <c r="F949" s="8" t="s">
        <v>2053</v>
      </c>
    </row>
    <row r="950" customHeight="1" spans="1:6">
      <c r="A950" s="6">
        <v>949</v>
      </c>
      <c r="B950" s="8" t="s">
        <v>2054</v>
      </c>
      <c r="C950" s="8" t="s">
        <v>2055</v>
      </c>
      <c r="D950" s="8" t="s">
        <v>2056</v>
      </c>
      <c r="E950" s="8" t="s">
        <v>2057</v>
      </c>
      <c r="F950" s="8" t="s">
        <v>2058</v>
      </c>
    </row>
    <row r="951" customHeight="1" spans="1:6">
      <c r="A951" s="6">
        <v>950</v>
      </c>
      <c r="B951" s="8" t="s">
        <v>2054</v>
      </c>
      <c r="C951" s="8" t="s">
        <v>2059</v>
      </c>
      <c r="D951" s="8" t="s">
        <v>2060</v>
      </c>
      <c r="E951" s="8" t="s">
        <v>2057</v>
      </c>
      <c r="F951" s="8" t="s">
        <v>2061</v>
      </c>
    </row>
    <row r="952" customHeight="1" spans="1:6">
      <c r="A952" s="6">
        <v>951</v>
      </c>
      <c r="B952" s="8" t="s">
        <v>2054</v>
      </c>
      <c r="C952" s="8" t="s">
        <v>2062</v>
      </c>
      <c r="D952" s="8" t="s">
        <v>2063</v>
      </c>
      <c r="E952" s="8" t="s">
        <v>2057</v>
      </c>
      <c r="F952" s="8" t="s">
        <v>2064</v>
      </c>
    </row>
    <row r="953" customHeight="1" spans="1:6">
      <c r="A953" s="6">
        <v>952</v>
      </c>
      <c r="B953" s="8" t="s">
        <v>2065</v>
      </c>
      <c r="C953" s="8" t="s">
        <v>2066</v>
      </c>
      <c r="D953" s="8" t="s">
        <v>2067</v>
      </c>
      <c r="E953" s="8" t="s">
        <v>2068</v>
      </c>
      <c r="F953" s="8" t="s">
        <v>2069</v>
      </c>
    </row>
    <row r="954" customHeight="1" spans="1:6">
      <c r="A954" s="6">
        <v>953</v>
      </c>
      <c r="B954" s="8" t="s">
        <v>2065</v>
      </c>
      <c r="C954" s="8" t="s">
        <v>2066</v>
      </c>
      <c r="D954" s="8" t="s">
        <v>2067</v>
      </c>
      <c r="E954" s="8" t="s">
        <v>2068</v>
      </c>
      <c r="F954" s="8" t="s">
        <v>2069</v>
      </c>
    </row>
    <row r="955" customHeight="1" spans="1:6">
      <c r="A955" s="6">
        <v>954</v>
      </c>
      <c r="B955" s="8" t="s">
        <v>2054</v>
      </c>
      <c r="C955" s="8" t="s">
        <v>2070</v>
      </c>
      <c r="D955" s="8" t="s">
        <v>2071</v>
      </c>
      <c r="E955" s="8" t="s">
        <v>2057</v>
      </c>
      <c r="F955" s="8" t="s">
        <v>2072</v>
      </c>
    </row>
    <row r="956" customHeight="1" spans="1:6">
      <c r="A956" s="6">
        <v>955</v>
      </c>
      <c r="B956" s="8" t="s">
        <v>2073</v>
      </c>
      <c r="C956" s="8" t="s">
        <v>2074</v>
      </c>
      <c r="D956" s="8" t="s">
        <v>2075</v>
      </c>
      <c r="E956" s="8" t="s">
        <v>1329</v>
      </c>
      <c r="F956" s="8" t="s">
        <v>2076</v>
      </c>
    </row>
    <row r="957" customHeight="1" spans="1:6">
      <c r="A957" s="6">
        <v>956</v>
      </c>
      <c r="B957" s="8" t="s">
        <v>2073</v>
      </c>
      <c r="C957" s="8" t="s">
        <v>2074</v>
      </c>
      <c r="D957" s="8" t="s">
        <v>2075</v>
      </c>
      <c r="E957" s="8" t="s">
        <v>1329</v>
      </c>
      <c r="F957" s="8" t="s">
        <v>2076</v>
      </c>
    </row>
    <row r="958" customHeight="1" spans="1:6">
      <c r="A958" s="6">
        <v>957</v>
      </c>
      <c r="B958" s="8" t="s">
        <v>2077</v>
      </c>
      <c r="C958" s="8" t="s">
        <v>2078</v>
      </c>
      <c r="D958" s="8" t="s">
        <v>2079</v>
      </c>
      <c r="E958" s="8" t="s">
        <v>23</v>
      </c>
      <c r="F958" s="8" t="s">
        <v>2080</v>
      </c>
    </row>
    <row r="959" customHeight="1" spans="1:6">
      <c r="A959" s="6">
        <v>958</v>
      </c>
      <c r="B959" s="8" t="s">
        <v>2077</v>
      </c>
      <c r="C959" s="8" t="s">
        <v>2078</v>
      </c>
      <c r="D959" s="8" t="s">
        <v>2079</v>
      </c>
      <c r="E959" s="8" t="s">
        <v>23</v>
      </c>
      <c r="F959" s="8" t="s">
        <v>2080</v>
      </c>
    </row>
    <row r="960" customHeight="1" spans="1:6">
      <c r="A960" s="6">
        <v>959</v>
      </c>
      <c r="B960" s="8" t="s">
        <v>2081</v>
      </c>
      <c r="C960" s="8" t="s">
        <v>2082</v>
      </c>
      <c r="D960" s="8" t="s">
        <v>2083</v>
      </c>
      <c r="E960" s="8" t="s">
        <v>2068</v>
      </c>
      <c r="F960" s="8" t="s">
        <v>2084</v>
      </c>
    </row>
    <row r="961" customHeight="1" spans="1:6">
      <c r="A961" s="6">
        <v>960</v>
      </c>
      <c r="B961" s="8" t="s">
        <v>2081</v>
      </c>
      <c r="C961" s="8" t="s">
        <v>2082</v>
      </c>
      <c r="D961" s="8" t="s">
        <v>2083</v>
      </c>
      <c r="E961" s="8" t="s">
        <v>2068</v>
      </c>
      <c r="F961" s="8" t="s">
        <v>2084</v>
      </c>
    </row>
    <row r="962" customHeight="1" spans="1:6">
      <c r="A962" s="6">
        <v>961</v>
      </c>
      <c r="B962" s="8" t="s">
        <v>2085</v>
      </c>
      <c r="C962" s="8" t="s">
        <v>2086</v>
      </c>
      <c r="D962" s="8" t="s">
        <v>2087</v>
      </c>
      <c r="E962" s="8" t="s">
        <v>1329</v>
      </c>
      <c r="F962" s="8" t="s">
        <v>2088</v>
      </c>
    </row>
    <row r="963" customHeight="1" spans="1:6">
      <c r="A963" s="6">
        <v>962</v>
      </c>
      <c r="B963" s="8" t="s">
        <v>2085</v>
      </c>
      <c r="C963" s="8" t="s">
        <v>2086</v>
      </c>
      <c r="D963" s="8" t="s">
        <v>2087</v>
      </c>
      <c r="E963" s="8" t="s">
        <v>1329</v>
      </c>
      <c r="F963" s="8" t="s">
        <v>2088</v>
      </c>
    </row>
    <row r="964" customHeight="1" spans="1:6">
      <c r="A964" s="6">
        <v>963</v>
      </c>
      <c r="B964" s="8" t="s">
        <v>2089</v>
      </c>
      <c r="C964" s="8" t="s">
        <v>2090</v>
      </c>
      <c r="D964" s="8" t="s">
        <v>2091</v>
      </c>
      <c r="E964" s="8" t="s">
        <v>38</v>
      </c>
      <c r="F964" s="8" t="s">
        <v>2092</v>
      </c>
    </row>
    <row r="965" customHeight="1" spans="1:6">
      <c r="A965" s="6">
        <v>964</v>
      </c>
      <c r="B965" s="8" t="s">
        <v>2089</v>
      </c>
      <c r="C965" s="8" t="s">
        <v>2090</v>
      </c>
      <c r="D965" s="8" t="s">
        <v>2091</v>
      </c>
      <c r="E965" s="8" t="s">
        <v>38</v>
      </c>
      <c r="F965" s="8" t="s">
        <v>2092</v>
      </c>
    </row>
    <row r="966" customHeight="1" spans="1:6">
      <c r="A966" s="6">
        <v>965</v>
      </c>
      <c r="B966" s="8" t="s">
        <v>2093</v>
      </c>
      <c r="C966" s="8" t="s">
        <v>2094</v>
      </c>
      <c r="D966" s="8" t="s">
        <v>2095</v>
      </c>
      <c r="E966" s="8" t="s">
        <v>1688</v>
      </c>
      <c r="F966" s="8" t="s">
        <v>2096</v>
      </c>
    </row>
    <row r="967" customHeight="1" spans="1:6">
      <c r="A967" s="6">
        <v>966</v>
      </c>
      <c r="B967" s="8" t="s">
        <v>2093</v>
      </c>
      <c r="C967" s="8" t="s">
        <v>2094</v>
      </c>
      <c r="D967" s="8" t="s">
        <v>2095</v>
      </c>
      <c r="E967" s="8" t="s">
        <v>1688</v>
      </c>
      <c r="F967" s="8" t="s">
        <v>2096</v>
      </c>
    </row>
    <row r="968" customHeight="1" spans="1:6">
      <c r="A968" s="6">
        <v>967</v>
      </c>
      <c r="B968" s="8" t="s">
        <v>2097</v>
      </c>
      <c r="C968" s="8" t="s">
        <v>2098</v>
      </c>
      <c r="D968" s="8" t="s">
        <v>2099</v>
      </c>
      <c r="E968" s="8" t="s">
        <v>23</v>
      </c>
      <c r="F968" s="8" t="s">
        <v>2100</v>
      </c>
    </row>
    <row r="969" customHeight="1" spans="1:6">
      <c r="A969" s="6">
        <v>968</v>
      </c>
      <c r="B969" s="8" t="s">
        <v>2097</v>
      </c>
      <c r="C969" s="8" t="s">
        <v>2098</v>
      </c>
      <c r="D969" s="8" t="s">
        <v>2099</v>
      </c>
      <c r="E969" s="8" t="s">
        <v>23</v>
      </c>
      <c r="F969" s="8" t="s">
        <v>2100</v>
      </c>
    </row>
    <row r="970" customHeight="1" spans="1:6">
      <c r="A970" s="6">
        <v>969</v>
      </c>
      <c r="B970" s="7" t="str">
        <f>"978-7-5012-6389-9"</f>
        <v>978-7-5012-6389-9</v>
      </c>
      <c r="C970" s="7" t="str">
        <f>"传统文化与中国外交话语体系构建"</f>
        <v>传统文化与中国外交话语体系构建</v>
      </c>
      <c r="D970" s="7" t="str">
        <f>"孙吉胜等著"</f>
        <v>孙吉胜等著</v>
      </c>
      <c r="E970" s="7" t="str">
        <f>"世界知识出版社"</f>
        <v>世界知识出版社</v>
      </c>
      <c r="F970" s="7" t="str">
        <f>"D80/46"</f>
        <v>D80/46</v>
      </c>
    </row>
    <row r="971" customHeight="1" spans="1:6">
      <c r="A971" s="6">
        <v>970</v>
      </c>
      <c r="B971" s="7" t="str">
        <f>"978-7-5012-6389-9"</f>
        <v>978-7-5012-6389-9</v>
      </c>
      <c r="C971" s="7" t="str">
        <f>"传统文化与中国外交话语体系构建"</f>
        <v>传统文化与中国外交话语体系构建</v>
      </c>
      <c r="D971" s="7" t="str">
        <f>"孙吉胜等著"</f>
        <v>孙吉胜等著</v>
      </c>
      <c r="E971" s="7" t="str">
        <f>"世界知识出版社"</f>
        <v>世界知识出版社</v>
      </c>
      <c r="F971" s="7" t="str">
        <f>"D80/46"</f>
        <v>D80/46</v>
      </c>
    </row>
    <row r="972" customHeight="1" spans="1:6">
      <c r="A972" s="6">
        <v>971</v>
      </c>
      <c r="B972" s="8" t="s">
        <v>2101</v>
      </c>
      <c r="C972" s="8" t="s">
        <v>2102</v>
      </c>
      <c r="D972" s="8" t="s">
        <v>2103</v>
      </c>
      <c r="E972" s="8" t="s">
        <v>43</v>
      </c>
      <c r="F972" s="8" t="s">
        <v>2104</v>
      </c>
    </row>
    <row r="973" customHeight="1" spans="1:6">
      <c r="A973" s="6">
        <v>972</v>
      </c>
      <c r="B973" s="8" t="s">
        <v>2101</v>
      </c>
      <c r="C973" s="8" t="s">
        <v>2102</v>
      </c>
      <c r="D973" s="8" t="s">
        <v>2103</v>
      </c>
      <c r="E973" s="8" t="s">
        <v>43</v>
      </c>
      <c r="F973" s="8" t="s">
        <v>2104</v>
      </c>
    </row>
    <row r="974" customHeight="1" spans="1:6">
      <c r="A974" s="6">
        <v>973</v>
      </c>
      <c r="B974" s="8" t="s">
        <v>2105</v>
      </c>
      <c r="C974" s="8" t="s">
        <v>2106</v>
      </c>
      <c r="D974" s="8" t="s">
        <v>2107</v>
      </c>
      <c r="E974" s="8" t="s">
        <v>485</v>
      </c>
      <c r="F974" s="8" t="s">
        <v>2108</v>
      </c>
    </row>
    <row r="975" customHeight="1" spans="1:6">
      <c r="A975" s="6">
        <v>974</v>
      </c>
      <c r="B975" s="8" t="s">
        <v>2105</v>
      </c>
      <c r="C975" s="8" t="s">
        <v>2106</v>
      </c>
      <c r="D975" s="8" t="s">
        <v>2107</v>
      </c>
      <c r="E975" s="8" t="s">
        <v>485</v>
      </c>
      <c r="F975" s="8" t="s">
        <v>2108</v>
      </c>
    </row>
    <row r="976" customHeight="1" spans="1:6">
      <c r="A976" s="6">
        <v>975</v>
      </c>
      <c r="B976" s="7" t="str">
        <f>"978-7-5217-2999-3"</f>
        <v>978-7-5217-2999-3</v>
      </c>
      <c r="C976" s="7" t="str">
        <f>"大国运势：2050"</f>
        <v>大国运势：2050</v>
      </c>
      <c r="D976" s="7" t="str">
        <f>"王鸿刚著"</f>
        <v>王鸿刚著</v>
      </c>
      <c r="E976" s="7" t="str">
        <f>"中信出版集团股份有限公司"</f>
        <v>中信出版集团股份有限公司</v>
      </c>
      <c r="F976" s="7" t="str">
        <f>"D81/105"</f>
        <v>D81/105</v>
      </c>
    </row>
    <row r="977" customHeight="1" spans="1:6">
      <c r="A977" s="6">
        <v>976</v>
      </c>
      <c r="B977" s="7" t="str">
        <f>"978-7-5217-2999-3"</f>
        <v>978-7-5217-2999-3</v>
      </c>
      <c r="C977" s="7" t="str">
        <f>"大国运势：2050"</f>
        <v>大国运势：2050</v>
      </c>
      <c r="D977" s="7" t="str">
        <f>"王鸿刚著"</f>
        <v>王鸿刚著</v>
      </c>
      <c r="E977" s="7" t="str">
        <f>"中信出版集团股份有限公司"</f>
        <v>中信出版集团股份有限公司</v>
      </c>
      <c r="F977" s="7" t="str">
        <f>"D81/105"</f>
        <v>D81/105</v>
      </c>
    </row>
    <row r="978" customHeight="1" spans="1:6">
      <c r="A978" s="6">
        <v>977</v>
      </c>
      <c r="B978" s="8" t="s">
        <v>2109</v>
      </c>
      <c r="C978" s="8" t="s">
        <v>2110</v>
      </c>
      <c r="D978" s="8" t="s">
        <v>2111</v>
      </c>
      <c r="E978" s="8" t="s">
        <v>1329</v>
      </c>
      <c r="F978" s="8" t="s">
        <v>2112</v>
      </c>
    </row>
    <row r="979" customHeight="1" spans="1:6">
      <c r="A979" s="6">
        <v>978</v>
      </c>
      <c r="B979" s="8" t="s">
        <v>2109</v>
      </c>
      <c r="C979" s="8" t="s">
        <v>2110</v>
      </c>
      <c r="D979" s="8" t="s">
        <v>2111</v>
      </c>
      <c r="E979" s="8" t="s">
        <v>1329</v>
      </c>
      <c r="F979" s="8" t="s">
        <v>2112</v>
      </c>
    </row>
    <row r="980" customHeight="1" spans="1:6">
      <c r="A980" s="6">
        <v>979</v>
      </c>
      <c r="B980" s="8" t="s">
        <v>2113</v>
      </c>
      <c r="C980" s="8" t="s">
        <v>2114</v>
      </c>
      <c r="D980" s="8" t="s">
        <v>1448</v>
      </c>
      <c r="E980" s="8" t="s">
        <v>1449</v>
      </c>
      <c r="F980" s="8" t="s">
        <v>2115</v>
      </c>
    </row>
    <row r="981" customHeight="1" spans="1:6">
      <c r="A981" s="6">
        <v>980</v>
      </c>
      <c r="B981" s="8" t="s">
        <v>2113</v>
      </c>
      <c r="C981" s="8" t="s">
        <v>2114</v>
      </c>
      <c r="D981" s="8" t="s">
        <v>1448</v>
      </c>
      <c r="E981" s="8" t="s">
        <v>1449</v>
      </c>
      <c r="F981" s="8" t="s">
        <v>2115</v>
      </c>
    </row>
    <row r="982" customHeight="1" spans="1:6">
      <c r="A982" s="6">
        <v>981</v>
      </c>
      <c r="B982" s="8" t="s">
        <v>2116</v>
      </c>
      <c r="C982" s="8" t="s">
        <v>2117</v>
      </c>
      <c r="D982" s="8" t="s">
        <v>2118</v>
      </c>
      <c r="E982" s="8" t="s">
        <v>1324</v>
      </c>
      <c r="F982" s="8" t="s">
        <v>2119</v>
      </c>
    </row>
    <row r="983" customHeight="1" spans="1:6">
      <c r="A983" s="6">
        <v>982</v>
      </c>
      <c r="B983" s="8" t="s">
        <v>2116</v>
      </c>
      <c r="C983" s="8" t="s">
        <v>2117</v>
      </c>
      <c r="D983" s="8" t="s">
        <v>2118</v>
      </c>
      <c r="E983" s="8" t="s">
        <v>1324</v>
      </c>
      <c r="F983" s="8" t="s">
        <v>2119</v>
      </c>
    </row>
    <row r="984" customHeight="1" spans="1:6">
      <c r="A984" s="6">
        <v>983</v>
      </c>
      <c r="B984" s="7" t="str">
        <f>"978-7-5012-6376-9"</f>
        <v>978-7-5012-6376-9</v>
      </c>
      <c r="C984" s="7" t="str">
        <f>"上海合作组织20年：成就和经验：достижения и опыты：achievements and experiences"</f>
        <v>上海合作组织20年：成就和经验：достижения и опыты：achievements and experiences</v>
      </c>
      <c r="D984" s="7" t="str">
        <f>"主编徐步"</f>
        <v>主编徐步</v>
      </c>
      <c r="E984" s="7" t="str">
        <f>"世界知识出版社"</f>
        <v>世界知识出版社</v>
      </c>
      <c r="F984" s="7" t="str">
        <f>"D814.1/35"</f>
        <v>D814.1/35</v>
      </c>
    </row>
    <row r="985" customHeight="1" spans="1:6">
      <c r="A985" s="6">
        <v>984</v>
      </c>
      <c r="B985" s="7" t="str">
        <f>"978-7-5012-6376-9"</f>
        <v>978-7-5012-6376-9</v>
      </c>
      <c r="C985" s="7" t="str">
        <f>"上海合作组织20年：成就和经验：достижения и опыты：achievements and experiences"</f>
        <v>上海合作组织20年：成就和经验：достижения и опыты：achievements and experiences</v>
      </c>
      <c r="D985" s="7" t="str">
        <f>"主编徐步"</f>
        <v>主编徐步</v>
      </c>
      <c r="E985" s="7" t="str">
        <f>"世界知识出版社"</f>
        <v>世界知识出版社</v>
      </c>
      <c r="F985" s="7" t="str">
        <f>"D814.1/35"</f>
        <v>D814.1/35</v>
      </c>
    </row>
    <row r="986" customHeight="1" spans="1:6">
      <c r="A986" s="6">
        <v>985</v>
      </c>
      <c r="B986" s="7" t="str">
        <f>"978-7-5201-7818-1"</f>
        <v>978-7-5201-7818-1</v>
      </c>
      <c r="C986" s="7" t="str">
        <f>"上海合作组织20年：成就、挑战与前景：achievements， challenges and prospects"</f>
        <v>上海合作组织20年：成就、挑战与前景：achievements， challenges and prospects</v>
      </c>
      <c r="D986" s="7" t="str">
        <f>"李进峰著"</f>
        <v>李进峰著</v>
      </c>
      <c r="E986" s="7" t="str">
        <f>"社会科学文献出版社"</f>
        <v>社会科学文献出版社</v>
      </c>
      <c r="F986" s="7" t="str">
        <f>"D814.1/36"</f>
        <v>D814.1/36</v>
      </c>
    </row>
    <row r="987" customHeight="1" spans="1:6">
      <c r="A987" s="6">
        <v>986</v>
      </c>
      <c r="B987" s="7" t="str">
        <f>"978-7-5201-7818-1"</f>
        <v>978-7-5201-7818-1</v>
      </c>
      <c r="C987" s="7" t="str">
        <f>"上海合作组织20年：成就、挑战与前景：achievements， challenges and prospects"</f>
        <v>上海合作组织20年：成就、挑战与前景：achievements， challenges and prospects</v>
      </c>
      <c r="D987" s="7" t="str">
        <f>"李进峰著"</f>
        <v>李进峰著</v>
      </c>
      <c r="E987" s="7" t="str">
        <f>"社会科学文献出版社"</f>
        <v>社会科学文献出版社</v>
      </c>
      <c r="F987" s="7" t="str">
        <f>"D814.1/36"</f>
        <v>D814.1/36</v>
      </c>
    </row>
    <row r="988" customHeight="1" spans="1:6">
      <c r="A988" s="6">
        <v>987</v>
      </c>
      <c r="B988" s="8" t="s">
        <v>2120</v>
      </c>
      <c r="C988" s="8" t="s">
        <v>2121</v>
      </c>
      <c r="D988" s="8" t="s">
        <v>2122</v>
      </c>
      <c r="E988" s="8" t="s">
        <v>1324</v>
      </c>
      <c r="F988" s="8" t="s">
        <v>2123</v>
      </c>
    </row>
    <row r="989" customHeight="1" spans="1:6">
      <c r="A989" s="6">
        <v>988</v>
      </c>
      <c r="B989" s="8" t="s">
        <v>2120</v>
      </c>
      <c r="C989" s="8" t="s">
        <v>2121</v>
      </c>
      <c r="D989" s="8" t="s">
        <v>2122</v>
      </c>
      <c r="E989" s="8" t="s">
        <v>1324</v>
      </c>
      <c r="F989" s="8" t="s">
        <v>2123</v>
      </c>
    </row>
    <row r="990" customHeight="1" spans="1:6">
      <c r="A990" s="6">
        <v>989</v>
      </c>
      <c r="B990" s="7" t="str">
        <f>"978-7-119-12627-2"</f>
        <v>978-7-119-12627-2</v>
      </c>
      <c r="C990" s="7" t="str">
        <f>"后疫情时代， 世界向何处去?：聚焦人类命运共同体"</f>
        <v>后疫情时代， 世界向何处去?：聚焦人类命运共同体</v>
      </c>
      <c r="D990" s="7" t="str">
        <f>"张政主编"</f>
        <v>张政主编</v>
      </c>
      <c r="E990" s="7" t="str">
        <f>"外文出版社"</f>
        <v>外文出版社</v>
      </c>
      <c r="F990" s="7" t="str">
        <f>"D81-53/9"</f>
        <v>D81-53/9</v>
      </c>
    </row>
    <row r="991" customHeight="1" spans="1:6">
      <c r="A991" s="6">
        <v>990</v>
      </c>
      <c r="B991" s="7" t="str">
        <f>"978-7-119-12627-2"</f>
        <v>978-7-119-12627-2</v>
      </c>
      <c r="C991" s="7" t="str">
        <f>"后疫情时代， 世界向何处去?：聚焦人类命运共同体"</f>
        <v>后疫情时代， 世界向何处去?：聚焦人类命运共同体</v>
      </c>
      <c r="D991" s="7" t="str">
        <f>"张政主编"</f>
        <v>张政主编</v>
      </c>
      <c r="E991" s="7" t="str">
        <f>"外文出版社"</f>
        <v>外文出版社</v>
      </c>
      <c r="F991" s="7" t="str">
        <f>"D81-53/9"</f>
        <v>D81-53/9</v>
      </c>
    </row>
    <row r="992" customHeight="1" spans="1:6">
      <c r="A992" s="6">
        <v>991</v>
      </c>
      <c r="B992" s="8" t="s">
        <v>2124</v>
      </c>
      <c r="C992" s="8" t="s">
        <v>2125</v>
      </c>
      <c r="D992" s="8" t="s">
        <v>2126</v>
      </c>
      <c r="E992" s="8" t="s">
        <v>145</v>
      </c>
      <c r="F992" s="8" t="s">
        <v>2127</v>
      </c>
    </row>
    <row r="993" customHeight="1" spans="1:6">
      <c r="A993" s="6">
        <v>992</v>
      </c>
      <c r="B993" s="8" t="s">
        <v>2124</v>
      </c>
      <c r="C993" s="8" t="s">
        <v>2125</v>
      </c>
      <c r="D993" s="8" t="s">
        <v>2126</v>
      </c>
      <c r="E993" s="8" t="s">
        <v>145</v>
      </c>
      <c r="F993" s="8" t="s">
        <v>2127</v>
      </c>
    </row>
    <row r="994" customHeight="1" spans="1:6">
      <c r="A994" s="6">
        <v>993</v>
      </c>
      <c r="B994" s="8" t="s">
        <v>2128</v>
      </c>
      <c r="C994" s="8" t="s">
        <v>2129</v>
      </c>
      <c r="D994" s="8" t="s">
        <v>2130</v>
      </c>
      <c r="E994" s="8" t="s">
        <v>43</v>
      </c>
      <c r="F994" s="8" t="s">
        <v>2131</v>
      </c>
    </row>
    <row r="995" customHeight="1" spans="1:6">
      <c r="A995" s="6">
        <v>994</v>
      </c>
      <c r="B995" s="8" t="s">
        <v>2128</v>
      </c>
      <c r="C995" s="8" t="s">
        <v>2129</v>
      </c>
      <c r="D995" s="8" t="s">
        <v>2130</v>
      </c>
      <c r="E995" s="8" t="s">
        <v>43</v>
      </c>
      <c r="F995" s="8" t="s">
        <v>2131</v>
      </c>
    </row>
    <row r="996" customHeight="1" spans="1:6">
      <c r="A996" s="6">
        <v>995</v>
      </c>
      <c r="B996" s="7" t="str">
        <f t="shared" ref="B996:B998" si="158">"978-7-5720-0678-4"</f>
        <v>978-7-5720-0678-4</v>
      </c>
      <c r="C996" s="7" t="str">
        <f t="shared" ref="C996:C998" si="159">"我在中国挺好的：22个外国人与中国的缘分故事"</f>
        <v>我在中国挺好的：22个外国人与中国的缘分故事</v>
      </c>
      <c r="D996" s="7" t="str">
        <f t="shared" ref="D996:D998" si="160">"(法) 梅洛主编Melody Pace"</f>
        <v>(法) 梅洛主编Melody Pace</v>
      </c>
      <c r="E996" s="7" t="str">
        <f t="shared" ref="E996:E998" si="161">"上海教育出版社"</f>
        <v>上海教育出版社</v>
      </c>
      <c r="F996" s="7" t="str">
        <f t="shared" ref="F996:F998" si="162">"D822.2/6"</f>
        <v>D822.2/6</v>
      </c>
    </row>
    <row r="997" customHeight="1" spans="1:6">
      <c r="A997" s="6">
        <v>996</v>
      </c>
      <c r="B997" s="7" t="str">
        <f t="shared" si="158"/>
        <v>978-7-5720-0678-4</v>
      </c>
      <c r="C997" s="7" t="str">
        <f t="shared" si="159"/>
        <v>我在中国挺好的：22个外国人与中国的缘分故事</v>
      </c>
      <c r="D997" s="7" t="str">
        <f t="shared" si="160"/>
        <v>(法) 梅洛主编Melody Pace</v>
      </c>
      <c r="E997" s="7" t="str">
        <f t="shared" si="161"/>
        <v>上海教育出版社</v>
      </c>
      <c r="F997" s="7" t="str">
        <f t="shared" si="162"/>
        <v>D822.2/6</v>
      </c>
    </row>
    <row r="998" customHeight="1" spans="1:6">
      <c r="A998" s="6">
        <v>997</v>
      </c>
      <c r="B998" s="7" t="str">
        <f t="shared" si="158"/>
        <v>978-7-5720-0678-4</v>
      </c>
      <c r="C998" s="7" t="str">
        <f t="shared" si="159"/>
        <v>我在中国挺好的：22个外国人与中国的缘分故事</v>
      </c>
      <c r="D998" s="7" t="str">
        <f t="shared" si="160"/>
        <v>(法) 梅洛主编Melody Pace</v>
      </c>
      <c r="E998" s="7" t="str">
        <f t="shared" si="161"/>
        <v>上海教育出版社</v>
      </c>
      <c r="F998" s="7" t="str">
        <f t="shared" si="162"/>
        <v>D822.2/6</v>
      </c>
    </row>
    <row r="999" customHeight="1" spans="1:6">
      <c r="A999" s="6">
        <v>998</v>
      </c>
      <c r="B999" s="7" t="str">
        <f t="shared" ref="B999:B1001" si="163">"978-7-5217-3495-9"</f>
        <v>978-7-5217-3495-9</v>
      </c>
      <c r="C999" s="7" t="str">
        <f t="shared" ref="C999:C1001" si="164">"中国的选择：中美博弈与战略抉择：the Chinese challenge to American primacy"</f>
        <v>中国的选择：中美博弈与战略抉择：the Chinese challenge to American primacy</v>
      </c>
      <c r="D999" s="7" t="str">
        <f t="shared" ref="D999:D1001" si="165">"(新加坡) 马凯硕著Kishore Mahbubani；全球化智库 (CCG) 译"</f>
        <v>(新加坡) 马凯硕著Kishore Mahbubani；全球化智库 (CCG) 译</v>
      </c>
      <c r="E999" s="7" t="str">
        <f t="shared" ref="E999:E1001" si="166">"中信出版集团股份有限公司"</f>
        <v>中信出版集团股份有限公司</v>
      </c>
      <c r="F999" s="7" t="str">
        <f t="shared" ref="F999:F1001" si="167">"D822.371.2/23"</f>
        <v>D822.371.2/23</v>
      </c>
    </row>
    <row r="1000" customHeight="1" spans="1:6">
      <c r="A1000" s="6">
        <v>999</v>
      </c>
      <c r="B1000" s="7" t="str">
        <f t="shared" si="163"/>
        <v>978-7-5217-3495-9</v>
      </c>
      <c r="C1000" s="7" t="str">
        <f t="shared" si="164"/>
        <v>中国的选择：中美博弈与战略抉择：the Chinese challenge to American primacy</v>
      </c>
      <c r="D1000" s="7" t="str">
        <f t="shared" si="165"/>
        <v>(新加坡) 马凯硕著Kishore Mahbubani；全球化智库 (CCG) 译</v>
      </c>
      <c r="E1000" s="7" t="str">
        <f t="shared" si="166"/>
        <v>中信出版集团股份有限公司</v>
      </c>
      <c r="F1000" s="7" t="str">
        <f t="shared" si="167"/>
        <v>D822.371.2/23</v>
      </c>
    </row>
    <row r="1001" customHeight="1" spans="1:6">
      <c r="A1001" s="6">
        <v>1000</v>
      </c>
      <c r="B1001" s="7" t="str">
        <f t="shared" si="163"/>
        <v>978-7-5217-3495-9</v>
      </c>
      <c r="C1001" s="7" t="str">
        <f t="shared" si="164"/>
        <v>中国的选择：中美博弈与战略抉择：the Chinese challenge to American primacy</v>
      </c>
      <c r="D1001" s="7" t="str">
        <f t="shared" si="165"/>
        <v>(新加坡) 马凯硕著Kishore Mahbubani；全球化智库 (CCG) 译</v>
      </c>
      <c r="E1001" s="7" t="str">
        <f t="shared" si="166"/>
        <v>中信出版集团股份有限公司</v>
      </c>
      <c r="F1001" s="7" t="str">
        <f t="shared" si="167"/>
        <v>D822.371.2/23</v>
      </c>
    </row>
    <row r="1002" customHeight="1" spans="1:6">
      <c r="A1002" s="6">
        <v>1001</v>
      </c>
      <c r="B1002" s="8" t="s">
        <v>2132</v>
      </c>
      <c r="C1002" s="8" t="s">
        <v>2133</v>
      </c>
      <c r="D1002" s="8" t="s">
        <v>2134</v>
      </c>
      <c r="E1002" s="8" t="s">
        <v>2135</v>
      </c>
      <c r="F1002" s="8" t="s">
        <v>2136</v>
      </c>
    </row>
    <row r="1003" customHeight="1" spans="1:6">
      <c r="A1003" s="6">
        <v>1002</v>
      </c>
      <c r="B1003" s="8" t="s">
        <v>2132</v>
      </c>
      <c r="C1003" s="8" t="s">
        <v>2133</v>
      </c>
      <c r="D1003" s="8" t="s">
        <v>2134</v>
      </c>
      <c r="E1003" s="8" t="s">
        <v>2135</v>
      </c>
      <c r="F1003" s="8" t="s">
        <v>2136</v>
      </c>
    </row>
    <row r="1004" customHeight="1" spans="1:6">
      <c r="A1004" s="6">
        <v>1003</v>
      </c>
      <c r="B1004" s="8" t="s">
        <v>2137</v>
      </c>
      <c r="C1004" s="8" t="s">
        <v>2138</v>
      </c>
      <c r="D1004" s="8" t="s">
        <v>2126</v>
      </c>
      <c r="E1004" s="8" t="s">
        <v>43</v>
      </c>
      <c r="F1004" s="8" t="s">
        <v>2139</v>
      </c>
    </row>
    <row r="1005" customHeight="1" spans="1:6">
      <c r="A1005" s="6">
        <v>1004</v>
      </c>
      <c r="B1005" s="8" t="s">
        <v>2137</v>
      </c>
      <c r="C1005" s="8" t="s">
        <v>2138</v>
      </c>
      <c r="D1005" s="8" t="s">
        <v>2126</v>
      </c>
      <c r="E1005" s="8" t="s">
        <v>43</v>
      </c>
      <c r="F1005" s="8" t="s">
        <v>2139</v>
      </c>
    </row>
    <row r="1006" customHeight="1" spans="1:6">
      <c r="A1006" s="6">
        <v>1005</v>
      </c>
      <c r="B1006" s="7" t="str">
        <f>"978-7-5217-2815-6"</f>
        <v>978-7-5217-2815-6</v>
      </c>
      <c r="C1006" s="7" t="str">
        <f>"大国竞合"</f>
        <v>大国竞合</v>
      </c>
      <c r="D1006" s="7" t="str">
        <f>"(美) 彼得·沃克著Peter Walker；陈春华译"</f>
        <v>(美) 彼得·沃克著Peter Walker；陈春华译</v>
      </c>
      <c r="E1006" s="7" t="str">
        <f>"中信出版集团股份有限公司"</f>
        <v>中信出版集团股份有限公司</v>
      </c>
      <c r="F1006" s="7" t="str">
        <f>"D829.712/23"</f>
        <v>D829.712/23</v>
      </c>
    </row>
    <row r="1007" customHeight="1" spans="1:6">
      <c r="A1007" s="6">
        <v>1006</v>
      </c>
      <c r="B1007" s="7" t="str">
        <f>"978-7-5217-2815-6"</f>
        <v>978-7-5217-2815-6</v>
      </c>
      <c r="C1007" s="7" t="str">
        <f>"大国竞合"</f>
        <v>大国竞合</v>
      </c>
      <c r="D1007" s="7" t="str">
        <f>"(美) 彼得·沃克著Peter Walker；陈春华译"</f>
        <v>(美) 彼得·沃克著Peter Walker；陈春华译</v>
      </c>
      <c r="E1007" s="7" t="str">
        <f>"中信出版集团股份有限公司"</f>
        <v>中信出版集团股份有限公司</v>
      </c>
      <c r="F1007" s="7" t="str">
        <f>"D829.712/23"</f>
        <v>D829.712/23</v>
      </c>
    </row>
    <row r="1008" customHeight="1" spans="1:6">
      <c r="A1008" s="6">
        <v>1007</v>
      </c>
      <c r="B1008" s="8" t="s">
        <v>2140</v>
      </c>
      <c r="C1008" s="8" t="s">
        <v>2141</v>
      </c>
      <c r="D1008" s="8" t="s">
        <v>2142</v>
      </c>
      <c r="E1008" s="8" t="s">
        <v>2143</v>
      </c>
      <c r="F1008" s="8" t="s">
        <v>2144</v>
      </c>
    </row>
    <row r="1009" customHeight="1" spans="1:6">
      <c r="A1009" s="6">
        <v>1008</v>
      </c>
      <c r="B1009" s="8" t="s">
        <v>2140</v>
      </c>
      <c r="C1009" s="8" t="s">
        <v>2141</v>
      </c>
      <c r="D1009" s="8" t="s">
        <v>2142</v>
      </c>
      <c r="E1009" s="8" t="s">
        <v>2143</v>
      </c>
      <c r="F1009" s="8" t="s">
        <v>2144</v>
      </c>
    </row>
    <row r="1010" customHeight="1" spans="1:6">
      <c r="A1010" s="6">
        <v>1009</v>
      </c>
      <c r="B1010" s="7" t="str">
        <f>"978-7-100-19472-3"</f>
        <v>978-7-100-19472-3</v>
      </c>
      <c r="C1010" s="7" t="str">
        <f>"贪婪、混沌和治理：利用公共选择改良公法"</f>
        <v>贪婪、混沌和治理：利用公共选择改良公法</v>
      </c>
      <c r="D1010" s="7" t="str">
        <f>"(美) 杰里·马肖著；宋功德译"</f>
        <v>(美) 杰里·马肖著；宋功德译</v>
      </c>
      <c r="E1010" s="7" t="str">
        <f t="shared" ref="E1010:E1013" si="168">"商务印书馆"</f>
        <v>商务印书馆</v>
      </c>
      <c r="F1010" s="7" t="str">
        <f>"D90/244"</f>
        <v>D90/244</v>
      </c>
    </row>
    <row r="1011" customHeight="1" spans="1:6">
      <c r="A1011" s="6">
        <v>1010</v>
      </c>
      <c r="B1011" s="7" t="str">
        <f>"978-7-100-19472-3"</f>
        <v>978-7-100-19472-3</v>
      </c>
      <c r="C1011" s="7" t="str">
        <f>"贪婪、混沌和治理：利用公共选择改良公法"</f>
        <v>贪婪、混沌和治理：利用公共选择改良公法</v>
      </c>
      <c r="D1011" s="7" t="str">
        <f>"(美) 杰里·马肖著；宋功德译"</f>
        <v>(美) 杰里·马肖著；宋功德译</v>
      </c>
      <c r="E1011" s="7" t="str">
        <f t="shared" si="168"/>
        <v>商务印书馆</v>
      </c>
      <c r="F1011" s="7" t="str">
        <f>"D90/244"</f>
        <v>D90/244</v>
      </c>
    </row>
    <row r="1012" customHeight="1" spans="1:6">
      <c r="A1012" s="6">
        <v>1011</v>
      </c>
      <c r="B1012" s="7" t="str">
        <f>"978-7-100-19420-4"</f>
        <v>978-7-100-19420-4</v>
      </c>
      <c r="C1012" s="7" t="str">
        <f>"法律与道德中的责任"</f>
        <v>法律与道德中的责任</v>
      </c>
      <c r="D1012" s="7" t="str">
        <f>"(澳) 皮特·凯恩著；罗李华译"</f>
        <v>(澳) 皮特·凯恩著；罗李华译</v>
      </c>
      <c r="E1012" s="7" t="str">
        <f t="shared" si="168"/>
        <v>商务印书馆</v>
      </c>
      <c r="F1012" s="7" t="str">
        <f>"D90/245"</f>
        <v>D90/245</v>
      </c>
    </row>
    <row r="1013" customHeight="1" spans="1:6">
      <c r="A1013" s="6">
        <v>1012</v>
      </c>
      <c r="B1013" s="7" t="str">
        <f>"978-7-100-19420-4"</f>
        <v>978-7-100-19420-4</v>
      </c>
      <c r="C1013" s="7" t="str">
        <f>"法律与道德中的责任"</f>
        <v>法律与道德中的责任</v>
      </c>
      <c r="D1013" s="7" t="str">
        <f>"(澳) 皮特·凯恩著；罗李华译"</f>
        <v>(澳) 皮特·凯恩著；罗李华译</v>
      </c>
      <c r="E1013" s="7" t="str">
        <f t="shared" si="168"/>
        <v>商务印书馆</v>
      </c>
      <c r="F1013" s="7" t="str">
        <f>"D90/245"</f>
        <v>D90/245</v>
      </c>
    </row>
    <row r="1014" customHeight="1" spans="1:6">
      <c r="A1014" s="6">
        <v>1013</v>
      </c>
      <c r="B1014" s="8" t="s">
        <v>2145</v>
      </c>
      <c r="C1014" s="8" t="s">
        <v>2146</v>
      </c>
      <c r="D1014" s="8" t="s">
        <v>2147</v>
      </c>
      <c r="E1014" s="8" t="s">
        <v>189</v>
      </c>
      <c r="F1014" s="8" t="s">
        <v>2148</v>
      </c>
    </row>
    <row r="1015" customHeight="1" spans="1:6">
      <c r="A1015" s="6">
        <v>1014</v>
      </c>
      <c r="B1015" s="8" t="s">
        <v>2145</v>
      </c>
      <c r="C1015" s="8" t="s">
        <v>2146</v>
      </c>
      <c r="D1015" s="8" t="s">
        <v>2147</v>
      </c>
      <c r="E1015" s="8" t="s">
        <v>189</v>
      </c>
      <c r="F1015" s="8" t="s">
        <v>2148</v>
      </c>
    </row>
    <row r="1016" customHeight="1" spans="1:6">
      <c r="A1016" s="6">
        <v>1015</v>
      </c>
      <c r="B1016" s="7" t="str">
        <f>"978-7-5217-1608-5"</f>
        <v>978-7-5217-1608-5</v>
      </c>
      <c r="C1016" s="7" t="str">
        <f>"信念共同体：法和经济学的新方法"</f>
        <v>信念共同体：法和经济学的新方法</v>
      </c>
      <c r="D1016" s="7" t="str">
        <f>"(印) 考希克·巴苏著Kaushil Basu；宣晓伟译"</f>
        <v>(印) 考希克·巴苏著Kaushil Basu；宣晓伟译</v>
      </c>
      <c r="E1016" s="7" t="str">
        <f>"中信出版集团股份有限公司"</f>
        <v>中信出版集团股份有限公司</v>
      </c>
      <c r="F1016" s="7" t="str">
        <f>"D90-05/7"</f>
        <v>D90-05/7</v>
      </c>
    </row>
    <row r="1017" customHeight="1" spans="1:6">
      <c r="A1017" s="6">
        <v>1016</v>
      </c>
      <c r="B1017" s="7" t="str">
        <f>"978-7-5217-1608-5"</f>
        <v>978-7-5217-1608-5</v>
      </c>
      <c r="C1017" s="7" t="str">
        <f>"信念共同体：法和经济学的新方法"</f>
        <v>信念共同体：法和经济学的新方法</v>
      </c>
      <c r="D1017" s="7" t="str">
        <f>"(印) 考希克·巴苏著Kaushil Basu；宣晓伟译"</f>
        <v>(印) 考希克·巴苏著Kaushil Basu；宣晓伟译</v>
      </c>
      <c r="E1017" s="7" t="str">
        <f>"中信出版集团股份有限公司"</f>
        <v>中信出版集团股份有限公司</v>
      </c>
      <c r="F1017" s="7" t="str">
        <f>"D90-05/7"</f>
        <v>D90-05/7</v>
      </c>
    </row>
    <row r="1018" customHeight="1" spans="1:6">
      <c r="A1018" s="6">
        <v>1017</v>
      </c>
      <c r="B1018" s="7" t="str">
        <f t="shared" ref="B1018:B1020" si="169">"978-7-108-05026-7"</f>
        <v>978-7-108-05026-7</v>
      </c>
      <c r="C1018" s="7" t="str">
        <f t="shared" ref="C1018:C1020" si="170">"破窗效应：失序世界的关键影响力：restoring order and reducing crime in our communities"</f>
        <v>破窗效应：失序世界的关键影响力：restoring order and reducing crime in our communities</v>
      </c>
      <c r="D1018" s="7" t="str">
        <f t="shared" ref="D1018:D1020" si="171">"(美) 乔治·凯林， 凯瑟琳·科尔斯著；陈智文译"</f>
        <v>(美) 乔治·凯林， 凯瑟琳·科尔斯著；陈智文译</v>
      </c>
      <c r="E1018" s="7" t="str">
        <f t="shared" ref="E1018:E1023" si="172">"三联书店"</f>
        <v>三联书店</v>
      </c>
      <c r="F1018" s="7" t="str">
        <f t="shared" ref="F1018:F1020" si="173">"D917.6/12"</f>
        <v>D917.6/12</v>
      </c>
    </row>
    <row r="1019" customHeight="1" spans="1:6">
      <c r="A1019" s="6">
        <v>1018</v>
      </c>
      <c r="B1019" s="7" t="str">
        <f t="shared" si="169"/>
        <v>978-7-108-05026-7</v>
      </c>
      <c r="C1019" s="7" t="str">
        <f t="shared" si="170"/>
        <v>破窗效应：失序世界的关键影响力：restoring order and reducing crime in our communities</v>
      </c>
      <c r="D1019" s="7" t="str">
        <f t="shared" si="171"/>
        <v>(美) 乔治·凯林， 凯瑟琳·科尔斯著；陈智文译</v>
      </c>
      <c r="E1019" s="7" t="str">
        <f t="shared" si="172"/>
        <v>三联书店</v>
      </c>
      <c r="F1019" s="7" t="str">
        <f t="shared" si="173"/>
        <v>D917.6/12</v>
      </c>
    </row>
    <row r="1020" customHeight="1" spans="1:6">
      <c r="A1020" s="6">
        <v>1019</v>
      </c>
      <c r="B1020" s="7" t="str">
        <f t="shared" si="169"/>
        <v>978-7-108-05026-7</v>
      </c>
      <c r="C1020" s="7" t="str">
        <f t="shared" si="170"/>
        <v>破窗效应：失序世界的关键影响力：restoring order and reducing crime in our communities</v>
      </c>
      <c r="D1020" s="7" t="str">
        <f t="shared" si="171"/>
        <v>(美) 乔治·凯林， 凯瑟琳·科尔斯著；陈智文译</v>
      </c>
      <c r="E1020" s="7" t="str">
        <f t="shared" si="172"/>
        <v>三联书店</v>
      </c>
      <c r="F1020" s="7" t="str">
        <f t="shared" si="173"/>
        <v>D917.6/12</v>
      </c>
    </row>
    <row r="1021" customHeight="1" spans="1:6">
      <c r="A1021" s="6">
        <v>1020</v>
      </c>
      <c r="B1021" s="7" t="str">
        <f t="shared" ref="B1021:B1023" si="174">"978-7-108-05551-4"</f>
        <v>978-7-108-05551-4</v>
      </c>
      <c r="C1021" s="7" t="str">
        <f t="shared" ref="C1021:C1023" si="175">"蛛丝马迹：犯罪现场专家讲述的故事"</f>
        <v>蛛丝马迹：犯罪现场专家讲述的故事</v>
      </c>
      <c r="D1021" s="7" t="str">
        <f t="shared" ref="D1021:D1023" si="176">"(美) 康妮·弗莱彻著；毕小青译"</f>
        <v>(美) 康妮·弗莱彻著；毕小青译</v>
      </c>
      <c r="E1021" s="7" t="str">
        <f t="shared" si="172"/>
        <v>三联书店</v>
      </c>
      <c r="F1021" s="7" t="str">
        <f t="shared" ref="F1021:F1023" si="177">"D918.4/3=2D"</f>
        <v>D918.4/3=2D</v>
      </c>
    </row>
    <row r="1022" customHeight="1" spans="1:6">
      <c r="A1022" s="6">
        <v>1021</v>
      </c>
      <c r="B1022" s="7" t="str">
        <f t="shared" si="174"/>
        <v>978-7-108-05551-4</v>
      </c>
      <c r="C1022" s="7" t="str">
        <f t="shared" si="175"/>
        <v>蛛丝马迹：犯罪现场专家讲述的故事</v>
      </c>
      <c r="D1022" s="7" t="str">
        <f t="shared" si="176"/>
        <v>(美) 康妮·弗莱彻著；毕小青译</v>
      </c>
      <c r="E1022" s="7" t="str">
        <f t="shared" si="172"/>
        <v>三联书店</v>
      </c>
      <c r="F1022" s="7" t="str">
        <f t="shared" si="177"/>
        <v>D918.4/3=2D</v>
      </c>
    </row>
    <row r="1023" customHeight="1" spans="1:6">
      <c r="A1023" s="6">
        <v>1022</v>
      </c>
      <c r="B1023" s="7" t="str">
        <f t="shared" si="174"/>
        <v>978-7-108-05551-4</v>
      </c>
      <c r="C1023" s="7" t="str">
        <f t="shared" si="175"/>
        <v>蛛丝马迹：犯罪现场专家讲述的故事</v>
      </c>
      <c r="D1023" s="7" t="str">
        <f t="shared" si="176"/>
        <v>(美) 康妮·弗莱彻著；毕小青译</v>
      </c>
      <c r="E1023" s="7" t="str">
        <f t="shared" si="172"/>
        <v>三联书店</v>
      </c>
      <c r="F1023" s="7" t="str">
        <f t="shared" si="177"/>
        <v>D918.4/3=2D</v>
      </c>
    </row>
    <row r="1024" customHeight="1" spans="1:6">
      <c r="A1024" s="6">
        <v>1023</v>
      </c>
      <c r="B1024" s="7" t="str">
        <f>"978-7-5710-0179-7"</f>
        <v>978-7-5710-0179-7</v>
      </c>
      <c r="C1024" s="7" t="str">
        <f>"洗冤集錄"</f>
        <v>洗冤集錄</v>
      </c>
      <c r="D1024" s="7" t="str">
        <f>"(宋) 宋慈撰；韓健平校註"</f>
        <v>(宋) 宋慈撰；韓健平校註</v>
      </c>
      <c r="E1024" s="7" t="str">
        <f>"湖南科學技術出版社"</f>
        <v>湖南科學技術出版社</v>
      </c>
      <c r="F1024" s="7" t="str">
        <f>"D919.4/21"</f>
        <v>D919.4/21</v>
      </c>
    </row>
    <row r="1025" customHeight="1" spans="1:6">
      <c r="A1025" s="6">
        <v>1024</v>
      </c>
      <c r="B1025" s="7" t="str">
        <f>"978-7-5710-0179-7"</f>
        <v>978-7-5710-0179-7</v>
      </c>
      <c r="C1025" s="7" t="str">
        <f>"洗冤集錄"</f>
        <v>洗冤集錄</v>
      </c>
      <c r="D1025" s="7" t="str">
        <f>"(宋) 宋慈撰；韓健平校註"</f>
        <v>(宋) 宋慈撰；韓健平校註</v>
      </c>
      <c r="E1025" s="7" t="str">
        <f>"湖南科學技術出版社"</f>
        <v>湖南科學技術出版社</v>
      </c>
      <c r="F1025" s="7" t="str">
        <f>"D919.4/21"</f>
        <v>D919.4/21</v>
      </c>
    </row>
    <row r="1026" customHeight="1" spans="1:6">
      <c r="A1026" s="6">
        <v>1025</v>
      </c>
      <c r="B1026" s="7" t="str">
        <f>"978-7-5217-2695-4"</f>
        <v>978-7-5217-2695-4</v>
      </c>
      <c r="C1026" s="7" t="str">
        <f>"遗骨档案：一位法医人类学家的告白"</f>
        <v>遗骨档案：一位法医人类学家的告白</v>
      </c>
      <c r="D1026" s="7" t="str">
        <f>"李衍蒨著"</f>
        <v>李衍蒨著</v>
      </c>
      <c r="E1026" s="7" t="str">
        <f>"中信出版集团股份有限公司"</f>
        <v>中信出版集团股份有限公司</v>
      </c>
      <c r="F1026" s="7" t="str">
        <f>"D919.6/2"</f>
        <v>D919.6/2</v>
      </c>
    </row>
    <row r="1027" customHeight="1" spans="1:6">
      <c r="A1027" s="6">
        <v>1026</v>
      </c>
      <c r="B1027" s="7" t="str">
        <f>"978-7-5217-2695-4"</f>
        <v>978-7-5217-2695-4</v>
      </c>
      <c r="C1027" s="7" t="str">
        <f>"遗骨档案：一位法医人类学家的告白"</f>
        <v>遗骨档案：一位法医人类学家的告白</v>
      </c>
      <c r="D1027" s="7" t="str">
        <f>"李衍蒨著"</f>
        <v>李衍蒨著</v>
      </c>
      <c r="E1027" s="7" t="str">
        <f>"中信出版集团股份有限公司"</f>
        <v>中信出版集团股份有限公司</v>
      </c>
      <c r="F1027" s="7" t="str">
        <f>"D919.6/2"</f>
        <v>D919.6/2</v>
      </c>
    </row>
    <row r="1028" customHeight="1" spans="1:6">
      <c r="A1028" s="6">
        <v>1027</v>
      </c>
      <c r="B1028" s="7" t="str">
        <f t="shared" ref="B1028:B1030" si="178">"978-7-108-05708-2"</f>
        <v>978-7-108-05708-2</v>
      </c>
      <c r="C1028" s="7" t="str">
        <f t="shared" ref="C1028:C1030" si="179">"证据：历史上最具争议的法医学案例"</f>
        <v>证据：历史上最具争议的法医学案例</v>
      </c>
      <c r="D1028" s="7" t="str">
        <f t="shared" ref="D1028:D1030" si="180">"(美) 科林·埃文斯著；毕小青译"</f>
        <v>(美) 科林·埃文斯著；毕小青译</v>
      </c>
      <c r="E1028" s="7" t="str">
        <f t="shared" ref="E1028:E1030" si="181">"三联书店"</f>
        <v>三联书店</v>
      </c>
      <c r="F1028" s="7" t="str">
        <f t="shared" ref="F1028:F1030" si="182">"D919/16=2D"</f>
        <v>D919/16=2D</v>
      </c>
    </row>
    <row r="1029" customHeight="1" spans="1:6">
      <c r="A1029" s="6">
        <v>1028</v>
      </c>
      <c r="B1029" s="7" t="str">
        <f t="shared" si="178"/>
        <v>978-7-108-05708-2</v>
      </c>
      <c r="C1029" s="7" t="str">
        <f t="shared" si="179"/>
        <v>证据：历史上最具争议的法医学案例</v>
      </c>
      <c r="D1029" s="7" t="str">
        <f t="shared" si="180"/>
        <v>(美) 科林·埃文斯著；毕小青译</v>
      </c>
      <c r="E1029" s="7" t="str">
        <f t="shared" si="181"/>
        <v>三联书店</v>
      </c>
      <c r="F1029" s="7" t="str">
        <f t="shared" si="182"/>
        <v>D919/16=2D</v>
      </c>
    </row>
    <row r="1030" customHeight="1" spans="1:6">
      <c r="A1030" s="6">
        <v>1029</v>
      </c>
      <c r="B1030" s="7" t="str">
        <f t="shared" si="178"/>
        <v>978-7-108-05708-2</v>
      </c>
      <c r="C1030" s="7" t="str">
        <f t="shared" si="179"/>
        <v>证据：历史上最具争议的法医学案例</v>
      </c>
      <c r="D1030" s="7" t="str">
        <f t="shared" si="180"/>
        <v>(美) 科林·埃文斯著；毕小青译</v>
      </c>
      <c r="E1030" s="7" t="str">
        <f t="shared" si="181"/>
        <v>三联书店</v>
      </c>
      <c r="F1030" s="7" t="str">
        <f t="shared" si="182"/>
        <v>D919/16=2D</v>
      </c>
    </row>
    <row r="1031" customHeight="1" spans="1:6">
      <c r="A1031" s="6">
        <v>1030</v>
      </c>
      <c r="B1031" s="7" t="str">
        <f>"978-7-5158-3099-5"</f>
        <v>978-7-5158-3099-5</v>
      </c>
      <c r="C1031" s="7" t="str">
        <f>"一本书读懂法律常识"</f>
        <v>一本书读懂法律常识</v>
      </c>
      <c r="D1031" s="7" t="str">
        <f>"王妙专， 张艳艳编著"</f>
        <v>王妙专， 张艳艳编著</v>
      </c>
      <c r="E1031" s="7" t="str">
        <f>"中华工商联合出版社"</f>
        <v>中华工商联合出版社</v>
      </c>
      <c r="F1031" s="7" t="str">
        <f>"D920.4/247"</f>
        <v>D920.4/247</v>
      </c>
    </row>
    <row r="1032" customHeight="1" spans="1:6">
      <c r="A1032" s="6">
        <v>1031</v>
      </c>
      <c r="B1032" s="7" t="str">
        <f>"978-7-5158-3099-5"</f>
        <v>978-7-5158-3099-5</v>
      </c>
      <c r="C1032" s="7" t="str">
        <f>"一本书读懂法律常识"</f>
        <v>一本书读懂法律常识</v>
      </c>
      <c r="D1032" s="7" t="str">
        <f>"王妙专， 张艳艳编著"</f>
        <v>王妙专， 张艳艳编著</v>
      </c>
      <c r="E1032" s="7" t="str">
        <f>"中华工商联合出版社"</f>
        <v>中华工商联合出版社</v>
      </c>
      <c r="F1032" s="7" t="str">
        <f>"D920.4/247"</f>
        <v>D920.4/247</v>
      </c>
    </row>
    <row r="1033" customHeight="1" spans="1:6">
      <c r="A1033" s="6">
        <v>1032</v>
      </c>
      <c r="B1033" s="7" t="str">
        <f>"978-7-5216-1381-0"</f>
        <v>978-7-5216-1381-0</v>
      </c>
      <c r="C1033" s="7" t="str">
        <f>"爱问法律百科：婚姻家庭、继承必知200问"</f>
        <v>爱问法律百科：婚姻家庭、继承必知200问</v>
      </c>
      <c r="D1033" s="7" t="str">
        <f>"严威著"</f>
        <v>严威著</v>
      </c>
      <c r="E1033" s="7" t="str">
        <f>"中国法制出版社"</f>
        <v>中国法制出版社</v>
      </c>
      <c r="F1033" s="7" t="str">
        <f>"D920.4/248"</f>
        <v>D920.4/248</v>
      </c>
    </row>
    <row r="1034" customHeight="1" spans="1:6">
      <c r="A1034" s="6">
        <v>1033</v>
      </c>
      <c r="B1034" s="7" t="str">
        <f>"978-7-5216-1381-0"</f>
        <v>978-7-5216-1381-0</v>
      </c>
      <c r="C1034" s="7" t="str">
        <f>"爱问法律百科：婚姻家庭、继承必知200问"</f>
        <v>爱问法律百科：婚姻家庭、继承必知200问</v>
      </c>
      <c r="D1034" s="7" t="str">
        <f>"严威著"</f>
        <v>严威著</v>
      </c>
      <c r="E1034" s="7" t="str">
        <f>"中国法制出版社"</f>
        <v>中国法制出版社</v>
      </c>
      <c r="F1034" s="7" t="str">
        <f>"D920.4/248"</f>
        <v>D920.4/248</v>
      </c>
    </row>
    <row r="1035" customHeight="1" spans="1:6">
      <c r="A1035" s="6">
        <v>1034</v>
      </c>
      <c r="B1035" s="8" t="s">
        <v>2149</v>
      </c>
      <c r="C1035" s="8" t="s">
        <v>2150</v>
      </c>
      <c r="D1035" s="8" t="s">
        <v>2151</v>
      </c>
      <c r="E1035" s="8" t="s">
        <v>197</v>
      </c>
      <c r="F1035" s="8" t="s">
        <v>2152</v>
      </c>
    </row>
    <row r="1036" customHeight="1" spans="1:6">
      <c r="A1036" s="6">
        <v>1035</v>
      </c>
      <c r="B1036" s="8" t="s">
        <v>2149</v>
      </c>
      <c r="C1036" s="8" t="s">
        <v>2150</v>
      </c>
      <c r="D1036" s="8" t="s">
        <v>2151</v>
      </c>
      <c r="E1036" s="8" t="s">
        <v>197</v>
      </c>
      <c r="F1036" s="8" t="s">
        <v>2152</v>
      </c>
    </row>
    <row r="1037" customHeight="1" spans="1:6">
      <c r="A1037" s="6">
        <v>1036</v>
      </c>
      <c r="B1037" s="7" t="str">
        <f t="shared" ref="B1037:B1039" si="183">"978-7-5158-3015-5"</f>
        <v>978-7-5158-3015-5</v>
      </c>
      <c r="C1037" s="7" t="str">
        <f t="shared" ref="C1037:C1039" si="184">"法律常识一本全"</f>
        <v>法律常识一本全</v>
      </c>
      <c r="D1037" s="7" t="str">
        <f t="shared" ref="D1037:D1039" si="185">"春之霖编著"</f>
        <v>春之霖编著</v>
      </c>
      <c r="E1037" s="7" t="str">
        <f t="shared" ref="E1037:E1039" si="186">"中华工商联合出版社"</f>
        <v>中华工商联合出版社</v>
      </c>
      <c r="F1037" s="7" t="str">
        <f t="shared" ref="F1037:F1039" si="187">"D920.5/165"</f>
        <v>D920.5/165</v>
      </c>
    </row>
    <row r="1038" customHeight="1" spans="1:6">
      <c r="A1038" s="6">
        <v>1037</v>
      </c>
      <c r="B1038" s="7" t="str">
        <f t="shared" si="183"/>
        <v>978-7-5158-3015-5</v>
      </c>
      <c r="C1038" s="7" t="str">
        <f t="shared" si="184"/>
        <v>法律常识一本全</v>
      </c>
      <c r="D1038" s="7" t="str">
        <f t="shared" si="185"/>
        <v>春之霖编著</v>
      </c>
      <c r="E1038" s="7" t="str">
        <f t="shared" si="186"/>
        <v>中华工商联合出版社</v>
      </c>
      <c r="F1038" s="7" t="str">
        <f t="shared" si="187"/>
        <v>D920.5/165</v>
      </c>
    </row>
    <row r="1039" customHeight="1" spans="1:6">
      <c r="A1039" s="6">
        <v>1038</v>
      </c>
      <c r="B1039" s="7" t="str">
        <f t="shared" si="183"/>
        <v>978-7-5158-3015-5</v>
      </c>
      <c r="C1039" s="7" t="str">
        <f t="shared" si="184"/>
        <v>法律常识一本全</v>
      </c>
      <c r="D1039" s="7" t="str">
        <f t="shared" si="185"/>
        <v>春之霖编著</v>
      </c>
      <c r="E1039" s="7" t="str">
        <f t="shared" si="186"/>
        <v>中华工商联合出版社</v>
      </c>
      <c r="F1039" s="7" t="str">
        <f t="shared" si="187"/>
        <v>D920.5/165</v>
      </c>
    </row>
    <row r="1040" customHeight="1" spans="1:6">
      <c r="A1040" s="6">
        <v>1039</v>
      </c>
      <c r="B1040" s="8" t="s">
        <v>2153</v>
      </c>
      <c r="C1040" s="8" t="s">
        <v>2154</v>
      </c>
      <c r="D1040" s="8" t="s">
        <v>2155</v>
      </c>
      <c r="E1040" s="8" t="s">
        <v>2156</v>
      </c>
      <c r="F1040" s="8" t="s">
        <v>2157</v>
      </c>
    </row>
    <row r="1041" customHeight="1" spans="1:6">
      <c r="A1041" s="6">
        <v>1040</v>
      </c>
      <c r="B1041" s="8" t="s">
        <v>2153</v>
      </c>
      <c r="C1041" s="8" t="s">
        <v>2154</v>
      </c>
      <c r="D1041" s="8" t="s">
        <v>2155</v>
      </c>
      <c r="E1041" s="8" t="s">
        <v>2156</v>
      </c>
      <c r="F1041" s="8" t="s">
        <v>2157</v>
      </c>
    </row>
    <row r="1042" customHeight="1" spans="1:6">
      <c r="A1042" s="6">
        <v>1041</v>
      </c>
      <c r="B1042" s="7" t="str">
        <f>"978-7-5162-2650-6"</f>
        <v>978-7-5162-2650-6</v>
      </c>
      <c r="C1042" s="7" t="str">
        <f>"新编国家安全法律法规汇编"</f>
        <v>新编国家安全法律法规汇编</v>
      </c>
      <c r="D1042" s="7" t="str">
        <f>"中国民主法制出版社编"</f>
        <v>中国民主法制出版社编</v>
      </c>
      <c r="E1042" s="7" t="str">
        <f>"中国民主法制出版社"</f>
        <v>中国民主法制出版社</v>
      </c>
      <c r="F1042" s="7" t="str">
        <f>"D922.149/29"</f>
        <v>D922.149/29</v>
      </c>
    </row>
    <row r="1043" customHeight="1" spans="1:6">
      <c r="A1043" s="6">
        <v>1042</v>
      </c>
      <c r="B1043" s="7" t="str">
        <f>"978-7-5162-2650-6"</f>
        <v>978-7-5162-2650-6</v>
      </c>
      <c r="C1043" s="7" t="str">
        <f>"新编国家安全法律法规汇编"</f>
        <v>新编国家安全法律法规汇编</v>
      </c>
      <c r="D1043" s="7" t="str">
        <f>"中国民主法制出版社编"</f>
        <v>中国民主法制出版社编</v>
      </c>
      <c r="E1043" s="7" t="str">
        <f>"中国民主法制出版社"</f>
        <v>中国民主法制出版社</v>
      </c>
      <c r="F1043" s="7" t="str">
        <f>"D922.149/29"</f>
        <v>D922.149/29</v>
      </c>
    </row>
    <row r="1044" customHeight="1" spans="1:6">
      <c r="A1044" s="6">
        <v>1043</v>
      </c>
      <c r="B1044" s="7" t="str">
        <f t="shared" ref="B1044:B1046" si="188">"978-7-5672-3639-4"</f>
        <v>978-7-5672-3639-4</v>
      </c>
      <c r="C1044" s="7" t="str">
        <f t="shared" ref="C1044:C1046" si="189">"出版法规及其应用"</f>
        <v>出版法规及其应用</v>
      </c>
      <c r="D1044" s="7" t="str">
        <f t="shared" ref="D1044:D1046" si="190">"黄先蓉编著"</f>
        <v>黄先蓉编著</v>
      </c>
      <c r="E1044" s="7" t="str">
        <f t="shared" ref="E1044:E1046" si="191">"苏州大学出版社"</f>
        <v>苏州大学出版社</v>
      </c>
      <c r="F1044" s="7" t="str">
        <f t="shared" ref="F1044:F1046" si="192">"D922.164/56=3D"</f>
        <v>D922.164/56=3D</v>
      </c>
    </row>
    <row r="1045" customHeight="1" spans="1:6">
      <c r="A1045" s="6">
        <v>1044</v>
      </c>
      <c r="B1045" s="7" t="str">
        <f t="shared" si="188"/>
        <v>978-7-5672-3639-4</v>
      </c>
      <c r="C1045" s="7" t="str">
        <f t="shared" si="189"/>
        <v>出版法规及其应用</v>
      </c>
      <c r="D1045" s="7" t="str">
        <f t="shared" si="190"/>
        <v>黄先蓉编著</v>
      </c>
      <c r="E1045" s="7" t="str">
        <f t="shared" si="191"/>
        <v>苏州大学出版社</v>
      </c>
      <c r="F1045" s="7" t="str">
        <f t="shared" si="192"/>
        <v>D922.164/56=3D</v>
      </c>
    </row>
    <row r="1046" customHeight="1" spans="1:6">
      <c r="A1046" s="6">
        <v>1045</v>
      </c>
      <c r="B1046" s="7" t="str">
        <f t="shared" si="188"/>
        <v>978-7-5672-3639-4</v>
      </c>
      <c r="C1046" s="7" t="str">
        <f t="shared" si="189"/>
        <v>出版法规及其应用</v>
      </c>
      <c r="D1046" s="7" t="str">
        <f t="shared" si="190"/>
        <v>黄先蓉编著</v>
      </c>
      <c r="E1046" s="7" t="str">
        <f t="shared" si="191"/>
        <v>苏州大学出版社</v>
      </c>
      <c r="F1046" s="7" t="str">
        <f t="shared" si="192"/>
        <v>D922.164/56=3D</v>
      </c>
    </row>
    <row r="1047" customHeight="1" spans="1:6">
      <c r="A1047" s="6">
        <v>1046</v>
      </c>
      <c r="B1047" s="7" t="str">
        <f>"978-7-5223-0332-1"</f>
        <v>978-7-5223-0332-1</v>
      </c>
      <c r="C1047" s="7" t="str">
        <f>"税法"</f>
        <v>税法</v>
      </c>
      <c r="D1047" s="7" t="str">
        <f t="shared" ref="D1047:D1051" si="193">"中国注册会计师协会组织编写"</f>
        <v>中国注册会计师协会组织编写</v>
      </c>
      <c r="E1047" s="7" t="str">
        <f t="shared" ref="E1047:E1051" si="194">"中国财政经济出版社"</f>
        <v>中国财政经济出版社</v>
      </c>
      <c r="F1047" s="7" t="str">
        <f>"D922.22/33/2021"</f>
        <v>D922.22/33/2021</v>
      </c>
    </row>
    <row r="1048" customHeight="1" spans="1:6">
      <c r="A1048" s="6">
        <v>1047</v>
      </c>
      <c r="B1048" s="7" t="str">
        <f>"978-7-5223-0332-1"</f>
        <v>978-7-5223-0332-1</v>
      </c>
      <c r="C1048" s="7" t="str">
        <f>"税法"</f>
        <v>税法</v>
      </c>
      <c r="D1048" s="7" t="str">
        <f t="shared" si="193"/>
        <v>中国注册会计师协会组织编写</v>
      </c>
      <c r="E1048" s="7" t="str">
        <f t="shared" si="194"/>
        <v>中国财政经济出版社</v>
      </c>
      <c r="F1048" s="7" t="str">
        <f>"D922.22/33/2021"</f>
        <v>D922.22/33/2021</v>
      </c>
    </row>
    <row r="1049" customHeight="1" spans="1:6">
      <c r="A1049" s="6">
        <v>1048</v>
      </c>
      <c r="B1049" s="8" t="s">
        <v>2158</v>
      </c>
      <c r="C1049" s="8" t="s">
        <v>2159</v>
      </c>
      <c r="D1049" s="8" t="s">
        <v>2160</v>
      </c>
      <c r="E1049" s="8" t="s">
        <v>2161</v>
      </c>
      <c r="F1049" s="8" t="s">
        <v>2162</v>
      </c>
    </row>
    <row r="1050" customHeight="1" spans="1:6">
      <c r="A1050" s="6">
        <v>1049</v>
      </c>
      <c r="B1050" s="7" t="str">
        <f>"978-7-5223-0331-4"</f>
        <v>978-7-5223-0331-4</v>
      </c>
      <c r="C1050" s="7" t="str">
        <f>"经济法"</f>
        <v>经济法</v>
      </c>
      <c r="D1050" s="7" t="str">
        <f t="shared" si="193"/>
        <v>中国注册会计师协会组织编写</v>
      </c>
      <c r="E1050" s="7" t="str">
        <f t="shared" si="194"/>
        <v>中国财政经济出版社</v>
      </c>
      <c r="F1050" s="7" t="str">
        <f>"D922.29/79/2021"</f>
        <v>D922.29/79/2021</v>
      </c>
    </row>
    <row r="1051" customHeight="1" spans="1:6">
      <c r="A1051" s="6">
        <v>1050</v>
      </c>
      <c r="B1051" s="7" t="str">
        <f>"978-7-5223-0331-4"</f>
        <v>978-7-5223-0331-4</v>
      </c>
      <c r="C1051" s="7" t="str">
        <f>"经济法"</f>
        <v>经济法</v>
      </c>
      <c r="D1051" s="7" t="str">
        <f t="shared" si="193"/>
        <v>中国注册会计师协会组织编写</v>
      </c>
      <c r="E1051" s="7" t="str">
        <f t="shared" si="194"/>
        <v>中国财政经济出版社</v>
      </c>
      <c r="F1051" s="7" t="str">
        <f>"D922.29/79/2021"</f>
        <v>D922.29/79/2021</v>
      </c>
    </row>
    <row r="1052" customHeight="1" spans="1:6">
      <c r="A1052" s="6">
        <v>1051</v>
      </c>
      <c r="B1052" s="7" t="str">
        <f>"978-7-113-27574-7"</f>
        <v>978-7-113-27574-7</v>
      </c>
      <c r="C1052" s="7" t="str">
        <f>"企业人力资源法律风险防范实操一本通"</f>
        <v>企业人力资源法律风险防范实操一本通</v>
      </c>
      <c r="D1052" s="7" t="str">
        <f>"邱云生编著"</f>
        <v>邱云生编著</v>
      </c>
      <c r="E1052" s="7" t="str">
        <f>"中国铁道出版社有限公司"</f>
        <v>中国铁道出版社有限公司</v>
      </c>
      <c r="F1052" s="7" t="str">
        <f>"D922.504/60"</f>
        <v>D922.504/60</v>
      </c>
    </row>
    <row r="1053" customHeight="1" spans="1:6">
      <c r="A1053" s="6">
        <v>1052</v>
      </c>
      <c r="B1053" s="7" t="str">
        <f>"978-7-113-27574-7"</f>
        <v>978-7-113-27574-7</v>
      </c>
      <c r="C1053" s="7" t="str">
        <f>"企业人力资源法律风险防范实操一本通"</f>
        <v>企业人力资源法律风险防范实操一本通</v>
      </c>
      <c r="D1053" s="7" t="str">
        <f>"邱云生编著"</f>
        <v>邱云生编著</v>
      </c>
      <c r="E1053" s="7" t="str">
        <f>"中国铁道出版社有限公司"</f>
        <v>中国铁道出版社有限公司</v>
      </c>
      <c r="F1053" s="7" t="str">
        <f>"D922.504/60"</f>
        <v>D922.504/60</v>
      </c>
    </row>
    <row r="1054" customHeight="1" spans="1:6">
      <c r="A1054" s="6">
        <v>1053</v>
      </c>
      <c r="B1054" s="8" t="s">
        <v>2163</v>
      </c>
      <c r="C1054" s="8" t="s">
        <v>2164</v>
      </c>
      <c r="D1054" s="8" t="s">
        <v>2165</v>
      </c>
      <c r="E1054" s="8" t="s">
        <v>298</v>
      </c>
      <c r="F1054" s="8" t="s">
        <v>2166</v>
      </c>
    </row>
    <row r="1055" customHeight="1" spans="1:6">
      <c r="A1055" s="6">
        <v>1054</v>
      </c>
      <c r="B1055" s="8" t="s">
        <v>2163</v>
      </c>
      <c r="C1055" s="8" t="s">
        <v>2164</v>
      </c>
      <c r="D1055" s="8" t="s">
        <v>2165</v>
      </c>
      <c r="E1055" s="8" t="s">
        <v>298</v>
      </c>
      <c r="F1055" s="8" t="s">
        <v>2166</v>
      </c>
    </row>
    <row r="1056" customHeight="1" spans="1:6">
      <c r="A1056" s="6">
        <v>1055</v>
      </c>
      <c r="B1056" s="7" t="str">
        <f t="shared" ref="B1056:B1058" si="195">"978-7-5680-7539-8"</f>
        <v>978-7-5680-7539-8</v>
      </c>
      <c r="C1056" s="7" t="str">
        <f t="shared" ref="C1056:C1058" si="196">"劳动合同纠纷101问"</f>
        <v>劳动合同纠纷101问</v>
      </c>
      <c r="D1056" s="7" t="str">
        <f t="shared" ref="D1056:D1058" si="197">"戴福编著"</f>
        <v>戴福编著</v>
      </c>
      <c r="E1056" s="7" t="str">
        <f t="shared" ref="E1056:E1058" si="198">"华中科技大学出版社"</f>
        <v>华中科技大学出版社</v>
      </c>
      <c r="F1056" s="7" t="str">
        <f t="shared" ref="F1056:F1058" si="199">"D922.524/35"</f>
        <v>D922.524/35</v>
      </c>
    </row>
    <row r="1057" customHeight="1" spans="1:6">
      <c r="A1057" s="6">
        <v>1056</v>
      </c>
      <c r="B1057" s="7" t="str">
        <f t="shared" si="195"/>
        <v>978-7-5680-7539-8</v>
      </c>
      <c r="C1057" s="7" t="str">
        <f t="shared" si="196"/>
        <v>劳动合同纠纷101问</v>
      </c>
      <c r="D1057" s="7" t="str">
        <f t="shared" si="197"/>
        <v>戴福编著</v>
      </c>
      <c r="E1057" s="7" t="str">
        <f t="shared" si="198"/>
        <v>华中科技大学出版社</v>
      </c>
      <c r="F1057" s="7" t="str">
        <f t="shared" si="199"/>
        <v>D922.524/35</v>
      </c>
    </row>
    <row r="1058" customHeight="1" spans="1:6">
      <c r="A1058" s="6">
        <v>1057</v>
      </c>
      <c r="B1058" s="7" t="str">
        <f t="shared" si="195"/>
        <v>978-7-5680-7539-8</v>
      </c>
      <c r="C1058" s="7" t="str">
        <f t="shared" si="196"/>
        <v>劳动合同纠纷101问</v>
      </c>
      <c r="D1058" s="7" t="str">
        <f t="shared" si="197"/>
        <v>戴福编著</v>
      </c>
      <c r="E1058" s="7" t="str">
        <f t="shared" si="198"/>
        <v>华中科技大学出版社</v>
      </c>
      <c r="F1058" s="7" t="str">
        <f t="shared" si="199"/>
        <v>D922.524/35</v>
      </c>
    </row>
    <row r="1059" customHeight="1" spans="1:6">
      <c r="A1059" s="6">
        <v>1058</v>
      </c>
      <c r="B1059" s="7" t="str">
        <f>"978-7-208-16338-6"</f>
        <v>978-7-208-16338-6</v>
      </c>
      <c r="C1059" s="7" t="str">
        <f>"民法典与日常生活"</f>
        <v>民法典与日常生活</v>
      </c>
      <c r="D1059" s="7" t="str">
        <f>"彭诚信主编"</f>
        <v>彭诚信主编</v>
      </c>
      <c r="E1059" s="7" t="str">
        <f>"上海人民出版社"</f>
        <v>上海人民出版社</v>
      </c>
      <c r="F1059" s="7" t="str">
        <f>"D923.04/69"</f>
        <v>D923.04/69</v>
      </c>
    </row>
    <row r="1060" customHeight="1" spans="1:6">
      <c r="A1060" s="6">
        <v>1059</v>
      </c>
      <c r="B1060" s="7" t="str">
        <f>"978-7-208-16338-6"</f>
        <v>978-7-208-16338-6</v>
      </c>
      <c r="C1060" s="7" t="str">
        <f>"民法典与日常生活"</f>
        <v>民法典与日常生活</v>
      </c>
      <c r="D1060" s="7" t="str">
        <f>"彭诚信主编"</f>
        <v>彭诚信主编</v>
      </c>
      <c r="E1060" s="7" t="str">
        <f>"上海人民出版社"</f>
        <v>上海人民出版社</v>
      </c>
      <c r="F1060" s="7" t="str">
        <f>"D923.04/69"</f>
        <v>D923.04/69</v>
      </c>
    </row>
    <row r="1061" customHeight="1" spans="1:6">
      <c r="A1061" s="6">
        <v>1060</v>
      </c>
      <c r="B1061" s="7" t="str">
        <f>"978-7-100-19842-4"</f>
        <v>978-7-100-19842-4</v>
      </c>
      <c r="C1061" s="7" t="str">
        <f>"民商法精论"</f>
        <v>民商法精论</v>
      </c>
      <c r="D1061" s="7" t="str">
        <f>"王利明著"</f>
        <v>王利明著</v>
      </c>
      <c r="E1061" s="7" t="str">
        <f>"商务印书馆"</f>
        <v>商务印书馆</v>
      </c>
      <c r="F1061" s="7" t="str">
        <f>"D923.04/70"</f>
        <v>D923.04/70</v>
      </c>
    </row>
    <row r="1062" customHeight="1" spans="1:6">
      <c r="A1062" s="6">
        <v>1061</v>
      </c>
      <c r="B1062" s="7" t="str">
        <f>"978-7-5130-7484-1"</f>
        <v>978-7-5130-7484-1</v>
      </c>
      <c r="C1062" s="7" t="str">
        <f>"知识产权法律制度反思与完善：法理·立法·司法"</f>
        <v>知识产权法律制度反思与完善：法理·立法·司法</v>
      </c>
      <c r="D1062" s="7" t="str">
        <f>"冯晓青著"</f>
        <v>冯晓青著</v>
      </c>
      <c r="E1062" s="7" t="str">
        <f>"知识产权出版社"</f>
        <v>知识产权出版社</v>
      </c>
      <c r="F1062" s="7" t="str">
        <f>"D923.404/99"</f>
        <v>D923.404/99</v>
      </c>
    </row>
    <row r="1063" customHeight="1" spans="1:6">
      <c r="A1063" s="6">
        <v>1062</v>
      </c>
      <c r="B1063" s="7" t="str">
        <f>"978-7-5130-7484-1"</f>
        <v>978-7-5130-7484-1</v>
      </c>
      <c r="C1063" s="7" t="str">
        <f>"知识产权法律制度反思与完善：法理·立法·司法"</f>
        <v>知识产权法律制度反思与完善：法理·立法·司法</v>
      </c>
      <c r="D1063" s="7" t="str">
        <f>"冯晓青著"</f>
        <v>冯晓青著</v>
      </c>
      <c r="E1063" s="7" t="str">
        <f>"知识产权出版社"</f>
        <v>知识产权出版社</v>
      </c>
      <c r="F1063" s="7" t="str">
        <f>"D923.404/99"</f>
        <v>D923.404/99</v>
      </c>
    </row>
    <row r="1064" customHeight="1" spans="1:6">
      <c r="A1064" s="6">
        <v>1063</v>
      </c>
      <c r="B1064" s="7" t="str">
        <f t="shared" ref="B1064:B1066" si="200">"978-7-121-41925-6"</f>
        <v>978-7-121-41925-6</v>
      </c>
      <c r="C1064" s="7" t="str">
        <f t="shared" ref="C1064:C1066" si="201">"电子商务法律法规"</f>
        <v>电子商务法律法规</v>
      </c>
      <c r="D1064" s="7" t="str">
        <f t="shared" ref="D1064:D1066" si="202">"孔令秋， 郭海霞主编"</f>
        <v>孔令秋， 郭海霞主编</v>
      </c>
      <c r="E1064" s="7" t="str">
        <f t="shared" ref="E1064:E1066" si="203">"电子工业出版社"</f>
        <v>电子工业出版社</v>
      </c>
      <c r="F1064" s="7" t="str">
        <f t="shared" ref="F1064:F1066" si="204">"D923.990.1/5=3D"</f>
        <v>D923.990.1/5=3D</v>
      </c>
    </row>
    <row r="1065" customHeight="1" spans="1:6">
      <c r="A1065" s="6">
        <v>1064</v>
      </c>
      <c r="B1065" s="7" t="str">
        <f t="shared" si="200"/>
        <v>978-7-121-41925-6</v>
      </c>
      <c r="C1065" s="7" t="str">
        <f t="shared" si="201"/>
        <v>电子商务法律法规</v>
      </c>
      <c r="D1065" s="7" t="str">
        <f t="shared" si="202"/>
        <v>孔令秋， 郭海霞主编</v>
      </c>
      <c r="E1065" s="7" t="str">
        <f t="shared" si="203"/>
        <v>电子工业出版社</v>
      </c>
      <c r="F1065" s="7" t="str">
        <f t="shared" si="204"/>
        <v>D923.990.1/5=3D</v>
      </c>
    </row>
    <row r="1066" customHeight="1" spans="1:6">
      <c r="A1066" s="6">
        <v>1065</v>
      </c>
      <c r="B1066" s="7" t="str">
        <f t="shared" si="200"/>
        <v>978-7-121-41925-6</v>
      </c>
      <c r="C1066" s="7" t="str">
        <f t="shared" si="201"/>
        <v>电子商务法律法规</v>
      </c>
      <c r="D1066" s="7" t="str">
        <f t="shared" si="202"/>
        <v>孔令秋， 郭海霞主编</v>
      </c>
      <c r="E1066" s="7" t="str">
        <f t="shared" si="203"/>
        <v>电子工业出版社</v>
      </c>
      <c r="F1066" s="7" t="str">
        <f t="shared" si="204"/>
        <v>D923.990.1/5=3D</v>
      </c>
    </row>
    <row r="1067" customHeight="1" spans="1:6">
      <c r="A1067" s="6">
        <v>1066</v>
      </c>
      <c r="B1067" s="7" t="str">
        <f>"978-7-5598-3083-8"</f>
        <v>978-7-5598-3083-8</v>
      </c>
      <c r="C1067" s="7" t="str">
        <f>"汉唐法制与儒家传统"</f>
        <v>汉唐法制与儒家传统</v>
      </c>
      <c r="D1067" s="7" t="str">
        <f>"黄源盛著"</f>
        <v>黄源盛著</v>
      </c>
      <c r="E1067" s="7" t="str">
        <f>"广西师范大学出版社"</f>
        <v>广西师范大学出版社</v>
      </c>
      <c r="F1067" s="7" t="str">
        <f>"D929.34/2=D"</f>
        <v>D929.34/2=D</v>
      </c>
    </row>
    <row r="1068" customHeight="1" spans="1:6">
      <c r="A1068" s="6">
        <v>1067</v>
      </c>
      <c r="B1068" s="7" t="str">
        <f t="shared" ref="B1068:B1070" si="205">"978-7-108-06709-8"</f>
        <v>978-7-108-06709-8</v>
      </c>
      <c r="C1068" s="7" t="str">
        <f t="shared" ref="C1068:C1070" si="206">"从司法为民到大众司法：陕甘宁边区大众化司法制度研究：1937-1949"</f>
        <v>从司法为民到大众司法：陕甘宁边区大众化司法制度研究：1937-1949</v>
      </c>
      <c r="D1068" s="7" t="str">
        <f t="shared" ref="D1068:D1070" si="207">"侯欣一著"</f>
        <v>侯欣一著</v>
      </c>
      <c r="E1068" s="7" t="str">
        <f t="shared" ref="E1068:E1070" si="208">"三联书店"</f>
        <v>三联书店</v>
      </c>
      <c r="F1068" s="7" t="str">
        <f t="shared" ref="F1068:F1070" si="209">"D929.6/14=D"</f>
        <v>D929.6/14=D</v>
      </c>
    </row>
    <row r="1069" customHeight="1" spans="1:6">
      <c r="A1069" s="6">
        <v>1068</v>
      </c>
      <c r="B1069" s="7" t="str">
        <f t="shared" si="205"/>
        <v>978-7-108-06709-8</v>
      </c>
      <c r="C1069" s="7" t="str">
        <f t="shared" si="206"/>
        <v>从司法为民到大众司法：陕甘宁边区大众化司法制度研究：1937-1949</v>
      </c>
      <c r="D1069" s="7" t="str">
        <f t="shared" si="207"/>
        <v>侯欣一著</v>
      </c>
      <c r="E1069" s="7" t="str">
        <f t="shared" si="208"/>
        <v>三联书店</v>
      </c>
      <c r="F1069" s="7" t="str">
        <f t="shared" si="209"/>
        <v>D929.6/14=D</v>
      </c>
    </row>
    <row r="1070" customHeight="1" spans="1:6">
      <c r="A1070" s="6">
        <v>1069</v>
      </c>
      <c r="B1070" s="7" t="str">
        <f t="shared" si="205"/>
        <v>978-7-108-06709-8</v>
      </c>
      <c r="C1070" s="7" t="str">
        <f t="shared" si="206"/>
        <v>从司法为民到大众司法：陕甘宁边区大众化司法制度研究：1937-1949</v>
      </c>
      <c r="D1070" s="7" t="str">
        <f t="shared" si="207"/>
        <v>侯欣一著</v>
      </c>
      <c r="E1070" s="7" t="str">
        <f t="shared" si="208"/>
        <v>三联书店</v>
      </c>
      <c r="F1070" s="7" t="str">
        <f t="shared" si="209"/>
        <v>D929.6/14=D</v>
      </c>
    </row>
    <row r="1071" customHeight="1" spans="1:6">
      <c r="A1071" s="6">
        <v>1070</v>
      </c>
      <c r="B1071" s="7" t="str">
        <f t="shared" ref="B1071:B1073" si="210">"978-7-5642-3784-4"</f>
        <v>978-7-5642-3784-4</v>
      </c>
      <c r="C1071" s="7" t="str">
        <f t="shared" ref="C1071:C1073" si="211">"国际商法：理论·实务·案例·实训"</f>
        <v>国际商法：理论·实务·案例·实训</v>
      </c>
      <c r="D1071" s="7" t="str">
        <f t="shared" ref="D1071:D1073" si="212">"王玉春， 李贺， 张敏主编"</f>
        <v>王玉春， 李贺， 张敏主编</v>
      </c>
      <c r="E1071" s="7" t="str">
        <f t="shared" ref="E1071:E1073" si="213">"上海财经大学出版社"</f>
        <v>上海财经大学出版社</v>
      </c>
      <c r="F1071" s="7" t="str">
        <f t="shared" ref="F1071:F1073" si="214">"D996.1/107=2D"</f>
        <v>D996.1/107=2D</v>
      </c>
    </row>
    <row r="1072" customHeight="1" spans="1:6">
      <c r="A1072" s="6">
        <v>1071</v>
      </c>
      <c r="B1072" s="7" t="str">
        <f t="shared" si="210"/>
        <v>978-7-5642-3784-4</v>
      </c>
      <c r="C1072" s="7" t="str">
        <f t="shared" si="211"/>
        <v>国际商法：理论·实务·案例·实训</v>
      </c>
      <c r="D1072" s="7" t="str">
        <f t="shared" si="212"/>
        <v>王玉春， 李贺， 张敏主编</v>
      </c>
      <c r="E1072" s="7" t="str">
        <f t="shared" si="213"/>
        <v>上海财经大学出版社</v>
      </c>
      <c r="F1072" s="7" t="str">
        <f t="shared" si="214"/>
        <v>D996.1/107=2D</v>
      </c>
    </row>
    <row r="1073" customHeight="1" spans="1:6">
      <c r="A1073" s="6">
        <v>1072</v>
      </c>
      <c r="B1073" s="7" t="str">
        <f t="shared" si="210"/>
        <v>978-7-5642-3784-4</v>
      </c>
      <c r="C1073" s="7" t="str">
        <f t="shared" si="211"/>
        <v>国际商法：理论·实务·案例·实训</v>
      </c>
      <c r="D1073" s="7" t="str">
        <f t="shared" si="212"/>
        <v>王玉春， 李贺， 张敏主编</v>
      </c>
      <c r="E1073" s="7" t="str">
        <f t="shared" si="213"/>
        <v>上海财经大学出版社</v>
      </c>
      <c r="F1073" s="7" t="str">
        <f t="shared" si="214"/>
        <v>D996.1/107=2D</v>
      </c>
    </row>
    <row r="1074" customHeight="1" spans="1:6">
      <c r="A1074" s="6">
        <v>1073</v>
      </c>
      <c r="B1074" s="7" t="str">
        <f>"978-7-81140-175-2"</f>
        <v>978-7-81140-175-2</v>
      </c>
      <c r="C1074" s="7" t="str">
        <f>"国际商法"</f>
        <v>国际商法</v>
      </c>
      <c r="D1074" s="7" t="str">
        <f>"沈益平， 裴蓓编著"</f>
        <v>沈益平， 裴蓓编著</v>
      </c>
      <c r="E1074" s="7" t="str">
        <f>"浙江工商大学出版社"</f>
        <v>浙江工商大学出版社</v>
      </c>
      <c r="F1074" s="7" t="str">
        <f>"D996.1/108"</f>
        <v>D996.1/108</v>
      </c>
    </row>
    <row r="1075" customHeight="1" spans="1:6">
      <c r="A1075" s="6">
        <v>1074</v>
      </c>
      <c r="B1075" s="7" t="str">
        <f>"978-7-81140-175-2"</f>
        <v>978-7-81140-175-2</v>
      </c>
      <c r="C1075" s="7" t="str">
        <f>"国际商法"</f>
        <v>国际商法</v>
      </c>
      <c r="D1075" s="7" t="str">
        <f>"沈益平， 裴蓓编著"</f>
        <v>沈益平， 裴蓓编著</v>
      </c>
      <c r="E1075" s="7" t="str">
        <f>"浙江工商大学出版社"</f>
        <v>浙江工商大学出版社</v>
      </c>
      <c r="F1075" s="7" t="str">
        <f>"D996.1/108"</f>
        <v>D996.1/108</v>
      </c>
    </row>
  </sheetData>
  <pageMargins left="0.75" right="0.75" top="1" bottom="1" header="0.5" footer="0.5"/>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92D050"/>
  </sheetPr>
  <dimension ref="A1:F3180"/>
  <sheetViews>
    <sheetView workbookViewId="0">
      <selection activeCell="C19" sqref="C19"/>
    </sheetView>
  </sheetViews>
  <sheetFormatPr defaultColWidth="9" defaultRowHeight="18" customHeight="1" outlineLevelCol="5"/>
  <cols>
    <col min="1" max="1" width="5.375" style="12" customWidth="1"/>
    <col min="2" max="2" width="19.375" customWidth="1"/>
    <col min="3" max="3" width="45.625" customWidth="1"/>
    <col min="4" max="4" width="35.625" customWidth="1"/>
    <col min="5" max="5" width="38.25" customWidth="1"/>
    <col min="6" max="6" width="26" customWidth="1"/>
  </cols>
  <sheetData>
    <row r="1" s="2" customFormat="1" customHeight="1" spans="1:6">
      <c r="A1" s="15" t="str">
        <f>"序号"</f>
        <v>序号</v>
      </c>
      <c r="B1" s="15" t="str">
        <f>"ISBN"</f>
        <v>ISBN</v>
      </c>
      <c r="C1" s="15" t="str">
        <f>"题名"</f>
        <v>题名</v>
      </c>
      <c r="D1" s="15" t="str">
        <f>"责任者"</f>
        <v>责任者</v>
      </c>
      <c r="E1" s="15" t="str">
        <f>"出版社"</f>
        <v>出版社</v>
      </c>
      <c r="F1" s="15" t="str">
        <f>"索取号"</f>
        <v>索取号</v>
      </c>
    </row>
    <row r="2" customHeight="1" spans="1:6">
      <c r="A2" s="6">
        <v>1</v>
      </c>
      <c r="B2" s="8" t="s">
        <v>2167</v>
      </c>
      <c r="C2" s="8" t="s">
        <v>2168</v>
      </c>
      <c r="D2" s="8" t="s">
        <v>2169</v>
      </c>
      <c r="E2" s="8" t="s">
        <v>189</v>
      </c>
      <c r="F2" s="8" t="s">
        <v>2170</v>
      </c>
    </row>
    <row r="3" customHeight="1" spans="1:6">
      <c r="A3" s="6">
        <v>2</v>
      </c>
      <c r="B3" s="8" t="s">
        <v>2167</v>
      </c>
      <c r="C3" s="8" t="s">
        <v>2168</v>
      </c>
      <c r="D3" s="8" t="s">
        <v>2169</v>
      </c>
      <c r="E3" s="8" t="s">
        <v>189</v>
      </c>
      <c r="F3" s="8" t="s">
        <v>2170</v>
      </c>
    </row>
    <row r="4" customHeight="1" spans="1:6">
      <c r="A4" s="6">
        <v>3</v>
      </c>
      <c r="B4" s="7" t="str">
        <f>"978-7-301-31297-1"</f>
        <v>978-7-301-31297-1</v>
      </c>
      <c r="C4" s="7" t="str">
        <f>"经济学原理．微观经济学分册"</f>
        <v>经济学原理．微观经济学分册</v>
      </c>
      <c r="D4" s="7" t="str">
        <f t="shared" ref="D4:D7" si="0">"(美) N.格里高利·曼昆著N. Gregory Mankiw；梁小民， 梁砾译"</f>
        <v>(美) N.格里高利·曼昆著N. Gregory Mankiw；梁小民， 梁砾译</v>
      </c>
      <c r="E4" s="7" t="str">
        <f t="shared" ref="E4:E7" si="1">"北京大学出版社"</f>
        <v>北京大学出版社</v>
      </c>
      <c r="F4" s="7" t="str">
        <f>"F0/86-4/1"</f>
        <v>F0/86-4/1</v>
      </c>
    </row>
    <row r="5" customHeight="1" spans="1:6">
      <c r="A5" s="6">
        <v>4</v>
      </c>
      <c r="B5" s="7" t="str">
        <f>"978-7-301-31297-1"</f>
        <v>978-7-301-31297-1</v>
      </c>
      <c r="C5" s="7" t="str">
        <f>"经济学原理．微观经济学分册"</f>
        <v>经济学原理．微观经济学分册</v>
      </c>
      <c r="D5" s="7" t="str">
        <f t="shared" si="0"/>
        <v>(美) N.格里高利·曼昆著N. Gregory Mankiw；梁小民， 梁砾译</v>
      </c>
      <c r="E5" s="7" t="str">
        <f t="shared" si="1"/>
        <v>北京大学出版社</v>
      </c>
      <c r="F5" s="7" t="str">
        <f>"F0/86-4/1"</f>
        <v>F0/86-4/1</v>
      </c>
    </row>
    <row r="6" customHeight="1" spans="1:6">
      <c r="A6" s="6">
        <v>5</v>
      </c>
      <c r="B6" s="7" t="str">
        <f>"978-7-301-31298-8"</f>
        <v>978-7-301-31298-8</v>
      </c>
      <c r="C6" s="7" t="str">
        <f>"经济学原理．宏观经济学分册"</f>
        <v>经济学原理．宏观经济学分册</v>
      </c>
      <c r="D6" s="7" t="str">
        <f t="shared" si="0"/>
        <v>(美) N.格里高利·曼昆著N. Gregory Mankiw；梁小民， 梁砾译</v>
      </c>
      <c r="E6" s="7" t="str">
        <f t="shared" si="1"/>
        <v>北京大学出版社</v>
      </c>
      <c r="F6" s="7" t="str">
        <f>"F0/86-4/2"</f>
        <v>F0/86-4/2</v>
      </c>
    </row>
    <row r="7" customHeight="1" spans="1:6">
      <c r="A7" s="6">
        <v>6</v>
      </c>
      <c r="B7" s="7" t="str">
        <f>"978-7-301-31298-8"</f>
        <v>978-7-301-31298-8</v>
      </c>
      <c r="C7" s="7" t="str">
        <f>"经济学原理．宏观经济学分册"</f>
        <v>经济学原理．宏观经济学分册</v>
      </c>
      <c r="D7" s="7" t="str">
        <f t="shared" si="0"/>
        <v>(美) N.格里高利·曼昆著N. Gregory Mankiw；梁小民， 梁砾译</v>
      </c>
      <c r="E7" s="7" t="str">
        <f t="shared" si="1"/>
        <v>北京大学出版社</v>
      </c>
      <c r="F7" s="7" t="str">
        <f>"F0/86-4/2"</f>
        <v>F0/86-4/2</v>
      </c>
    </row>
    <row r="8" customHeight="1" spans="1:6">
      <c r="A8" s="6">
        <v>7</v>
      </c>
      <c r="B8" s="8" t="s">
        <v>2171</v>
      </c>
      <c r="C8" s="8" t="s">
        <v>2172</v>
      </c>
      <c r="D8" s="8" t="s">
        <v>2173</v>
      </c>
      <c r="E8" s="8" t="s">
        <v>360</v>
      </c>
      <c r="F8" s="8" t="s">
        <v>2174</v>
      </c>
    </row>
    <row r="9" customHeight="1" spans="1:6">
      <c r="A9" s="6">
        <v>8</v>
      </c>
      <c r="B9" s="8" t="s">
        <v>2171</v>
      </c>
      <c r="C9" s="8" t="s">
        <v>2172</v>
      </c>
      <c r="D9" s="8" t="s">
        <v>2173</v>
      </c>
      <c r="E9" s="8" t="s">
        <v>360</v>
      </c>
      <c r="F9" s="8" t="s">
        <v>2174</v>
      </c>
    </row>
    <row r="10" customHeight="1" spans="1:6">
      <c r="A10" s="6">
        <v>9</v>
      </c>
      <c r="B10" s="8" t="s">
        <v>2175</v>
      </c>
      <c r="C10" s="8" t="s">
        <v>2176</v>
      </c>
      <c r="D10" s="8" t="s">
        <v>2177</v>
      </c>
      <c r="E10" s="8" t="s">
        <v>270</v>
      </c>
      <c r="F10" s="8" t="s">
        <v>2178</v>
      </c>
    </row>
    <row r="11" customHeight="1" spans="1:6">
      <c r="A11" s="6">
        <v>10</v>
      </c>
      <c r="B11" s="8" t="s">
        <v>2175</v>
      </c>
      <c r="C11" s="8" t="s">
        <v>2176</v>
      </c>
      <c r="D11" s="8" t="s">
        <v>2177</v>
      </c>
      <c r="E11" s="8" t="s">
        <v>270</v>
      </c>
      <c r="F11" s="8" t="s">
        <v>2178</v>
      </c>
    </row>
    <row r="12" customHeight="1" spans="1:6">
      <c r="A12" s="6">
        <v>11</v>
      </c>
      <c r="B12" s="8" t="s">
        <v>2175</v>
      </c>
      <c r="C12" s="8" t="s">
        <v>2176</v>
      </c>
      <c r="D12" s="8" t="s">
        <v>2177</v>
      </c>
      <c r="E12" s="8" t="s">
        <v>270</v>
      </c>
      <c r="F12" s="8" t="s">
        <v>2178</v>
      </c>
    </row>
    <row r="13" customHeight="1" spans="1:6">
      <c r="A13" s="6">
        <v>12</v>
      </c>
      <c r="B13" s="8" t="s">
        <v>2179</v>
      </c>
      <c r="C13" s="8" t="s">
        <v>2180</v>
      </c>
      <c r="D13" s="8" t="s">
        <v>2181</v>
      </c>
      <c r="E13" s="8" t="s">
        <v>360</v>
      </c>
      <c r="F13" s="8" t="s">
        <v>2182</v>
      </c>
    </row>
    <row r="14" customHeight="1" spans="1:6">
      <c r="A14" s="6">
        <v>13</v>
      </c>
      <c r="B14" s="8" t="s">
        <v>2179</v>
      </c>
      <c r="C14" s="8" t="s">
        <v>2180</v>
      </c>
      <c r="D14" s="8" t="s">
        <v>2181</v>
      </c>
      <c r="E14" s="8" t="s">
        <v>360</v>
      </c>
      <c r="F14" s="8" t="s">
        <v>2182</v>
      </c>
    </row>
    <row r="15" customHeight="1" spans="1:6">
      <c r="A15" s="6">
        <v>14</v>
      </c>
      <c r="B15" s="8" t="s">
        <v>2183</v>
      </c>
      <c r="C15" s="8" t="s">
        <v>2184</v>
      </c>
      <c r="D15" s="8" t="s">
        <v>2185</v>
      </c>
      <c r="E15" s="8" t="s">
        <v>2186</v>
      </c>
      <c r="F15" s="8" t="s">
        <v>2187</v>
      </c>
    </row>
    <row r="16" customHeight="1" spans="1:6">
      <c r="A16" s="6">
        <v>15</v>
      </c>
      <c r="B16" s="8" t="s">
        <v>2188</v>
      </c>
      <c r="C16" s="8" t="s">
        <v>2189</v>
      </c>
      <c r="D16" s="8" t="s">
        <v>2190</v>
      </c>
      <c r="E16" s="8" t="s">
        <v>311</v>
      </c>
      <c r="F16" s="8" t="s">
        <v>2191</v>
      </c>
    </row>
    <row r="17" customHeight="1" spans="1:6">
      <c r="A17" s="6">
        <v>16</v>
      </c>
      <c r="B17" s="8" t="s">
        <v>2188</v>
      </c>
      <c r="C17" s="8" t="s">
        <v>2189</v>
      </c>
      <c r="D17" s="8" t="s">
        <v>2190</v>
      </c>
      <c r="E17" s="8" t="s">
        <v>311</v>
      </c>
      <c r="F17" s="8" t="s">
        <v>2191</v>
      </c>
    </row>
    <row r="18" customHeight="1" spans="1:6">
      <c r="A18" s="6">
        <v>17</v>
      </c>
      <c r="B18" s="8" t="s">
        <v>2188</v>
      </c>
      <c r="C18" s="8" t="s">
        <v>2189</v>
      </c>
      <c r="D18" s="8" t="s">
        <v>2190</v>
      </c>
      <c r="E18" s="8" t="s">
        <v>311</v>
      </c>
      <c r="F18" s="8" t="s">
        <v>2191</v>
      </c>
    </row>
    <row r="19" customHeight="1" spans="1:6">
      <c r="A19" s="6">
        <v>18</v>
      </c>
      <c r="B19" s="8" t="s">
        <v>2192</v>
      </c>
      <c r="C19" s="8" t="s">
        <v>2193</v>
      </c>
      <c r="D19" s="8" t="s">
        <v>2194</v>
      </c>
      <c r="E19" s="8" t="s">
        <v>33</v>
      </c>
      <c r="F19" s="8" t="s">
        <v>2195</v>
      </c>
    </row>
    <row r="20" customHeight="1" spans="1:6">
      <c r="A20" s="6">
        <v>19</v>
      </c>
      <c r="B20" s="8" t="s">
        <v>2192</v>
      </c>
      <c r="C20" s="8" t="s">
        <v>2193</v>
      </c>
      <c r="D20" s="8" t="s">
        <v>2194</v>
      </c>
      <c r="E20" s="8" t="s">
        <v>33</v>
      </c>
      <c r="F20" s="8" t="s">
        <v>2195</v>
      </c>
    </row>
    <row r="21" customHeight="1" spans="1:6">
      <c r="A21" s="6">
        <v>20</v>
      </c>
      <c r="B21" s="8" t="s">
        <v>2196</v>
      </c>
      <c r="C21" s="8" t="s">
        <v>2197</v>
      </c>
      <c r="D21" s="8" t="s">
        <v>2198</v>
      </c>
      <c r="E21" s="8" t="s">
        <v>696</v>
      </c>
      <c r="F21" s="8" t="s">
        <v>2199</v>
      </c>
    </row>
    <row r="22" customHeight="1" spans="1:6">
      <c r="A22" s="6">
        <v>21</v>
      </c>
      <c r="B22" s="8" t="s">
        <v>2196</v>
      </c>
      <c r="C22" s="8" t="s">
        <v>2197</v>
      </c>
      <c r="D22" s="8" t="s">
        <v>2198</v>
      </c>
      <c r="E22" s="8" t="s">
        <v>696</v>
      </c>
      <c r="F22" s="8" t="s">
        <v>2199</v>
      </c>
    </row>
    <row r="23" customHeight="1" spans="1:6">
      <c r="A23" s="6">
        <v>22</v>
      </c>
      <c r="B23" s="8" t="s">
        <v>2200</v>
      </c>
      <c r="C23" s="8" t="s">
        <v>2201</v>
      </c>
      <c r="D23" s="8" t="s">
        <v>2202</v>
      </c>
      <c r="E23" s="8" t="s">
        <v>311</v>
      </c>
      <c r="F23" s="8" t="s">
        <v>2203</v>
      </c>
    </row>
    <row r="24" customHeight="1" spans="1:6">
      <c r="A24" s="6">
        <v>23</v>
      </c>
      <c r="B24" s="8" t="s">
        <v>2200</v>
      </c>
      <c r="C24" s="8" t="s">
        <v>2201</v>
      </c>
      <c r="D24" s="8" t="s">
        <v>2202</v>
      </c>
      <c r="E24" s="8" t="s">
        <v>311</v>
      </c>
      <c r="F24" s="8" t="s">
        <v>2203</v>
      </c>
    </row>
    <row r="25" customHeight="1" spans="1:6">
      <c r="A25" s="6">
        <v>24</v>
      </c>
      <c r="B25" s="8" t="s">
        <v>2204</v>
      </c>
      <c r="C25" s="8" t="s">
        <v>2205</v>
      </c>
      <c r="D25" s="8" t="s">
        <v>2206</v>
      </c>
      <c r="E25" s="8" t="s">
        <v>2207</v>
      </c>
      <c r="F25" s="8" t="s">
        <v>2208</v>
      </c>
    </row>
    <row r="26" customHeight="1" spans="1:6">
      <c r="A26" s="6">
        <v>25</v>
      </c>
      <c r="B26" s="8" t="s">
        <v>2204</v>
      </c>
      <c r="C26" s="8" t="s">
        <v>2205</v>
      </c>
      <c r="D26" s="8" t="s">
        <v>2206</v>
      </c>
      <c r="E26" s="8" t="s">
        <v>2207</v>
      </c>
      <c r="F26" s="8" t="s">
        <v>2208</v>
      </c>
    </row>
    <row r="27" customHeight="1" spans="1:6">
      <c r="A27" s="6">
        <v>26</v>
      </c>
      <c r="B27" s="8" t="s">
        <v>2204</v>
      </c>
      <c r="C27" s="8" t="s">
        <v>2205</v>
      </c>
      <c r="D27" s="8" t="s">
        <v>2206</v>
      </c>
      <c r="E27" s="8" t="s">
        <v>2207</v>
      </c>
      <c r="F27" s="8" t="s">
        <v>2208</v>
      </c>
    </row>
    <row r="28" customHeight="1" spans="1:6">
      <c r="A28" s="6">
        <v>27</v>
      </c>
      <c r="B28" s="8" t="s">
        <v>2209</v>
      </c>
      <c r="C28" s="8" t="s">
        <v>2210</v>
      </c>
      <c r="D28" s="8" t="s">
        <v>2211</v>
      </c>
      <c r="E28" s="8" t="s">
        <v>2212</v>
      </c>
      <c r="F28" s="8" t="s">
        <v>2213</v>
      </c>
    </row>
    <row r="29" customHeight="1" spans="1:6">
      <c r="A29" s="6">
        <v>28</v>
      </c>
      <c r="B29" s="8" t="s">
        <v>2209</v>
      </c>
      <c r="C29" s="8" t="s">
        <v>2210</v>
      </c>
      <c r="D29" s="8" t="s">
        <v>2211</v>
      </c>
      <c r="E29" s="8" t="s">
        <v>2212</v>
      </c>
      <c r="F29" s="8" t="s">
        <v>2213</v>
      </c>
    </row>
    <row r="30" customHeight="1" spans="1:6">
      <c r="A30" s="6">
        <v>29</v>
      </c>
      <c r="B30" s="8" t="s">
        <v>2209</v>
      </c>
      <c r="C30" s="8" t="s">
        <v>2210</v>
      </c>
      <c r="D30" s="8" t="s">
        <v>2211</v>
      </c>
      <c r="E30" s="8" t="s">
        <v>2212</v>
      </c>
      <c r="F30" s="8" t="s">
        <v>2213</v>
      </c>
    </row>
    <row r="31" customHeight="1" spans="1:6">
      <c r="A31" s="6">
        <v>30</v>
      </c>
      <c r="B31" s="8" t="s">
        <v>2214</v>
      </c>
      <c r="C31" s="8" t="s">
        <v>2215</v>
      </c>
      <c r="D31" s="8" t="s">
        <v>2216</v>
      </c>
      <c r="E31" s="8" t="s">
        <v>202</v>
      </c>
      <c r="F31" s="8" t="s">
        <v>2217</v>
      </c>
    </row>
    <row r="32" customHeight="1" spans="1:6">
      <c r="A32" s="6">
        <v>31</v>
      </c>
      <c r="B32" s="8" t="s">
        <v>2214</v>
      </c>
      <c r="C32" s="8" t="s">
        <v>2215</v>
      </c>
      <c r="D32" s="8" t="s">
        <v>2216</v>
      </c>
      <c r="E32" s="8" t="s">
        <v>202</v>
      </c>
      <c r="F32" s="8" t="s">
        <v>2217</v>
      </c>
    </row>
    <row r="33" customHeight="1" spans="1:6">
      <c r="A33" s="6">
        <v>32</v>
      </c>
      <c r="B33" s="8" t="s">
        <v>2218</v>
      </c>
      <c r="C33" s="8" t="s">
        <v>2219</v>
      </c>
      <c r="D33" s="8" t="s">
        <v>2220</v>
      </c>
      <c r="E33" s="8" t="s">
        <v>2221</v>
      </c>
      <c r="F33" s="8" t="s">
        <v>2222</v>
      </c>
    </row>
    <row r="34" customHeight="1" spans="1:6">
      <c r="A34" s="6">
        <v>33</v>
      </c>
      <c r="B34" s="8" t="s">
        <v>2218</v>
      </c>
      <c r="C34" s="8" t="s">
        <v>2219</v>
      </c>
      <c r="D34" s="8" t="s">
        <v>2220</v>
      </c>
      <c r="E34" s="8" t="s">
        <v>2221</v>
      </c>
      <c r="F34" s="8" t="s">
        <v>2222</v>
      </c>
    </row>
    <row r="35" customHeight="1" spans="1:6">
      <c r="A35" s="6">
        <v>34</v>
      </c>
      <c r="B35" s="8" t="s">
        <v>2218</v>
      </c>
      <c r="C35" s="8" t="s">
        <v>2219</v>
      </c>
      <c r="D35" s="8" t="s">
        <v>2220</v>
      </c>
      <c r="E35" s="8" t="s">
        <v>2221</v>
      </c>
      <c r="F35" s="8" t="s">
        <v>2222</v>
      </c>
    </row>
    <row r="36" customHeight="1" spans="1:6">
      <c r="A36" s="6">
        <v>35</v>
      </c>
      <c r="B36" s="8" t="s">
        <v>2223</v>
      </c>
      <c r="C36" s="8" t="s">
        <v>2224</v>
      </c>
      <c r="D36" s="8" t="s">
        <v>2225</v>
      </c>
      <c r="E36" s="8" t="s">
        <v>350</v>
      </c>
      <c r="F36" s="8" t="s">
        <v>2226</v>
      </c>
    </row>
    <row r="37" customHeight="1" spans="1:6">
      <c r="A37" s="6">
        <v>36</v>
      </c>
      <c r="B37" s="8" t="s">
        <v>2223</v>
      </c>
      <c r="C37" s="8" t="s">
        <v>2224</v>
      </c>
      <c r="D37" s="8" t="s">
        <v>2225</v>
      </c>
      <c r="E37" s="8" t="s">
        <v>350</v>
      </c>
      <c r="F37" s="8" t="s">
        <v>2226</v>
      </c>
    </row>
    <row r="38" customHeight="1" spans="1:6">
      <c r="A38" s="6">
        <v>37</v>
      </c>
      <c r="B38" s="8" t="s">
        <v>2223</v>
      </c>
      <c r="C38" s="8" t="s">
        <v>2224</v>
      </c>
      <c r="D38" s="8" t="s">
        <v>2225</v>
      </c>
      <c r="E38" s="8" t="s">
        <v>350</v>
      </c>
      <c r="F38" s="8" t="s">
        <v>2226</v>
      </c>
    </row>
    <row r="39" customHeight="1" spans="1:6">
      <c r="A39" s="6">
        <v>38</v>
      </c>
      <c r="B39" s="8" t="s">
        <v>2227</v>
      </c>
      <c r="C39" s="8" t="s">
        <v>2228</v>
      </c>
      <c r="D39" s="8" t="s">
        <v>2229</v>
      </c>
      <c r="E39" s="8" t="s">
        <v>2230</v>
      </c>
      <c r="F39" s="8" t="s">
        <v>2231</v>
      </c>
    </row>
    <row r="40" customHeight="1" spans="1:6">
      <c r="A40" s="6">
        <v>39</v>
      </c>
      <c r="B40" s="8" t="s">
        <v>2227</v>
      </c>
      <c r="C40" s="8" t="s">
        <v>2228</v>
      </c>
      <c r="D40" s="8" t="s">
        <v>2229</v>
      </c>
      <c r="E40" s="8" t="s">
        <v>2230</v>
      </c>
      <c r="F40" s="8" t="s">
        <v>2231</v>
      </c>
    </row>
    <row r="41" customHeight="1" spans="1:6">
      <c r="A41" s="6">
        <v>40</v>
      </c>
      <c r="B41" s="8" t="s">
        <v>2227</v>
      </c>
      <c r="C41" s="8" t="s">
        <v>2228</v>
      </c>
      <c r="D41" s="8" t="s">
        <v>2229</v>
      </c>
      <c r="E41" s="8" t="s">
        <v>2230</v>
      </c>
      <c r="F41" s="8" t="s">
        <v>2231</v>
      </c>
    </row>
    <row r="42" customHeight="1" spans="1:6">
      <c r="A42" s="6">
        <v>41</v>
      </c>
      <c r="B42" s="8" t="s">
        <v>2232</v>
      </c>
      <c r="C42" s="8" t="s">
        <v>2233</v>
      </c>
      <c r="D42" s="8" t="s">
        <v>2234</v>
      </c>
      <c r="E42" s="8" t="s">
        <v>2235</v>
      </c>
      <c r="F42" s="8" t="s">
        <v>2236</v>
      </c>
    </row>
    <row r="43" customHeight="1" spans="1:6">
      <c r="A43" s="6">
        <v>42</v>
      </c>
      <c r="B43" s="8" t="s">
        <v>2232</v>
      </c>
      <c r="C43" s="8" t="s">
        <v>2233</v>
      </c>
      <c r="D43" s="8" t="s">
        <v>2234</v>
      </c>
      <c r="E43" s="8" t="s">
        <v>2235</v>
      </c>
      <c r="F43" s="8" t="s">
        <v>2236</v>
      </c>
    </row>
    <row r="44" customHeight="1" spans="1:6">
      <c r="A44" s="6">
        <v>43</v>
      </c>
      <c r="B44" s="8" t="s">
        <v>2232</v>
      </c>
      <c r="C44" s="8" t="s">
        <v>2233</v>
      </c>
      <c r="D44" s="8" t="s">
        <v>2234</v>
      </c>
      <c r="E44" s="8" t="s">
        <v>2235</v>
      </c>
      <c r="F44" s="8" t="s">
        <v>2236</v>
      </c>
    </row>
    <row r="45" customHeight="1" spans="1:6">
      <c r="A45" s="6">
        <v>44</v>
      </c>
      <c r="B45" s="8" t="s">
        <v>2237</v>
      </c>
      <c r="C45" s="8" t="s">
        <v>2238</v>
      </c>
      <c r="D45" s="8" t="s">
        <v>2239</v>
      </c>
      <c r="E45" s="8" t="s">
        <v>2240</v>
      </c>
      <c r="F45" s="8" t="s">
        <v>2241</v>
      </c>
    </row>
    <row r="46" customHeight="1" spans="1:6">
      <c r="A46" s="6">
        <v>45</v>
      </c>
      <c r="B46" s="8" t="s">
        <v>2237</v>
      </c>
      <c r="C46" s="8" t="s">
        <v>2238</v>
      </c>
      <c r="D46" s="8" t="s">
        <v>2239</v>
      </c>
      <c r="E46" s="8" t="s">
        <v>2240</v>
      </c>
      <c r="F46" s="8" t="s">
        <v>2241</v>
      </c>
    </row>
    <row r="47" customHeight="1" spans="1:6">
      <c r="A47" s="6">
        <v>46</v>
      </c>
      <c r="B47" s="8" t="s">
        <v>2237</v>
      </c>
      <c r="C47" s="8" t="s">
        <v>2238</v>
      </c>
      <c r="D47" s="8" t="s">
        <v>2239</v>
      </c>
      <c r="E47" s="8" t="s">
        <v>2240</v>
      </c>
      <c r="F47" s="8" t="s">
        <v>2241</v>
      </c>
    </row>
    <row r="48" customHeight="1" spans="1:6">
      <c r="A48" s="6">
        <v>47</v>
      </c>
      <c r="B48" s="8" t="s">
        <v>568</v>
      </c>
      <c r="C48" s="8" t="s">
        <v>2242</v>
      </c>
      <c r="D48" s="8" t="s">
        <v>570</v>
      </c>
      <c r="E48" s="8" t="s">
        <v>571</v>
      </c>
      <c r="F48" s="8" t="s">
        <v>2243</v>
      </c>
    </row>
    <row r="49" customHeight="1" spans="1:6">
      <c r="A49" s="6">
        <v>48</v>
      </c>
      <c r="B49" s="8" t="s">
        <v>568</v>
      </c>
      <c r="C49" s="8" t="s">
        <v>2242</v>
      </c>
      <c r="D49" s="8" t="s">
        <v>570</v>
      </c>
      <c r="E49" s="8" t="s">
        <v>571</v>
      </c>
      <c r="F49" s="8" t="s">
        <v>2243</v>
      </c>
    </row>
    <row r="50" customHeight="1" spans="1:6">
      <c r="A50" s="6">
        <v>49</v>
      </c>
      <c r="B50" s="8" t="s">
        <v>2244</v>
      </c>
      <c r="C50" s="8" t="s">
        <v>2245</v>
      </c>
      <c r="D50" s="8" t="s">
        <v>2246</v>
      </c>
      <c r="E50" s="8" t="s">
        <v>710</v>
      </c>
      <c r="F50" s="8" t="s">
        <v>2247</v>
      </c>
    </row>
    <row r="51" customHeight="1" spans="1:6">
      <c r="A51" s="6">
        <v>50</v>
      </c>
      <c r="B51" s="8" t="s">
        <v>2244</v>
      </c>
      <c r="C51" s="8" t="s">
        <v>2245</v>
      </c>
      <c r="D51" s="8" t="s">
        <v>2246</v>
      </c>
      <c r="E51" s="8" t="s">
        <v>710</v>
      </c>
      <c r="F51" s="8" t="s">
        <v>2247</v>
      </c>
    </row>
    <row r="52" customHeight="1" spans="1:6">
      <c r="A52" s="6">
        <v>51</v>
      </c>
      <c r="B52" s="8" t="s">
        <v>2248</v>
      </c>
      <c r="C52" s="8" t="s">
        <v>2249</v>
      </c>
      <c r="D52" s="8" t="s">
        <v>2250</v>
      </c>
      <c r="E52" s="8" t="s">
        <v>1631</v>
      </c>
      <c r="F52" s="8" t="s">
        <v>2251</v>
      </c>
    </row>
    <row r="53" customHeight="1" spans="1:6">
      <c r="A53" s="6">
        <v>52</v>
      </c>
      <c r="B53" s="8" t="s">
        <v>2248</v>
      </c>
      <c r="C53" s="8" t="s">
        <v>2249</v>
      </c>
      <c r="D53" s="8" t="s">
        <v>2250</v>
      </c>
      <c r="E53" s="8" t="s">
        <v>1631</v>
      </c>
      <c r="F53" s="8" t="s">
        <v>2251</v>
      </c>
    </row>
    <row r="54" customHeight="1" spans="1:6">
      <c r="A54" s="6">
        <v>53</v>
      </c>
      <c r="B54" s="8" t="s">
        <v>2248</v>
      </c>
      <c r="C54" s="8" t="s">
        <v>2249</v>
      </c>
      <c r="D54" s="8" t="s">
        <v>2250</v>
      </c>
      <c r="E54" s="8" t="s">
        <v>1631</v>
      </c>
      <c r="F54" s="8" t="s">
        <v>2251</v>
      </c>
    </row>
    <row r="55" customHeight="1" spans="1:6">
      <c r="A55" s="6">
        <v>54</v>
      </c>
      <c r="B55" s="7" t="str">
        <f>"978-7-5426-7091-5"</f>
        <v>978-7-5426-7091-5</v>
      </c>
      <c r="C55" s="7" t="str">
        <f>"真正的市场：行动与规则的视角"</f>
        <v>真正的市场：行动与规则的视角</v>
      </c>
      <c r="D55" s="7" t="str">
        <f>"朱海就著"</f>
        <v>朱海就著</v>
      </c>
      <c r="E55" s="7" t="str">
        <f>"上海三联书店"</f>
        <v>上海三联书店</v>
      </c>
      <c r="F55" s="7" t="str">
        <f>"F014.3/48"</f>
        <v>F014.3/48</v>
      </c>
    </row>
    <row r="56" customHeight="1" spans="1:6">
      <c r="A56" s="6">
        <v>55</v>
      </c>
      <c r="B56" s="7" t="str">
        <f>"978-7-5426-7091-5"</f>
        <v>978-7-5426-7091-5</v>
      </c>
      <c r="C56" s="7" t="str">
        <f>"真正的市场：行动与规则的视角"</f>
        <v>真正的市场：行动与规则的视角</v>
      </c>
      <c r="D56" s="7" t="str">
        <f>"朱海就著"</f>
        <v>朱海就著</v>
      </c>
      <c r="E56" s="7" t="str">
        <f>"上海三联书店"</f>
        <v>上海三联书店</v>
      </c>
      <c r="F56" s="7" t="str">
        <f>"F014.3/48"</f>
        <v>F014.3/48</v>
      </c>
    </row>
    <row r="57" customHeight="1" spans="1:6">
      <c r="A57" s="6">
        <v>56</v>
      </c>
      <c r="B57" s="8" t="s">
        <v>2252</v>
      </c>
      <c r="C57" s="8" t="s">
        <v>2253</v>
      </c>
      <c r="D57" s="8" t="s">
        <v>2254</v>
      </c>
      <c r="E57" s="8" t="s">
        <v>571</v>
      </c>
      <c r="F57" s="8" t="s">
        <v>2255</v>
      </c>
    </row>
    <row r="58" customHeight="1" spans="1:6">
      <c r="A58" s="6">
        <v>57</v>
      </c>
      <c r="B58" s="8" t="s">
        <v>2252</v>
      </c>
      <c r="C58" s="8" t="s">
        <v>2253</v>
      </c>
      <c r="D58" s="8" t="s">
        <v>2254</v>
      </c>
      <c r="E58" s="8" t="s">
        <v>571</v>
      </c>
      <c r="F58" s="8" t="s">
        <v>2255</v>
      </c>
    </row>
    <row r="59" customHeight="1" spans="1:6">
      <c r="A59" s="6">
        <v>58</v>
      </c>
      <c r="B59" s="8" t="s">
        <v>2256</v>
      </c>
      <c r="C59" s="8" t="s">
        <v>2257</v>
      </c>
      <c r="D59" s="8" t="s">
        <v>2258</v>
      </c>
      <c r="E59" s="8" t="s">
        <v>810</v>
      </c>
      <c r="F59" s="8" t="s">
        <v>2259</v>
      </c>
    </row>
    <row r="60" customHeight="1" spans="1:6">
      <c r="A60" s="6">
        <v>59</v>
      </c>
      <c r="B60" s="8" t="s">
        <v>2256</v>
      </c>
      <c r="C60" s="8" t="s">
        <v>2257</v>
      </c>
      <c r="D60" s="8" t="s">
        <v>2258</v>
      </c>
      <c r="E60" s="8" t="s">
        <v>810</v>
      </c>
      <c r="F60" s="8" t="s">
        <v>2259</v>
      </c>
    </row>
    <row r="61" customHeight="1" spans="1:6">
      <c r="A61" s="6">
        <v>60</v>
      </c>
      <c r="B61" s="8" t="s">
        <v>2256</v>
      </c>
      <c r="C61" s="8" t="s">
        <v>2257</v>
      </c>
      <c r="D61" s="8" t="s">
        <v>2258</v>
      </c>
      <c r="E61" s="8" t="s">
        <v>810</v>
      </c>
      <c r="F61" s="8" t="s">
        <v>2259</v>
      </c>
    </row>
    <row r="62" customHeight="1" spans="1:6">
      <c r="A62" s="6">
        <v>61</v>
      </c>
      <c r="B62" s="7" t="str">
        <f>"978-7-5097-8214-9"</f>
        <v>978-7-5097-8214-9</v>
      </c>
      <c r="C62" s="7" t="str">
        <f>"社会资本：关于社会结构与行动的理论：a theory of social structure and action"</f>
        <v>社会资本：关于社会结构与行动的理论：a theory of social structure and action</v>
      </c>
      <c r="D62" s="7" t="str">
        <f>"(美) 林南著；张磊译"</f>
        <v>(美) 林南著；张磊译</v>
      </c>
      <c r="E62" s="7" t="str">
        <f>"社会科学文献出版社"</f>
        <v>社会科学文献出版社</v>
      </c>
      <c r="F62" s="7" t="str">
        <f>"F014.39/15"</f>
        <v>F014.39/15</v>
      </c>
    </row>
    <row r="63" customHeight="1" spans="1:6">
      <c r="A63" s="6">
        <v>62</v>
      </c>
      <c r="B63" s="7" t="str">
        <f>"978-7-5097-8214-9"</f>
        <v>978-7-5097-8214-9</v>
      </c>
      <c r="C63" s="7" t="str">
        <f>"社会资本：关于社会结构与行动的理论：a theory of social structure and action"</f>
        <v>社会资本：关于社会结构与行动的理论：a theory of social structure and action</v>
      </c>
      <c r="D63" s="7" t="str">
        <f>"(美) 林南著；张磊译"</f>
        <v>(美) 林南著；张磊译</v>
      </c>
      <c r="E63" s="7" t="str">
        <f>"社会科学文献出版社"</f>
        <v>社会科学文献出版社</v>
      </c>
      <c r="F63" s="7" t="str">
        <f>"F014.39/15"</f>
        <v>F014.39/15</v>
      </c>
    </row>
    <row r="64" customHeight="1" spans="1:6">
      <c r="A64" s="6">
        <v>63</v>
      </c>
      <c r="B64" s="8" t="s">
        <v>2260</v>
      </c>
      <c r="C64" s="8" t="s">
        <v>2261</v>
      </c>
      <c r="D64" s="8" t="s">
        <v>2262</v>
      </c>
      <c r="E64" s="8" t="s">
        <v>311</v>
      </c>
      <c r="F64" s="8" t="s">
        <v>2263</v>
      </c>
    </row>
    <row r="65" customHeight="1" spans="1:6">
      <c r="A65" s="6">
        <v>64</v>
      </c>
      <c r="B65" s="8" t="s">
        <v>2260</v>
      </c>
      <c r="C65" s="8" t="s">
        <v>2261</v>
      </c>
      <c r="D65" s="8" t="s">
        <v>2262</v>
      </c>
      <c r="E65" s="8" t="s">
        <v>311</v>
      </c>
      <c r="F65" s="8" t="s">
        <v>2263</v>
      </c>
    </row>
    <row r="66" customHeight="1" spans="1:6">
      <c r="A66" s="6">
        <v>65</v>
      </c>
      <c r="B66" s="8" t="s">
        <v>2264</v>
      </c>
      <c r="C66" s="8" t="s">
        <v>2265</v>
      </c>
      <c r="D66" s="8" t="s">
        <v>2266</v>
      </c>
      <c r="E66" s="8" t="s">
        <v>2267</v>
      </c>
      <c r="F66" s="8" t="s">
        <v>2268</v>
      </c>
    </row>
    <row r="67" customHeight="1" spans="1:6">
      <c r="A67" s="6">
        <v>66</v>
      </c>
      <c r="B67" s="8" t="s">
        <v>2264</v>
      </c>
      <c r="C67" s="8" t="s">
        <v>2265</v>
      </c>
      <c r="D67" s="8" t="s">
        <v>2266</v>
      </c>
      <c r="E67" s="8" t="s">
        <v>2267</v>
      </c>
      <c r="F67" s="8" t="s">
        <v>2268</v>
      </c>
    </row>
    <row r="68" customHeight="1" spans="1:6">
      <c r="A68" s="6">
        <v>67</v>
      </c>
      <c r="B68" s="8" t="s">
        <v>2264</v>
      </c>
      <c r="C68" s="8" t="s">
        <v>2265</v>
      </c>
      <c r="D68" s="8" t="s">
        <v>2266</v>
      </c>
      <c r="E68" s="8" t="s">
        <v>2267</v>
      </c>
      <c r="F68" s="8" t="s">
        <v>2268</v>
      </c>
    </row>
    <row r="69" customHeight="1" spans="1:6">
      <c r="A69" s="6">
        <v>68</v>
      </c>
      <c r="B69" s="8" t="s">
        <v>2269</v>
      </c>
      <c r="C69" s="8" t="s">
        <v>2270</v>
      </c>
      <c r="D69" s="8" t="s">
        <v>2271</v>
      </c>
      <c r="E69" s="8" t="s">
        <v>881</v>
      </c>
      <c r="F69" s="8" t="s">
        <v>2272</v>
      </c>
    </row>
    <row r="70" customHeight="1" spans="1:6">
      <c r="A70" s="6">
        <v>69</v>
      </c>
      <c r="B70" s="8" t="s">
        <v>2269</v>
      </c>
      <c r="C70" s="8" t="s">
        <v>2270</v>
      </c>
      <c r="D70" s="8" t="s">
        <v>2271</v>
      </c>
      <c r="E70" s="8" t="s">
        <v>881</v>
      </c>
      <c r="F70" s="8" t="s">
        <v>2272</v>
      </c>
    </row>
    <row r="71" customHeight="1" spans="1:6">
      <c r="A71" s="6">
        <v>70</v>
      </c>
      <c r="B71" s="8" t="s">
        <v>2273</v>
      </c>
      <c r="C71" s="8" t="s">
        <v>2274</v>
      </c>
      <c r="D71" s="8" t="s">
        <v>2275</v>
      </c>
      <c r="E71" s="8" t="s">
        <v>2186</v>
      </c>
      <c r="F71" s="8" t="s">
        <v>2276</v>
      </c>
    </row>
    <row r="72" customHeight="1" spans="1:6">
      <c r="A72" s="6">
        <v>71</v>
      </c>
      <c r="B72" s="8" t="s">
        <v>2273</v>
      </c>
      <c r="C72" s="8" t="s">
        <v>2274</v>
      </c>
      <c r="D72" s="8" t="s">
        <v>2275</v>
      </c>
      <c r="E72" s="8" t="s">
        <v>2186</v>
      </c>
      <c r="F72" s="8" t="s">
        <v>2276</v>
      </c>
    </row>
    <row r="73" customHeight="1" spans="1:6">
      <c r="A73" s="6">
        <v>72</v>
      </c>
      <c r="B73" s="8" t="s">
        <v>2277</v>
      </c>
      <c r="C73" s="8" t="s">
        <v>2278</v>
      </c>
      <c r="D73" s="8" t="s">
        <v>2279</v>
      </c>
      <c r="E73" s="8" t="s">
        <v>202</v>
      </c>
      <c r="F73" s="8" t="s">
        <v>2280</v>
      </c>
    </row>
    <row r="74" customHeight="1" spans="1:6">
      <c r="A74" s="6">
        <v>73</v>
      </c>
      <c r="B74" s="8" t="s">
        <v>2277</v>
      </c>
      <c r="C74" s="8" t="s">
        <v>2278</v>
      </c>
      <c r="D74" s="8" t="s">
        <v>2279</v>
      </c>
      <c r="E74" s="8" t="s">
        <v>202</v>
      </c>
      <c r="F74" s="8" t="s">
        <v>2280</v>
      </c>
    </row>
    <row r="75" customHeight="1" spans="1:6">
      <c r="A75" s="6">
        <v>74</v>
      </c>
      <c r="B75" s="8" t="s">
        <v>2281</v>
      </c>
      <c r="C75" s="8" t="s">
        <v>2282</v>
      </c>
      <c r="D75" s="8" t="s">
        <v>2283</v>
      </c>
      <c r="E75" s="8" t="s">
        <v>2284</v>
      </c>
      <c r="F75" s="8" t="s">
        <v>2285</v>
      </c>
    </row>
    <row r="76" customHeight="1" spans="1:6">
      <c r="A76" s="6">
        <v>75</v>
      </c>
      <c r="B76" s="8" t="s">
        <v>2281</v>
      </c>
      <c r="C76" s="8" t="s">
        <v>2282</v>
      </c>
      <c r="D76" s="8" t="s">
        <v>2283</v>
      </c>
      <c r="E76" s="8" t="s">
        <v>2284</v>
      </c>
      <c r="F76" s="8" t="s">
        <v>2285</v>
      </c>
    </row>
    <row r="77" customHeight="1" spans="1:6">
      <c r="A77" s="6">
        <v>76</v>
      </c>
      <c r="B77" s="8" t="s">
        <v>2286</v>
      </c>
      <c r="C77" s="8" t="s">
        <v>2287</v>
      </c>
      <c r="D77" s="8" t="s">
        <v>2288</v>
      </c>
      <c r="E77" s="8" t="s">
        <v>311</v>
      </c>
      <c r="F77" s="8" t="s">
        <v>2289</v>
      </c>
    </row>
    <row r="78" customHeight="1" spans="1:6">
      <c r="A78" s="6">
        <v>77</v>
      </c>
      <c r="B78" s="8" t="s">
        <v>2286</v>
      </c>
      <c r="C78" s="8" t="s">
        <v>2287</v>
      </c>
      <c r="D78" s="8" t="s">
        <v>2288</v>
      </c>
      <c r="E78" s="8" t="s">
        <v>311</v>
      </c>
      <c r="F78" s="8" t="s">
        <v>2289</v>
      </c>
    </row>
    <row r="79" customHeight="1" spans="1:6">
      <c r="A79" s="6">
        <v>78</v>
      </c>
      <c r="B79" s="8" t="s">
        <v>2290</v>
      </c>
      <c r="C79" s="8" t="s">
        <v>2291</v>
      </c>
      <c r="D79" s="8" t="s">
        <v>2292</v>
      </c>
      <c r="E79" s="8" t="s">
        <v>2230</v>
      </c>
      <c r="F79" s="8" t="s">
        <v>2293</v>
      </c>
    </row>
    <row r="80" customHeight="1" spans="1:6">
      <c r="A80" s="6">
        <v>79</v>
      </c>
      <c r="B80" s="8" t="s">
        <v>2290</v>
      </c>
      <c r="C80" s="8" t="s">
        <v>2291</v>
      </c>
      <c r="D80" s="8" t="s">
        <v>2292</v>
      </c>
      <c r="E80" s="8" t="s">
        <v>2230</v>
      </c>
      <c r="F80" s="8" t="s">
        <v>2293</v>
      </c>
    </row>
    <row r="81" customHeight="1" spans="1:6">
      <c r="A81" s="6">
        <v>80</v>
      </c>
      <c r="B81" s="8" t="s">
        <v>2290</v>
      </c>
      <c r="C81" s="8" t="s">
        <v>2291</v>
      </c>
      <c r="D81" s="8" t="s">
        <v>2292</v>
      </c>
      <c r="E81" s="8" t="s">
        <v>2230</v>
      </c>
      <c r="F81" s="8" t="s">
        <v>2293</v>
      </c>
    </row>
    <row r="82" customHeight="1" spans="1:6">
      <c r="A82" s="6">
        <v>81</v>
      </c>
      <c r="B82" s="8" t="s">
        <v>2294</v>
      </c>
      <c r="C82" s="8" t="s">
        <v>2295</v>
      </c>
      <c r="D82" s="8" t="s">
        <v>2296</v>
      </c>
      <c r="E82" s="8" t="s">
        <v>311</v>
      </c>
      <c r="F82" s="8" t="s">
        <v>2297</v>
      </c>
    </row>
    <row r="83" customHeight="1" spans="1:6">
      <c r="A83" s="6">
        <v>82</v>
      </c>
      <c r="B83" s="8" t="s">
        <v>2294</v>
      </c>
      <c r="C83" s="8" t="s">
        <v>2295</v>
      </c>
      <c r="D83" s="8" t="s">
        <v>2296</v>
      </c>
      <c r="E83" s="8" t="s">
        <v>311</v>
      </c>
      <c r="F83" s="8" t="s">
        <v>2297</v>
      </c>
    </row>
    <row r="84" customHeight="1" spans="1:6">
      <c r="A84" s="6">
        <v>83</v>
      </c>
      <c r="B84" s="8" t="s">
        <v>2294</v>
      </c>
      <c r="C84" s="8" t="s">
        <v>2295</v>
      </c>
      <c r="D84" s="8" t="s">
        <v>2296</v>
      </c>
      <c r="E84" s="8" t="s">
        <v>311</v>
      </c>
      <c r="F84" s="8" t="s">
        <v>2297</v>
      </c>
    </row>
    <row r="85" customHeight="1" spans="1:6">
      <c r="A85" s="6">
        <v>84</v>
      </c>
      <c r="B85" s="8" t="s">
        <v>2298</v>
      </c>
      <c r="C85" s="8" t="s">
        <v>2299</v>
      </c>
      <c r="D85" s="8" t="s">
        <v>2300</v>
      </c>
      <c r="E85" s="8" t="s">
        <v>311</v>
      </c>
      <c r="F85" s="8" t="s">
        <v>2301</v>
      </c>
    </row>
    <row r="86" customHeight="1" spans="1:6">
      <c r="A86" s="6">
        <v>85</v>
      </c>
      <c r="B86" s="8" t="s">
        <v>2298</v>
      </c>
      <c r="C86" s="8" t="s">
        <v>2299</v>
      </c>
      <c r="D86" s="8" t="s">
        <v>2300</v>
      </c>
      <c r="E86" s="8" t="s">
        <v>311</v>
      </c>
      <c r="F86" s="8" t="s">
        <v>2301</v>
      </c>
    </row>
    <row r="87" customHeight="1" spans="1:6">
      <c r="A87" s="6">
        <v>86</v>
      </c>
      <c r="B87" s="7" t="str">
        <f>"978-7-5096-7941-8"</f>
        <v>978-7-5096-7941-8</v>
      </c>
      <c r="C87" s="7" t="str">
        <f>"新制度经济学教程"</f>
        <v>新制度经济学教程</v>
      </c>
      <c r="D87" s="7" t="str">
        <f>"袁庆明著"</f>
        <v>袁庆明著</v>
      </c>
      <c r="E87" s="7" t="str">
        <f>"经济管理出版社"</f>
        <v>经济管理出版社</v>
      </c>
      <c r="F87" s="7" t="str">
        <f>"F019.8/32=3D"</f>
        <v>F019.8/32=3D</v>
      </c>
    </row>
    <row r="88" customHeight="1" spans="1:6">
      <c r="A88" s="6">
        <v>87</v>
      </c>
      <c r="B88" s="7" t="str">
        <f>"978-7-5096-7941-8"</f>
        <v>978-7-5096-7941-8</v>
      </c>
      <c r="C88" s="7" t="str">
        <f>"新制度经济学教程"</f>
        <v>新制度经济学教程</v>
      </c>
      <c r="D88" s="7" t="str">
        <f>"袁庆明著"</f>
        <v>袁庆明著</v>
      </c>
      <c r="E88" s="7" t="str">
        <f>"经济管理出版社"</f>
        <v>经济管理出版社</v>
      </c>
      <c r="F88" s="7" t="str">
        <f>"F019.8/32=3D"</f>
        <v>F019.8/32=3D</v>
      </c>
    </row>
    <row r="89" customHeight="1" spans="1:6">
      <c r="A89" s="6">
        <v>88</v>
      </c>
      <c r="B89" s="8" t="s">
        <v>2302</v>
      </c>
      <c r="C89" s="8" t="s">
        <v>2303</v>
      </c>
      <c r="D89" s="8" t="s">
        <v>2304</v>
      </c>
      <c r="E89" s="8" t="s">
        <v>311</v>
      </c>
      <c r="F89" s="8" t="s">
        <v>2305</v>
      </c>
    </row>
    <row r="90" customHeight="1" spans="1:6">
      <c r="A90" s="6">
        <v>89</v>
      </c>
      <c r="B90" s="8" t="s">
        <v>2302</v>
      </c>
      <c r="C90" s="8" t="s">
        <v>2303</v>
      </c>
      <c r="D90" s="8" t="s">
        <v>2304</v>
      </c>
      <c r="E90" s="8" t="s">
        <v>311</v>
      </c>
      <c r="F90" s="8" t="s">
        <v>2305</v>
      </c>
    </row>
    <row r="91" customHeight="1" spans="1:6">
      <c r="A91" s="6">
        <v>90</v>
      </c>
      <c r="B91" s="7" t="str">
        <f>"978-7-100-19599-7"</f>
        <v>978-7-100-19599-7</v>
      </c>
      <c r="C91" s="7" t="str">
        <f>"不平衡发展：自然、资本与空间的生产"</f>
        <v>不平衡发展：自然、资本与空间的生产</v>
      </c>
      <c r="D91" s="7" t="str">
        <f>"(美) 尼尔﹒史密斯著；刘怀玉， 付清松译"</f>
        <v>(美) 尼尔﹒史密斯著；刘怀玉， 付清松译</v>
      </c>
      <c r="E91" s="7" t="str">
        <f>"商务印书馆"</f>
        <v>商务印书馆</v>
      </c>
      <c r="F91" s="7" t="str">
        <f>"F038/14"</f>
        <v>F038/14</v>
      </c>
    </row>
    <row r="92" customHeight="1" spans="1:6">
      <c r="A92" s="6">
        <v>91</v>
      </c>
      <c r="B92" s="7" t="str">
        <f>"978-7-100-19599-7"</f>
        <v>978-7-100-19599-7</v>
      </c>
      <c r="C92" s="7" t="str">
        <f>"不平衡发展：自然、资本与空间的生产"</f>
        <v>不平衡发展：自然、资本与空间的生产</v>
      </c>
      <c r="D92" s="7" t="str">
        <f>"(美) 尼尔﹒史密斯著；刘怀玉， 付清松译"</f>
        <v>(美) 尼尔﹒史密斯著；刘怀玉， 付清松译</v>
      </c>
      <c r="E92" s="7" t="str">
        <f>"商务印书馆"</f>
        <v>商务印书馆</v>
      </c>
      <c r="F92" s="7" t="str">
        <f>"F038/14"</f>
        <v>F038/14</v>
      </c>
    </row>
    <row r="93" customHeight="1" spans="1:6">
      <c r="A93" s="6">
        <v>92</v>
      </c>
      <c r="B93" s="8" t="s">
        <v>2306</v>
      </c>
      <c r="C93" s="8" t="s">
        <v>2307</v>
      </c>
      <c r="D93" s="8" t="s">
        <v>2308</v>
      </c>
      <c r="E93" s="8" t="s">
        <v>275</v>
      </c>
      <c r="F93" s="8" t="s">
        <v>2309</v>
      </c>
    </row>
    <row r="94" customHeight="1" spans="1:6">
      <c r="A94" s="6">
        <v>93</v>
      </c>
      <c r="B94" s="8" t="s">
        <v>2306</v>
      </c>
      <c r="C94" s="8" t="s">
        <v>2307</v>
      </c>
      <c r="D94" s="8" t="s">
        <v>2308</v>
      </c>
      <c r="E94" s="8" t="s">
        <v>275</v>
      </c>
      <c r="F94" s="8" t="s">
        <v>2309</v>
      </c>
    </row>
    <row r="95" customHeight="1" spans="1:6">
      <c r="A95" s="6">
        <v>94</v>
      </c>
      <c r="B95" s="8" t="s">
        <v>2306</v>
      </c>
      <c r="C95" s="8" t="s">
        <v>2307</v>
      </c>
      <c r="D95" s="8" t="s">
        <v>2308</v>
      </c>
      <c r="E95" s="8" t="s">
        <v>275</v>
      </c>
      <c r="F95" s="8" t="s">
        <v>2309</v>
      </c>
    </row>
    <row r="96" customHeight="1" spans="1:6">
      <c r="A96" s="6">
        <v>95</v>
      </c>
      <c r="B96" s="7" t="str">
        <f>"978-7-213-10097-0"</f>
        <v>978-7-213-10097-0</v>
      </c>
      <c r="C96" s="7" t="str">
        <f>"AI经济：机器人时代的工作、财富和社会福利：work， wealth， and welfare in the robot age"</f>
        <v>AI经济：机器人时代的工作、财富和社会福利：work， wealth， and welfare in the robot age</v>
      </c>
      <c r="D96" s="7" t="str">
        <f>"(英) 罗杰·布特尔著；欣玫译"</f>
        <v>(英) 罗杰·布特尔著；欣玫译</v>
      </c>
      <c r="E96" s="7" t="str">
        <f>"浙江人民出版社"</f>
        <v>浙江人民出版社</v>
      </c>
      <c r="F96" s="7" t="str">
        <f>"F0-39/4"</f>
        <v>F0-39/4</v>
      </c>
    </row>
    <row r="97" customHeight="1" spans="1:6">
      <c r="A97" s="6">
        <v>96</v>
      </c>
      <c r="B97" s="7" t="str">
        <f>"978-7-213-10097-0"</f>
        <v>978-7-213-10097-0</v>
      </c>
      <c r="C97" s="7" t="str">
        <f>"AI经济：机器人时代的工作、财富和社会福利：work， wealth， and welfare in the robot age"</f>
        <v>AI经济：机器人时代的工作、财富和社会福利：work， wealth， and welfare in the robot age</v>
      </c>
      <c r="D97" s="7" t="str">
        <f>"(英) 罗杰·布特尔著；欣玫译"</f>
        <v>(英) 罗杰·布特尔著；欣玫译</v>
      </c>
      <c r="E97" s="7" t="str">
        <f>"浙江人民出版社"</f>
        <v>浙江人民出版社</v>
      </c>
      <c r="F97" s="7" t="str">
        <f>"F0-39/4"</f>
        <v>F0-39/4</v>
      </c>
    </row>
    <row r="98" customHeight="1" spans="1:6">
      <c r="A98" s="6">
        <v>97</v>
      </c>
      <c r="B98" s="7" t="str">
        <f>"978-7-5722-1187-4"</f>
        <v>978-7-5722-1187-4</v>
      </c>
      <c r="C98" s="7" t="str">
        <f>"财富、贫穷与政治"</f>
        <v>财富、贫穷与政治</v>
      </c>
      <c r="D98" s="7" t="str">
        <f>"(美) 托马斯·索维尔著Thomas Sowell；孙志杰译"</f>
        <v>(美) 托马斯·索维尔著Thomas Sowell；孙志杰译</v>
      </c>
      <c r="E98" s="7" t="str">
        <f>"浙江教育出版社"</f>
        <v>浙江教育出版社</v>
      </c>
      <c r="F98" s="7" t="str">
        <f>"F0-49/245"</f>
        <v>F0-49/245</v>
      </c>
    </row>
    <row r="99" customHeight="1" spans="1:6">
      <c r="A99" s="6">
        <v>98</v>
      </c>
      <c r="B99" s="7" t="str">
        <f>"978-7-5722-1187-4"</f>
        <v>978-7-5722-1187-4</v>
      </c>
      <c r="C99" s="7" t="str">
        <f>"财富、贫穷与政治"</f>
        <v>财富、贫穷与政治</v>
      </c>
      <c r="D99" s="7" t="str">
        <f>"(美) 托马斯·索维尔著Thomas Sowell；孙志杰译"</f>
        <v>(美) 托马斯·索维尔著Thomas Sowell；孙志杰译</v>
      </c>
      <c r="E99" s="7" t="str">
        <f>"浙江教育出版社"</f>
        <v>浙江教育出版社</v>
      </c>
      <c r="F99" s="7" t="str">
        <f>"F0-49/245"</f>
        <v>F0-49/245</v>
      </c>
    </row>
    <row r="100" customHeight="1" spans="1:6">
      <c r="A100" s="6">
        <v>99</v>
      </c>
      <c r="B100" s="7" t="str">
        <f t="shared" ref="B100:B102" si="2">"978-7-5447-8768-0"</f>
        <v>978-7-5447-8768-0</v>
      </c>
      <c r="C100" s="7" t="str">
        <f t="shared" ref="C100:C102" si="3">"经济学有什么用?"</f>
        <v>经济学有什么用?</v>
      </c>
      <c r="D100" s="7" t="str">
        <f t="shared" ref="D100:D102" si="4">"(英) 泰吉万·帕丁格著Tejvan Pettinger；卢周来译"</f>
        <v>(英) 泰吉万·帕丁格著Tejvan Pettinger；卢周来译</v>
      </c>
      <c r="E100" s="7" t="str">
        <f t="shared" ref="E100:E102" si="5">"译林出版社"</f>
        <v>译林出版社</v>
      </c>
      <c r="F100" s="7" t="str">
        <f t="shared" ref="F100:F102" si="6">"F0-49/246"</f>
        <v>F0-49/246</v>
      </c>
    </row>
    <row r="101" customHeight="1" spans="1:6">
      <c r="A101" s="6">
        <v>100</v>
      </c>
      <c r="B101" s="7" t="str">
        <f t="shared" si="2"/>
        <v>978-7-5447-8768-0</v>
      </c>
      <c r="C101" s="7" t="str">
        <f t="shared" si="3"/>
        <v>经济学有什么用?</v>
      </c>
      <c r="D101" s="7" t="str">
        <f t="shared" si="4"/>
        <v>(英) 泰吉万·帕丁格著Tejvan Pettinger；卢周来译</v>
      </c>
      <c r="E101" s="7" t="str">
        <f t="shared" si="5"/>
        <v>译林出版社</v>
      </c>
      <c r="F101" s="7" t="str">
        <f t="shared" si="6"/>
        <v>F0-49/246</v>
      </c>
    </row>
    <row r="102" customHeight="1" spans="1:6">
      <c r="A102" s="6">
        <v>101</v>
      </c>
      <c r="B102" s="7" t="str">
        <f t="shared" si="2"/>
        <v>978-7-5447-8768-0</v>
      </c>
      <c r="C102" s="7" t="str">
        <f t="shared" si="3"/>
        <v>经济学有什么用?</v>
      </c>
      <c r="D102" s="7" t="str">
        <f t="shared" si="4"/>
        <v>(英) 泰吉万·帕丁格著Tejvan Pettinger；卢周来译</v>
      </c>
      <c r="E102" s="7" t="str">
        <f t="shared" si="5"/>
        <v>译林出版社</v>
      </c>
      <c r="F102" s="7" t="str">
        <f t="shared" si="6"/>
        <v>F0-49/246</v>
      </c>
    </row>
    <row r="103" customHeight="1" spans="1:6">
      <c r="A103" s="6">
        <v>102</v>
      </c>
      <c r="B103" s="8" t="s">
        <v>2310</v>
      </c>
      <c r="C103" s="8" t="s">
        <v>2311</v>
      </c>
      <c r="D103" s="8" t="s">
        <v>2312</v>
      </c>
      <c r="E103" s="8" t="s">
        <v>1400</v>
      </c>
      <c r="F103" s="8" t="s">
        <v>2313</v>
      </c>
    </row>
    <row r="104" customHeight="1" spans="1:6">
      <c r="A104" s="6">
        <v>103</v>
      </c>
      <c r="B104" s="8" t="s">
        <v>2310</v>
      </c>
      <c r="C104" s="8" t="s">
        <v>2311</v>
      </c>
      <c r="D104" s="8" t="s">
        <v>2312</v>
      </c>
      <c r="E104" s="8" t="s">
        <v>1400</v>
      </c>
      <c r="F104" s="8" t="s">
        <v>2313</v>
      </c>
    </row>
    <row r="105" customHeight="1" spans="1:6">
      <c r="A105" s="6">
        <v>104</v>
      </c>
      <c r="B105" s="8" t="s">
        <v>2310</v>
      </c>
      <c r="C105" s="8" t="s">
        <v>2311</v>
      </c>
      <c r="D105" s="8" t="s">
        <v>2312</v>
      </c>
      <c r="E105" s="8" t="s">
        <v>1400</v>
      </c>
      <c r="F105" s="8" t="s">
        <v>2313</v>
      </c>
    </row>
    <row r="106" customHeight="1" spans="1:6">
      <c r="A106" s="6">
        <v>105</v>
      </c>
      <c r="B106" s="7" t="str">
        <f>"978-7-5047-7270-1"</f>
        <v>978-7-5047-7270-1</v>
      </c>
      <c r="C106" s="7" t="str">
        <f>"经济学之谜与迂回经济学探究"</f>
        <v>经济学之谜与迂回经济学探究</v>
      </c>
      <c r="D106" s="7" t="str">
        <f>"曾永寿著"</f>
        <v>曾永寿著</v>
      </c>
      <c r="E106" s="7" t="str">
        <f>"中国财富出版社有限公司"</f>
        <v>中国财富出版社有限公司</v>
      </c>
      <c r="F106" s="7" t="str">
        <f>"F0-53/149"</f>
        <v>F0-53/149</v>
      </c>
    </row>
    <row r="107" customHeight="1" spans="1:6">
      <c r="A107" s="6">
        <v>106</v>
      </c>
      <c r="B107" s="7" t="str">
        <f>"978-7-5047-7270-1"</f>
        <v>978-7-5047-7270-1</v>
      </c>
      <c r="C107" s="7" t="str">
        <f>"经济学之谜与迂回经济学探究"</f>
        <v>经济学之谜与迂回经济学探究</v>
      </c>
      <c r="D107" s="7" t="str">
        <f>"曾永寿著"</f>
        <v>曾永寿著</v>
      </c>
      <c r="E107" s="7" t="str">
        <f>"中国财富出版社有限公司"</f>
        <v>中国财富出版社有限公司</v>
      </c>
      <c r="F107" s="7" t="str">
        <f>"F0-53/149"</f>
        <v>F0-53/149</v>
      </c>
    </row>
    <row r="108" customHeight="1" spans="1:6">
      <c r="A108" s="6">
        <v>107</v>
      </c>
      <c r="B108" s="7" t="str">
        <f>"978-7-5217-3229-0"</f>
        <v>978-7-5217-3229-0</v>
      </c>
      <c r="C108" s="7" t="str">
        <f>"真实世界的经济学"</f>
        <v>真实世界的经济学</v>
      </c>
      <c r="D108" s="7" t="str">
        <f>"周其仁著"</f>
        <v>周其仁著</v>
      </c>
      <c r="E108" s="7" t="str">
        <f>"中信出版集团股份有限公司"</f>
        <v>中信出版集团股份有限公司</v>
      </c>
      <c r="F108" s="7" t="str">
        <f>"F0-53/18-2"</f>
        <v>F0-53/18-2</v>
      </c>
    </row>
    <row r="109" customHeight="1" spans="1:6">
      <c r="A109" s="6">
        <v>108</v>
      </c>
      <c r="B109" s="7" t="str">
        <f>"978-7-5217-3229-0"</f>
        <v>978-7-5217-3229-0</v>
      </c>
      <c r="C109" s="7" t="str">
        <f>"真实世界的经济学"</f>
        <v>真实世界的经济学</v>
      </c>
      <c r="D109" s="7" t="str">
        <f>"周其仁著"</f>
        <v>周其仁著</v>
      </c>
      <c r="E109" s="7" t="str">
        <f>"中信出版集团股份有限公司"</f>
        <v>中信出版集团股份有限公司</v>
      </c>
      <c r="F109" s="7" t="str">
        <f>"F0-53/18-2"</f>
        <v>F0-53/18-2</v>
      </c>
    </row>
    <row r="110" customHeight="1" spans="1:6">
      <c r="A110" s="6">
        <v>109</v>
      </c>
      <c r="B110" s="8" t="s">
        <v>2314</v>
      </c>
      <c r="C110" s="8" t="s">
        <v>2315</v>
      </c>
      <c r="D110" s="8" t="s">
        <v>2316</v>
      </c>
      <c r="E110" s="8" t="s">
        <v>1967</v>
      </c>
      <c r="F110" s="8" t="s">
        <v>2317</v>
      </c>
    </row>
    <row r="111" customHeight="1" spans="1:6">
      <c r="A111" s="6">
        <v>110</v>
      </c>
      <c r="B111" s="8" t="s">
        <v>2314</v>
      </c>
      <c r="C111" s="8" t="s">
        <v>2315</v>
      </c>
      <c r="D111" s="8" t="s">
        <v>2316</v>
      </c>
      <c r="E111" s="8" t="s">
        <v>1967</v>
      </c>
      <c r="F111" s="8" t="s">
        <v>2317</v>
      </c>
    </row>
    <row r="112" customHeight="1" spans="1:6">
      <c r="A112" s="6">
        <v>111</v>
      </c>
      <c r="B112" s="8" t="s">
        <v>2318</v>
      </c>
      <c r="C112" s="8" t="s">
        <v>2319</v>
      </c>
      <c r="D112" s="8" t="s">
        <v>2320</v>
      </c>
      <c r="E112" s="8" t="s">
        <v>311</v>
      </c>
      <c r="F112" s="8" t="s">
        <v>2321</v>
      </c>
    </row>
    <row r="113" customHeight="1" spans="1:6">
      <c r="A113" s="6">
        <v>112</v>
      </c>
      <c r="B113" s="8" t="s">
        <v>2318</v>
      </c>
      <c r="C113" s="8" t="s">
        <v>2319</v>
      </c>
      <c r="D113" s="8" t="s">
        <v>2320</v>
      </c>
      <c r="E113" s="8" t="s">
        <v>311</v>
      </c>
      <c r="F113" s="8" t="s">
        <v>2321</v>
      </c>
    </row>
    <row r="114" customHeight="1" spans="1:6">
      <c r="A114" s="6">
        <v>113</v>
      </c>
      <c r="B114" s="8" t="s">
        <v>2322</v>
      </c>
      <c r="C114" s="8" t="s">
        <v>2323</v>
      </c>
      <c r="D114" s="8" t="s">
        <v>2324</v>
      </c>
      <c r="E114" s="8" t="s">
        <v>283</v>
      </c>
      <c r="F114" s="8" t="s">
        <v>2325</v>
      </c>
    </row>
    <row r="115" customHeight="1" spans="1:6">
      <c r="A115" s="6">
        <v>114</v>
      </c>
      <c r="B115" s="8" t="s">
        <v>2322</v>
      </c>
      <c r="C115" s="8" t="s">
        <v>2323</v>
      </c>
      <c r="D115" s="8" t="s">
        <v>2324</v>
      </c>
      <c r="E115" s="8" t="s">
        <v>283</v>
      </c>
      <c r="F115" s="8" t="s">
        <v>2325</v>
      </c>
    </row>
    <row r="116" customHeight="1" spans="1:6">
      <c r="A116" s="6">
        <v>115</v>
      </c>
      <c r="B116" s="8" t="s">
        <v>2322</v>
      </c>
      <c r="C116" s="8" t="s">
        <v>2323</v>
      </c>
      <c r="D116" s="8" t="s">
        <v>2324</v>
      </c>
      <c r="E116" s="8" t="s">
        <v>283</v>
      </c>
      <c r="F116" s="8" t="s">
        <v>2325</v>
      </c>
    </row>
    <row r="117" customHeight="1" spans="1:6">
      <c r="A117" s="6">
        <v>116</v>
      </c>
      <c r="B117" s="8" t="s">
        <v>2326</v>
      </c>
      <c r="C117" s="8" t="s">
        <v>2327</v>
      </c>
      <c r="D117" s="8" t="s">
        <v>2328</v>
      </c>
      <c r="E117" s="8" t="s">
        <v>270</v>
      </c>
      <c r="F117" s="8" t="s">
        <v>2329</v>
      </c>
    </row>
    <row r="118" customHeight="1" spans="1:6">
      <c r="A118" s="6">
        <v>117</v>
      </c>
      <c r="B118" s="8" t="s">
        <v>2326</v>
      </c>
      <c r="C118" s="8" t="s">
        <v>2327</v>
      </c>
      <c r="D118" s="8" t="s">
        <v>2328</v>
      </c>
      <c r="E118" s="8" t="s">
        <v>270</v>
      </c>
      <c r="F118" s="8" t="s">
        <v>2329</v>
      </c>
    </row>
    <row r="119" customHeight="1" spans="1:6">
      <c r="A119" s="6">
        <v>118</v>
      </c>
      <c r="B119" s="8" t="s">
        <v>2330</v>
      </c>
      <c r="C119" s="8" t="s">
        <v>2331</v>
      </c>
      <c r="D119" s="8" t="s">
        <v>2332</v>
      </c>
      <c r="E119" s="8" t="s">
        <v>485</v>
      </c>
      <c r="F119" s="8" t="s">
        <v>2333</v>
      </c>
    </row>
    <row r="120" customHeight="1" spans="1:6">
      <c r="A120" s="6">
        <v>119</v>
      </c>
      <c r="B120" s="8" t="s">
        <v>2330</v>
      </c>
      <c r="C120" s="8" t="s">
        <v>2331</v>
      </c>
      <c r="D120" s="8" t="s">
        <v>2332</v>
      </c>
      <c r="E120" s="8" t="s">
        <v>485</v>
      </c>
      <c r="F120" s="8" t="s">
        <v>2333</v>
      </c>
    </row>
    <row r="121" customHeight="1" spans="1:6">
      <c r="A121" s="6">
        <v>120</v>
      </c>
      <c r="B121" s="8" t="s">
        <v>2334</v>
      </c>
      <c r="C121" s="8" t="s">
        <v>2335</v>
      </c>
      <c r="D121" s="8" t="s">
        <v>2336</v>
      </c>
      <c r="E121" s="8" t="s">
        <v>2337</v>
      </c>
      <c r="F121" s="8" t="s">
        <v>2338</v>
      </c>
    </row>
    <row r="122" customHeight="1" spans="1:6">
      <c r="A122" s="6">
        <v>121</v>
      </c>
      <c r="B122" s="8" t="s">
        <v>2334</v>
      </c>
      <c r="C122" s="8" t="s">
        <v>2335</v>
      </c>
      <c r="D122" s="8" t="s">
        <v>2336</v>
      </c>
      <c r="E122" s="8" t="s">
        <v>2337</v>
      </c>
      <c r="F122" s="8" t="s">
        <v>2338</v>
      </c>
    </row>
    <row r="123" customHeight="1" spans="1:6">
      <c r="A123" s="6">
        <v>122</v>
      </c>
      <c r="B123" s="8" t="s">
        <v>2339</v>
      </c>
      <c r="C123" s="8" t="s">
        <v>2340</v>
      </c>
      <c r="D123" s="8" t="s">
        <v>2341</v>
      </c>
      <c r="E123" s="8" t="s">
        <v>2284</v>
      </c>
      <c r="F123" s="8" t="s">
        <v>2342</v>
      </c>
    </row>
    <row r="124" customHeight="1" spans="1:6">
      <c r="A124" s="6">
        <v>123</v>
      </c>
      <c r="B124" s="8" t="s">
        <v>2339</v>
      </c>
      <c r="C124" s="8" t="s">
        <v>2340</v>
      </c>
      <c r="D124" s="8" t="s">
        <v>2341</v>
      </c>
      <c r="E124" s="8" t="s">
        <v>2284</v>
      </c>
      <c r="F124" s="8" t="s">
        <v>2342</v>
      </c>
    </row>
    <row r="125" customHeight="1" spans="1:6">
      <c r="A125" s="6">
        <v>124</v>
      </c>
      <c r="B125" s="8" t="s">
        <v>2343</v>
      </c>
      <c r="C125" s="8" t="s">
        <v>2344</v>
      </c>
      <c r="D125" s="8" t="s">
        <v>2345</v>
      </c>
      <c r="E125" s="8" t="s">
        <v>288</v>
      </c>
      <c r="F125" s="8" t="s">
        <v>2346</v>
      </c>
    </row>
    <row r="126" customHeight="1" spans="1:6">
      <c r="A126" s="6">
        <v>125</v>
      </c>
      <c r="B126" s="8" t="s">
        <v>2347</v>
      </c>
      <c r="C126" s="8" t="s">
        <v>2348</v>
      </c>
      <c r="D126" s="8" t="s">
        <v>2349</v>
      </c>
      <c r="E126" s="8" t="s">
        <v>723</v>
      </c>
      <c r="F126" s="8" t="s">
        <v>2350</v>
      </c>
    </row>
    <row r="127" customHeight="1" spans="1:6">
      <c r="A127" s="6">
        <v>126</v>
      </c>
      <c r="B127" s="8" t="s">
        <v>2351</v>
      </c>
      <c r="C127" s="8" t="s">
        <v>2352</v>
      </c>
      <c r="D127" s="8" t="s">
        <v>2353</v>
      </c>
      <c r="E127" s="8" t="s">
        <v>881</v>
      </c>
      <c r="F127" s="8" t="s">
        <v>2354</v>
      </c>
    </row>
    <row r="128" customHeight="1" spans="1:6">
      <c r="A128" s="6">
        <v>127</v>
      </c>
      <c r="B128" s="8" t="s">
        <v>2351</v>
      </c>
      <c r="C128" s="8" t="s">
        <v>2352</v>
      </c>
      <c r="D128" s="8" t="s">
        <v>2353</v>
      </c>
      <c r="E128" s="8" t="s">
        <v>881</v>
      </c>
      <c r="F128" s="8" t="s">
        <v>2354</v>
      </c>
    </row>
    <row r="129" customHeight="1" spans="1:6">
      <c r="A129" s="6">
        <v>128</v>
      </c>
      <c r="B129" s="7" t="str">
        <f>"978-7-111-68436-7"</f>
        <v>978-7-111-68436-7</v>
      </c>
      <c r="C129" s="7" t="str">
        <f>"创新的起源：一部科学技术进步史"</f>
        <v>创新的起源：一部科学技术进步史</v>
      </c>
      <c r="D129" s="7" t="str">
        <f>"(英) 马特·里德利著Malt Ridley；王大鹏， 张智慧译"</f>
        <v>(英) 马特·里德利著Malt Ridley；王大鹏， 张智慧译</v>
      </c>
      <c r="E129" s="7" t="str">
        <f>"机械工业出版社"</f>
        <v>机械工业出版社</v>
      </c>
      <c r="F129" s="7" t="str">
        <f>"F062.4/107"</f>
        <v>F062.4/107</v>
      </c>
    </row>
    <row r="130" customHeight="1" spans="1:6">
      <c r="A130" s="6">
        <v>129</v>
      </c>
      <c r="B130" s="7" t="str">
        <f>"978-7-111-68436-7"</f>
        <v>978-7-111-68436-7</v>
      </c>
      <c r="C130" s="7" t="str">
        <f>"创新的起源：一部科学技术进步史"</f>
        <v>创新的起源：一部科学技术进步史</v>
      </c>
      <c r="D130" s="7" t="str">
        <f>"(英) 马特·里德利著Malt Ridley；王大鹏， 张智慧译"</f>
        <v>(英) 马特·里德利著Malt Ridley；王大鹏， 张智慧译</v>
      </c>
      <c r="E130" s="7" t="str">
        <f>"机械工业出版社"</f>
        <v>机械工业出版社</v>
      </c>
      <c r="F130" s="7" t="str">
        <f>"F062.4/107"</f>
        <v>F062.4/107</v>
      </c>
    </row>
    <row r="131" customHeight="1" spans="1:6">
      <c r="A131" s="6">
        <v>130</v>
      </c>
      <c r="B131" s="8" t="s">
        <v>2355</v>
      </c>
      <c r="C131" s="8" t="s">
        <v>2356</v>
      </c>
      <c r="D131" s="8" t="s">
        <v>2357</v>
      </c>
      <c r="E131" s="8" t="s">
        <v>2358</v>
      </c>
      <c r="F131" s="8" t="s">
        <v>2359</v>
      </c>
    </row>
    <row r="132" customHeight="1" spans="1:6">
      <c r="A132" s="6">
        <v>131</v>
      </c>
      <c r="B132" s="8" t="s">
        <v>2355</v>
      </c>
      <c r="C132" s="8" t="s">
        <v>2356</v>
      </c>
      <c r="D132" s="8" t="s">
        <v>2357</v>
      </c>
      <c r="E132" s="8" t="s">
        <v>2358</v>
      </c>
      <c r="F132" s="8" t="s">
        <v>2359</v>
      </c>
    </row>
    <row r="133" customHeight="1" spans="1:6">
      <c r="A133" s="6">
        <v>132</v>
      </c>
      <c r="B133" s="8" t="s">
        <v>2355</v>
      </c>
      <c r="C133" s="8" t="s">
        <v>2356</v>
      </c>
      <c r="D133" s="8" t="s">
        <v>2357</v>
      </c>
      <c r="E133" s="8" t="s">
        <v>2358</v>
      </c>
      <c r="F133" s="8" t="s">
        <v>2359</v>
      </c>
    </row>
    <row r="134" customHeight="1" spans="1:6">
      <c r="A134" s="6">
        <v>133</v>
      </c>
      <c r="B134" s="8" t="s">
        <v>2360</v>
      </c>
      <c r="C134" s="8" t="s">
        <v>2361</v>
      </c>
      <c r="D134" s="8" t="s">
        <v>2362</v>
      </c>
      <c r="E134" s="8" t="s">
        <v>485</v>
      </c>
      <c r="F134" s="8" t="s">
        <v>2363</v>
      </c>
    </row>
    <row r="135" customHeight="1" spans="1:6">
      <c r="A135" s="6">
        <v>134</v>
      </c>
      <c r="B135" s="8" t="s">
        <v>2360</v>
      </c>
      <c r="C135" s="8" t="s">
        <v>2361</v>
      </c>
      <c r="D135" s="8" t="s">
        <v>2362</v>
      </c>
      <c r="E135" s="8" t="s">
        <v>485</v>
      </c>
      <c r="F135" s="8" t="s">
        <v>2363</v>
      </c>
    </row>
    <row r="136" customHeight="1" spans="1:6">
      <c r="A136" s="6">
        <v>135</v>
      </c>
      <c r="B136" s="8" t="s">
        <v>2364</v>
      </c>
      <c r="C136" s="8" t="s">
        <v>2361</v>
      </c>
      <c r="D136" s="8" t="s">
        <v>2365</v>
      </c>
      <c r="E136" s="8" t="s">
        <v>1948</v>
      </c>
      <c r="F136" s="8" t="s">
        <v>2366</v>
      </c>
    </row>
    <row r="137" customHeight="1" spans="1:6">
      <c r="A137" s="6">
        <v>136</v>
      </c>
      <c r="B137" s="8" t="s">
        <v>2364</v>
      </c>
      <c r="C137" s="8" t="s">
        <v>2361</v>
      </c>
      <c r="D137" s="8" t="s">
        <v>2365</v>
      </c>
      <c r="E137" s="8" t="s">
        <v>1948</v>
      </c>
      <c r="F137" s="8" t="s">
        <v>2366</v>
      </c>
    </row>
    <row r="138" customHeight="1" spans="1:6">
      <c r="A138" s="6">
        <v>137</v>
      </c>
      <c r="B138" s="8" t="s">
        <v>2367</v>
      </c>
      <c r="C138" s="8" t="s">
        <v>2368</v>
      </c>
      <c r="D138" s="8" t="s">
        <v>2369</v>
      </c>
      <c r="E138" s="8" t="s">
        <v>1329</v>
      </c>
      <c r="F138" s="8" t="s">
        <v>2370</v>
      </c>
    </row>
    <row r="139" customHeight="1" spans="1:6">
      <c r="A139" s="6">
        <v>138</v>
      </c>
      <c r="B139" s="8" t="s">
        <v>2367</v>
      </c>
      <c r="C139" s="8" t="s">
        <v>2368</v>
      </c>
      <c r="D139" s="8" t="s">
        <v>2369</v>
      </c>
      <c r="E139" s="8" t="s">
        <v>1329</v>
      </c>
      <c r="F139" s="8" t="s">
        <v>2370</v>
      </c>
    </row>
    <row r="140" customHeight="1" spans="1:6">
      <c r="A140" s="6">
        <v>139</v>
      </c>
      <c r="B140" s="8" t="s">
        <v>2371</v>
      </c>
      <c r="C140" s="8" t="s">
        <v>2372</v>
      </c>
      <c r="D140" s="8" t="s">
        <v>2373</v>
      </c>
      <c r="E140" s="8" t="s">
        <v>288</v>
      </c>
      <c r="F140" s="8" t="s">
        <v>2374</v>
      </c>
    </row>
    <row r="141" customHeight="1" spans="1:6">
      <c r="A141" s="6">
        <v>140</v>
      </c>
      <c r="B141" s="8" t="s">
        <v>2371</v>
      </c>
      <c r="C141" s="8" t="s">
        <v>2372</v>
      </c>
      <c r="D141" s="8" t="s">
        <v>2373</v>
      </c>
      <c r="E141" s="8" t="s">
        <v>288</v>
      </c>
      <c r="F141" s="8" t="s">
        <v>2374</v>
      </c>
    </row>
    <row r="142" customHeight="1" spans="1:6">
      <c r="A142" s="6">
        <v>141</v>
      </c>
      <c r="B142" s="8" t="s">
        <v>2375</v>
      </c>
      <c r="C142" s="8" t="s">
        <v>2376</v>
      </c>
      <c r="D142" s="8" t="s">
        <v>2377</v>
      </c>
      <c r="E142" s="8" t="s">
        <v>890</v>
      </c>
      <c r="F142" s="8" t="s">
        <v>2378</v>
      </c>
    </row>
    <row r="143" customHeight="1" spans="1:6">
      <c r="A143" s="6">
        <v>142</v>
      </c>
      <c r="B143" s="8" t="s">
        <v>2375</v>
      </c>
      <c r="C143" s="8" t="s">
        <v>2376</v>
      </c>
      <c r="D143" s="8" t="s">
        <v>2377</v>
      </c>
      <c r="E143" s="8" t="s">
        <v>890</v>
      </c>
      <c r="F143" s="8" t="s">
        <v>2378</v>
      </c>
    </row>
    <row r="144" customHeight="1" spans="1:6">
      <c r="A144" s="6">
        <v>143</v>
      </c>
      <c r="B144" s="8" t="s">
        <v>2375</v>
      </c>
      <c r="C144" s="8" t="s">
        <v>2376</v>
      </c>
      <c r="D144" s="8" t="s">
        <v>2377</v>
      </c>
      <c r="E144" s="8" t="s">
        <v>890</v>
      </c>
      <c r="F144" s="8" t="s">
        <v>2378</v>
      </c>
    </row>
    <row r="145" customHeight="1" spans="1:6">
      <c r="A145" s="6">
        <v>144</v>
      </c>
      <c r="B145" s="8" t="s">
        <v>2379</v>
      </c>
      <c r="C145" s="8" t="s">
        <v>2380</v>
      </c>
      <c r="D145" s="8" t="s">
        <v>2381</v>
      </c>
      <c r="E145" s="8" t="s">
        <v>2212</v>
      </c>
      <c r="F145" s="8" t="s">
        <v>2382</v>
      </c>
    </row>
    <row r="146" customHeight="1" spans="1:6">
      <c r="A146" s="6">
        <v>145</v>
      </c>
      <c r="B146" s="8" t="s">
        <v>2379</v>
      </c>
      <c r="C146" s="8" t="s">
        <v>2380</v>
      </c>
      <c r="D146" s="8" t="s">
        <v>2381</v>
      </c>
      <c r="E146" s="8" t="s">
        <v>2212</v>
      </c>
      <c r="F146" s="8" t="s">
        <v>2382</v>
      </c>
    </row>
    <row r="147" customHeight="1" spans="1:6">
      <c r="A147" s="6">
        <v>146</v>
      </c>
      <c r="B147" s="8" t="s">
        <v>2383</v>
      </c>
      <c r="C147" s="8" t="s">
        <v>2384</v>
      </c>
      <c r="D147" s="8" t="s">
        <v>2385</v>
      </c>
      <c r="E147" s="8" t="s">
        <v>288</v>
      </c>
      <c r="F147" s="8" t="s">
        <v>2386</v>
      </c>
    </row>
    <row r="148" customHeight="1" spans="1:6">
      <c r="A148" s="6">
        <v>147</v>
      </c>
      <c r="B148" s="8" t="s">
        <v>2383</v>
      </c>
      <c r="C148" s="8" t="s">
        <v>2384</v>
      </c>
      <c r="D148" s="8" t="s">
        <v>2385</v>
      </c>
      <c r="E148" s="8" t="s">
        <v>288</v>
      </c>
      <c r="F148" s="8" t="s">
        <v>2386</v>
      </c>
    </row>
    <row r="149" customHeight="1" spans="1:6">
      <c r="A149" s="6">
        <v>148</v>
      </c>
      <c r="B149" s="8" t="s">
        <v>2387</v>
      </c>
      <c r="C149" s="8" t="s">
        <v>2388</v>
      </c>
      <c r="D149" s="8" t="s">
        <v>2389</v>
      </c>
      <c r="E149" s="8" t="s">
        <v>576</v>
      </c>
      <c r="F149" s="8" t="s">
        <v>2390</v>
      </c>
    </row>
    <row r="150" customHeight="1" spans="1:6">
      <c r="A150" s="6">
        <v>149</v>
      </c>
      <c r="B150" s="8" t="s">
        <v>2387</v>
      </c>
      <c r="C150" s="8" t="s">
        <v>2388</v>
      </c>
      <c r="D150" s="8" t="s">
        <v>2389</v>
      </c>
      <c r="E150" s="8" t="s">
        <v>576</v>
      </c>
      <c r="F150" s="8" t="s">
        <v>2390</v>
      </c>
    </row>
    <row r="151" customHeight="1" spans="1:6">
      <c r="A151" s="6">
        <v>150</v>
      </c>
      <c r="B151" s="7" t="str">
        <f t="shared" ref="B151:B153" si="7">"978-7-5207-2307-7"</f>
        <v>978-7-5207-2307-7</v>
      </c>
      <c r="C151" s="7" t="str">
        <f t="shared" ref="C151:C153" si="8">"人类愚蠢基本定律"</f>
        <v>人类愚蠢基本定律</v>
      </c>
      <c r="D151" s="7" t="str">
        <f t="shared" ref="D151:D153" si="9">"(意) 卡洛·奇波拉著Carlo M. Cipolla；信美利译"</f>
        <v>(意) 卡洛·奇波拉著Carlo M. Cipolla；信美利译</v>
      </c>
      <c r="E151" s="7" t="str">
        <f t="shared" ref="E151:E153" si="10">"东方出版社"</f>
        <v>东方出版社</v>
      </c>
      <c r="F151" s="7" t="str">
        <f t="shared" ref="F151:F153" si="11">"F069.9/87"</f>
        <v>F069.9/87</v>
      </c>
    </row>
    <row r="152" customHeight="1" spans="1:6">
      <c r="A152" s="6">
        <v>151</v>
      </c>
      <c r="B152" s="7" t="str">
        <f t="shared" si="7"/>
        <v>978-7-5207-2307-7</v>
      </c>
      <c r="C152" s="7" t="str">
        <f t="shared" si="8"/>
        <v>人类愚蠢基本定律</v>
      </c>
      <c r="D152" s="7" t="str">
        <f t="shared" si="9"/>
        <v>(意) 卡洛·奇波拉著Carlo M. Cipolla；信美利译</v>
      </c>
      <c r="E152" s="7" t="str">
        <f t="shared" si="10"/>
        <v>东方出版社</v>
      </c>
      <c r="F152" s="7" t="str">
        <f t="shared" si="11"/>
        <v>F069.9/87</v>
      </c>
    </row>
    <row r="153" customHeight="1" spans="1:6">
      <c r="A153" s="6">
        <v>152</v>
      </c>
      <c r="B153" s="7" t="str">
        <f t="shared" si="7"/>
        <v>978-7-5207-2307-7</v>
      </c>
      <c r="C153" s="7" t="str">
        <f t="shared" si="8"/>
        <v>人类愚蠢基本定律</v>
      </c>
      <c r="D153" s="7" t="str">
        <f t="shared" si="9"/>
        <v>(意) 卡洛·奇波拉著Carlo M. Cipolla；信美利译</v>
      </c>
      <c r="E153" s="7" t="str">
        <f t="shared" si="10"/>
        <v>东方出版社</v>
      </c>
      <c r="F153" s="7" t="str">
        <f t="shared" si="11"/>
        <v>F069.9/87</v>
      </c>
    </row>
    <row r="154" customHeight="1" spans="1:6">
      <c r="A154" s="6">
        <v>153</v>
      </c>
      <c r="B154" s="8" t="s">
        <v>2391</v>
      </c>
      <c r="C154" s="8" t="s">
        <v>2392</v>
      </c>
      <c r="D154" s="8" t="s">
        <v>2393</v>
      </c>
      <c r="E154" s="8" t="s">
        <v>13</v>
      </c>
      <c r="F154" s="8" t="s">
        <v>2394</v>
      </c>
    </row>
    <row r="155" customHeight="1" spans="1:6">
      <c r="A155" s="6">
        <v>154</v>
      </c>
      <c r="B155" s="8" t="s">
        <v>2391</v>
      </c>
      <c r="C155" s="8" t="s">
        <v>2392</v>
      </c>
      <c r="D155" s="8" t="s">
        <v>2393</v>
      </c>
      <c r="E155" s="8" t="s">
        <v>13</v>
      </c>
      <c r="F155" s="8" t="s">
        <v>2394</v>
      </c>
    </row>
    <row r="156" customHeight="1" spans="1:6">
      <c r="A156" s="6">
        <v>155</v>
      </c>
      <c r="B156" s="8" t="s">
        <v>2395</v>
      </c>
      <c r="C156" s="8" t="s">
        <v>2396</v>
      </c>
      <c r="D156" s="8" t="s">
        <v>2397</v>
      </c>
      <c r="E156" s="8" t="s">
        <v>53</v>
      </c>
      <c r="F156" s="8" t="s">
        <v>2398</v>
      </c>
    </row>
    <row r="157" customHeight="1" spans="1:6">
      <c r="A157" s="6">
        <v>156</v>
      </c>
      <c r="B157" s="8" t="s">
        <v>2395</v>
      </c>
      <c r="C157" s="8" t="s">
        <v>2396</v>
      </c>
      <c r="D157" s="8" t="s">
        <v>2397</v>
      </c>
      <c r="E157" s="8" t="s">
        <v>53</v>
      </c>
      <c r="F157" s="8" t="s">
        <v>2398</v>
      </c>
    </row>
    <row r="158" customHeight="1" spans="1:6">
      <c r="A158" s="6">
        <v>157</v>
      </c>
      <c r="B158" s="8" t="s">
        <v>2399</v>
      </c>
      <c r="C158" s="8" t="s">
        <v>2400</v>
      </c>
      <c r="D158" s="8" t="s">
        <v>2401</v>
      </c>
      <c r="E158" s="8" t="s">
        <v>810</v>
      </c>
      <c r="F158" s="8" t="s">
        <v>2402</v>
      </c>
    </row>
    <row r="159" customHeight="1" spans="1:6">
      <c r="A159" s="6">
        <v>158</v>
      </c>
      <c r="B159" s="8" t="s">
        <v>2399</v>
      </c>
      <c r="C159" s="8" t="s">
        <v>2400</v>
      </c>
      <c r="D159" s="8" t="s">
        <v>2401</v>
      </c>
      <c r="E159" s="8" t="s">
        <v>810</v>
      </c>
      <c r="F159" s="8" t="s">
        <v>2402</v>
      </c>
    </row>
    <row r="160" customHeight="1" spans="1:6">
      <c r="A160" s="6">
        <v>159</v>
      </c>
      <c r="B160" s="8" t="s">
        <v>2399</v>
      </c>
      <c r="C160" s="8" t="s">
        <v>2400</v>
      </c>
      <c r="D160" s="8" t="s">
        <v>2401</v>
      </c>
      <c r="E160" s="8" t="s">
        <v>810</v>
      </c>
      <c r="F160" s="8" t="s">
        <v>2402</v>
      </c>
    </row>
    <row r="161" customHeight="1" spans="1:6">
      <c r="A161" s="6">
        <v>160</v>
      </c>
      <c r="B161" s="7" t="str">
        <f>"978-7-5638-3206-4"</f>
        <v>978-7-5638-3206-4</v>
      </c>
      <c r="C161" s="7" t="str">
        <f>"欧美经济学史"</f>
        <v>欧美经济学史</v>
      </c>
      <c r="D161" s="7" t="str">
        <f>"赵迺抟著"</f>
        <v>赵迺抟著</v>
      </c>
      <c r="E161" s="7" t="str">
        <f>"首都经济贸易大学出版社"</f>
        <v>首都经济贸易大学出版社</v>
      </c>
      <c r="F161" s="7" t="str">
        <f>"F09/10"</f>
        <v>F09/10</v>
      </c>
    </row>
    <row r="162" customHeight="1" spans="1:6">
      <c r="A162" s="6">
        <v>161</v>
      </c>
      <c r="B162" s="7" t="str">
        <f>"978-7-5638-3206-4"</f>
        <v>978-7-5638-3206-4</v>
      </c>
      <c r="C162" s="7" t="str">
        <f>"欧美经济学史"</f>
        <v>欧美经济学史</v>
      </c>
      <c r="D162" s="7" t="str">
        <f>"赵迺抟著"</f>
        <v>赵迺抟著</v>
      </c>
      <c r="E162" s="7" t="str">
        <f>"首都经济贸易大学出版社"</f>
        <v>首都经济贸易大学出版社</v>
      </c>
      <c r="F162" s="7" t="str">
        <f>"F09/10"</f>
        <v>F09/10</v>
      </c>
    </row>
    <row r="163" customHeight="1" spans="1:6">
      <c r="A163" s="6">
        <v>162</v>
      </c>
      <c r="B163" s="7" t="str">
        <f>"978-7-301-24787-7"</f>
        <v>978-7-301-24787-7</v>
      </c>
      <c r="C163" s="7" t="str">
        <f>"经济思想史"</f>
        <v>经济思想史</v>
      </c>
      <c r="D163" s="7" t="str">
        <f>"(美) 斯坦利·L.布鲁， 兰迪·R.格兰特著Stanley L. Brue， Randy R. Grant；邸晓燕等译"</f>
        <v>(美) 斯坦利·L.布鲁， 兰迪·R.格兰特著Stanley L. Brue， Randy R. Grant；邸晓燕等译</v>
      </c>
      <c r="E163" s="7" t="str">
        <f>"北京大学出版社"</f>
        <v>北京大学出版社</v>
      </c>
      <c r="F163" s="7" t="str">
        <f>"F09/2-2"</f>
        <v>F09/2-2</v>
      </c>
    </row>
    <row r="164" customHeight="1" spans="1:6">
      <c r="A164" s="6">
        <v>163</v>
      </c>
      <c r="B164" s="7" t="str">
        <f>"978-7-301-24787-7"</f>
        <v>978-7-301-24787-7</v>
      </c>
      <c r="C164" s="7" t="str">
        <f>"经济思想史"</f>
        <v>经济思想史</v>
      </c>
      <c r="D164" s="7" t="str">
        <f>"(美) 斯坦利·L.布鲁， 兰迪·R.格兰特著Stanley L. Brue， Randy R. Grant；邸晓燕等译"</f>
        <v>(美) 斯坦利·L.布鲁， 兰迪·R.格兰特著Stanley L. Brue， Randy R. Grant；邸晓燕等译</v>
      </c>
      <c r="E164" s="7" t="str">
        <f>"北京大学出版社"</f>
        <v>北京大学出版社</v>
      </c>
      <c r="F164" s="7" t="str">
        <f>"F09/2-2"</f>
        <v>F09/2-2</v>
      </c>
    </row>
    <row r="165" customHeight="1" spans="1:6">
      <c r="A165" s="6">
        <v>164</v>
      </c>
      <c r="B165" s="8" t="s">
        <v>2403</v>
      </c>
      <c r="C165" s="8" t="s">
        <v>2404</v>
      </c>
      <c r="D165" s="8" t="s">
        <v>2405</v>
      </c>
      <c r="E165" s="8" t="s">
        <v>1967</v>
      </c>
      <c r="F165" s="8" t="s">
        <v>2406</v>
      </c>
    </row>
    <row r="166" customHeight="1" spans="1:6">
      <c r="A166" s="6">
        <v>165</v>
      </c>
      <c r="B166" s="8" t="s">
        <v>2403</v>
      </c>
      <c r="C166" s="8" t="s">
        <v>2404</v>
      </c>
      <c r="D166" s="8" t="s">
        <v>2405</v>
      </c>
      <c r="E166" s="8" t="s">
        <v>1967</v>
      </c>
      <c r="F166" s="8" t="s">
        <v>2406</v>
      </c>
    </row>
    <row r="167" customHeight="1" spans="1:6">
      <c r="A167" s="6">
        <v>166</v>
      </c>
      <c r="B167" s="8" t="s">
        <v>2403</v>
      </c>
      <c r="C167" s="8" t="s">
        <v>2404</v>
      </c>
      <c r="D167" s="8" t="s">
        <v>2405</v>
      </c>
      <c r="E167" s="8" t="s">
        <v>1967</v>
      </c>
      <c r="F167" s="8" t="s">
        <v>2406</v>
      </c>
    </row>
    <row r="168" customHeight="1" spans="1:6">
      <c r="A168" s="6">
        <v>167</v>
      </c>
      <c r="B168" s="8" t="s">
        <v>2407</v>
      </c>
      <c r="C168" s="8" t="s">
        <v>2408</v>
      </c>
      <c r="D168" s="8" t="s">
        <v>2409</v>
      </c>
      <c r="E168" s="8" t="s">
        <v>634</v>
      </c>
      <c r="F168" s="8" t="s">
        <v>2410</v>
      </c>
    </row>
    <row r="169" customHeight="1" spans="1:6">
      <c r="A169" s="6">
        <v>168</v>
      </c>
      <c r="B169" s="8" t="s">
        <v>2407</v>
      </c>
      <c r="C169" s="8" t="s">
        <v>2408</v>
      </c>
      <c r="D169" s="8" t="s">
        <v>2409</v>
      </c>
      <c r="E169" s="8" t="s">
        <v>634</v>
      </c>
      <c r="F169" s="8" t="s">
        <v>2410</v>
      </c>
    </row>
    <row r="170" customHeight="1" spans="1:6">
      <c r="A170" s="6">
        <v>169</v>
      </c>
      <c r="B170" s="8" t="s">
        <v>2407</v>
      </c>
      <c r="C170" s="8" t="s">
        <v>2408</v>
      </c>
      <c r="D170" s="8" t="s">
        <v>2409</v>
      </c>
      <c r="E170" s="8" t="s">
        <v>634</v>
      </c>
      <c r="F170" s="8" t="s">
        <v>2410</v>
      </c>
    </row>
    <row r="171" customHeight="1" spans="1:6">
      <c r="A171" s="6">
        <v>170</v>
      </c>
      <c r="B171" s="8" t="s">
        <v>2411</v>
      </c>
      <c r="C171" s="8" t="s">
        <v>2412</v>
      </c>
      <c r="D171" s="8" t="s">
        <v>2413</v>
      </c>
      <c r="E171" s="8" t="s">
        <v>275</v>
      </c>
      <c r="F171" s="8" t="s">
        <v>2414</v>
      </c>
    </row>
    <row r="172" customHeight="1" spans="1:6">
      <c r="A172" s="6">
        <v>171</v>
      </c>
      <c r="B172" s="8" t="s">
        <v>2411</v>
      </c>
      <c r="C172" s="8" t="s">
        <v>2412</v>
      </c>
      <c r="D172" s="8" t="s">
        <v>2413</v>
      </c>
      <c r="E172" s="8" t="s">
        <v>275</v>
      </c>
      <c r="F172" s="8" t="s">
        <v>2414</v>
      </c>
    </row>
    <row r="173" customHeight="1" spans="1:6">
      <c r="A173" s="6">
        <v>172</v>
      </c>
      <c r="B173" s="8" t="s">
        <v>2411</v>
      </c>
      <c r="C173" s="8" t="s">
        <v>2412</v>
      </c>
      <c r="D173" s="8" t="s">
        <v>2413</v>
      </c>
      <c r="E173" s="8" t="s">
        <v>275</v>
      </c>
      <c r="F173" s="8" t="s">
        <v>2414</v>
      </c>
    </row>
    <row r="174" customHeight="1" spans="1:6">
      <c r="A174" s="6">
        <v>173</v>
      </c>
      <c r="B174" s="8" t="s">
        <v>2415</v>
      </c>
      <c r="C174" s="8" t="s">
        <v>2416</v>
      </c>
      <c r="D174" s="8" t="s">
        <v>2417</v>
      </c>
      <c r="E174" s="8" t="s">
        <v>2418</v>
      </c>
      <c r="F174" s="8" t="s">
        <v>2419</v>
      </c>
    </row>
    <row r="175" customHeight="1" spans="1:6">
      <c r="A175" s="6">
        <v>174</v>
      </c>
      <c r="B175" s="8" t="s">
        <v>2415</v>
      </c>
      <c r="C175" s="8" t="s">
        <v>2416</v>
      </c>
      <c r="D175" s="8" t="s">
        <v>2417</v>
      </c>
      <c r="E175" s="8" t="s">
        <v>2418</v>
      </c>
      <c r="F175" s="8" t="s">
        <v>2419</v>
      </c>
    </row>
    <row r="176" customHeight="1" spans="1:6">
      <c r="A176" s="6">
        <v>175</v>
      </c>
      <c r="B176" s="8" t="s">
        <v>2415</v>
      </c>
      <c r="C176" s="8" t="s">
        <v>2416</v>
      </c>
      <c r="D176" s="8" t="s">
        <v>2417</v>
      </c>
      <c r="E176" s="8" t="s">
        <v>2418</v>
      </c>
      <c r="F176" s="8" t="s">
        <v>2419</v>
      </c>
    </row>
    <row r="177" customHeight="1" spans="1:6">
      <c r="A177" s="6">
        <v>176</v>
      </c>
      <c r="B177" s="8" t="s">
        <v>2420</v>
      </c>
      <c r="C177" s="8" t="s">
        <v>2421</v>
      </c>
      <c r="D177" s="8" t="s">
        <v>2413</v>
      </c>
      <c r="E177" s="8" t="s">
        <v>275</v>
      </c>
      <c r="F177" s="8" t="s">
        <v>2422</v>
      </c>
    </row>
    <row r="178" customHeight="1" spans="1:6">
      <c r="A178" s="6">
        <v>177</v>
      </c>
      <c r="B178" s="8" t="s">
        <v>2420</v>
      </c>
      <c r="C178" s="8" t="s">
        <v>2421</v>
      </c>
      <c r="D178" s="8" t="s">
        <v>2413</v>
      </c>
      <c r="E178" s="8" t="s">
        <v>275</v>
      </c>
      <c r="F178" s="8" t="s">
        <v>2422</v>
      </c>
    </row>
    <row r="179" customHeight="1" spans="1:6">
      <c r="A179" s="6">
        <v>178</v>
      </c>
      <c r="B179" s="8" t="s">
        <v>2420</v>
      </c>
      <c r="C179" s="8" t="s">
        <v>2421</v>
      </c>
      <c r="D179" s="8" t="s">
        <v>2413</v>
      </c>
      <c r="E179" s="8" t="s">
        <v>275</v>
      </c>
      <c r="F179" s="8" t="s">
        <v>2422</v>
      </c>
    </row>
    <row r="180" customHeight="1" spans="1:6">
      <c r="A180" s="6">
        <v>179</v>
      </c>
      <c r="B180" s="8" t="s">
        <v>2423</v>
      </c>
      <c r="C180" s="8" t="s">
        <v>2424</v>
      </c>
      <c r="D180" s="8" t="s">
        <v>2425</v>
      </c>
      <c r="E180" s="8" t="s">
        <v>2186</v>
      </c>
      <c r="F180" s="8" t="s">
        <v>2426</v>
      </c>
    </row>
    <row r="181" customHeight="1" spans="1:6">
      <c r="A181" s="6">
        <v>180</v>
      </c>
      <c r="B181" s="8" t="s">
        <v>2423</v>
      </c>
      <c r="C181" s="8" t="s">
        <v>2424</v>
      </c>
      <c r="D181" s="8" t="s">
        <v>2425</v>
      </c>
      <c r="E181" s="8" t="s">
        <v>2186</v>
      </c>
      <c r="F181" s="8" t="s">
        <v>2426</v>
      </c>
    </row>
    <row r="182" customHeight="1" spans="1:6">
      <c r="A182" s="6">
        <v>181</v>
      </c>
      <c r="B182" s="8" t="s">
        <v>2427</v>
      </c>
      <c r="C182" s="8" t="s">
        <v>2428</v>
      </c>
      <c r="D182" s="8" t="s">
        <v>2429</v>
      </c>
      <c r="E182" s="8" t="s">
        <v>2186</v>
      </c>
      <c r="F182" s="8" t="s">
        <v>2430</v>
      </c>
    </row>
    <row r="183" customHeight="1" spans="1:6">
      <c r="A183" s="6">
        <v>182</v>
      </c>
      <c r="B183" s="8" t="s">
        <v>2427</v>
      </c>
      <c r="C183" s="8" t="s">
        <v>2428</v>
      </c>
      <c r="D183" s="8" t="s">
        <v>2429</v>
      </c>
      <c r="E183" s="8" t="s">
        <v>2186</v>
      </c>
      <c r="F183" s="8" t="s">
        <v>2430</v>
      </c>
    </row>
    <row r="184" customHeight="1" spans="1:6">
      <c r="A184" s="6">
        <v>183</v>
      </c>
      <c r="B184" s="8" t="s">
        <v>2431</v>
      </c>
      <c r="C184" s="8" t="s">
        <v>2432</v>
      </c>
      <c r="D184" s="8" t="s">
        <v>2433</v>
      </c>
      <c r="E184" s="8" t="s">
        <v>13</v>
      </c>
      <c r="F184" s="8" t="s">
        <v>2434</v>
      </c>
    </row>
    <row r="185" customHeight="1" spans="1:6">
      <c r="A185" s="6">
        <v>184</v>
      </c>
      <c r="B185" s="8" t="s">
        <v>2431</v>
      </c>
      <c r="C185" s="8" t="s">
        <v>2432</v>
      </c>
      <c r="D185" s="8" t="s">
        <v>2433</v>
      </c>
      <c r="E185" s="8" t="s">
        <v>13</v>
      </c>
      <c r="F185" s="8" t="s">
        <v>2434</v>
      </c>
    </row>
    <row r="186" customHeight="1" spans="1:6">
      <c r="A186" s="6">
        <v>185</v>
      </c>
      <c r="B186" s="7" t="str">
        <f>"978-7-111-47783-9"</f>
        <v>978-7-111-47783-9</v>
      </c>
      <c r="C186" s="7" t="str">
        <f>"国际经济学．国际贸易分册"</f>
        <v>国际经济学．国际贸易分册</v>
      </c>
      <c r="D186" s="7" t="str">
        <f>"(美) 丹尼斯 R. 阿普尔亚德， 小艾尔弗雷德 J. 菲尔德著Dennis R. Appleyard， Alfred J. Field， Jr.；赵英军译"</f>
        <v>(美) 丹尼斯 R. 阿普尔亚德， 小艾尔弗雷德 J. 菲尔德著Dennis R. Appleyard， Alfred J. Field， Jr.；赵英军译</v>
      </c>
      <c r="E186" s="7" t="str">
        <f>"机械工业出版社"</f>
        <v>机械工业出版社</v>
      </c>
      <c r="F186" s="7" t="str">
        <f>"F11/154/1"</f>
        <v>F11/154/1</v>
      </c>
    </row>
    <row r="187" customHeight="1" spans="1:6">
      <c r="A187" s="6">
        <v>186</v>
      </c>
      <c r="B187" s="7" t="str">
        <f>"978-7-111-47783-9"</f>
        <v>978-7-111-47783-9</v>
      </c>
      <c r="C187" s="7" t="str">
        <f>"国际经济学．国际贸易分册"</f>
        <v>国际经济学．国际贸易分册</v>
      </c>
      <c r="D187" s="7" t="str">
        <f>"(美) 丹尼斯 R. 阿普尔亚德， 小艾尔弗雷德 J. 菲尔德著Dennis R. Appleyard， Alfred J. Field， Jr.；赵英军译"</f>
        <v>(美) 丹尼斯 R. 阿普尔亚德， 小艾尔弗雷德 J. 菲尔德著Dennis R. Appleyard， Alfred J. Field， Jr.；赵英军译</v>
      </c>
      <c r="E187" s="7" t="str">
        <f>"机械工业出版社"</f>
        <v>机械工业出版社</v>
      </c>
      <c r="F187" s="7" t="str">
        <f>"F11/154/1"</f>
        <v>F11/154/1</v>
      </c>
    </row>
    <row r="188" customHeight="1" spans="1:6">
      <c r="A188" s="6">
        <v>187</v>
      </c>
      <c r="B188" s="8" t="s">
        <v>2435</v>
      </c>
      <c r="C188" s="8" t="s">
        <v>2436</v>
      </c>
      <c r="D188" s="8" t="s">
        <v>2437</v>
      </c>
      <c r="E188" s="8" t="s">
        <v>2438</v>
      </c>
      <c r="F188" s="8" t="s">
        <v>2439</v>
      </c>
    </row>
    <row r="189" customHeight="1" spans="1:6">
      <c r="A189" s="6">
        <v>188</v>
      </c>
      <c r="B189" s="8" t="s">
        <v>2435</v>
      </c>
      <c r="C189" s="8" t="s">
        <v>2436</v>
      </c>
      <c r="D189" s="8" t="s">
        <v>2437</v>
      </c>
      <c r="E189" s="8" t="s">
        <v>2438</v>
      </c>
      <c r="F189" s="8" t="s">
        <v>2439</v>
      </c>
    </row>
    <row r="190" customHeight="1" spans="1:6">
      <c r="A190" s="6">
        <v>189</v>
      </c>
      <c r="B190" s="8" t="s">
        <v>2440</v>
      </c>
      <c r="C190" s="8" t="s">
        <v>2441</v>
      </c>
      <c r="D190" s="8" t="s">
        <v>2442</v>
      </c>
      <c r="E190" s="8" t="s">
        <v>576</v>
      </c>
      <c r="F190" s="8" t="s">
        <v>2443</v>
      </c>
    </row>
    <row r="191" customHeight="1" spans="1:6">
      <c r="A191" s="6">
        <v>190</v>
      </c>
      <c r="B191" s="8" t="s">
        <v>2440</v>
      </c>
      <c r="C191" s="8" t="s">
        <v>2441</v>
      </c>
      <c r="D191" s="8" t="s">
        <v>2442</v>
      </c>
      <c r="E191" s="8" t="s">
        <v>576</v>
      </c>
      <c r="F191" s="8" t="s">
        <v>2443</v>
      </c>
    </row>
    <row r="192" customHeight="1" spans="1:6">
      <c r="A192" s="6">
        <v>191</v>
      </c>
      <c r="B192" s="8" t="s">
        <v>2440</v>
      </c>
      <c r="C192" s="8" t="s">
        <v>2441</v>
      </c>
      <c r="D192" s="8" t="s">
        <v>2442</v>
      </c>
      <c r="E192" s="8" t="s">
        <v>576</v>
      </c>
      <c r="F192" s="8" t="s">
        <v>2443</v>
      </c>
    </row>
    <row r="193" customHeight="1" spans="1:6">
      <c r="A193" s="6">
        <v>192</v>
      </c>
      <c r="B193" s="8" t="s">
        <v>2444</v>
      </c>
      <c r="C193" s="8" t="s">
        <v>2445</v>
      </c>
      <c r="D193" s="8" t="s">
        <v>2446</v>
      </c>
      <c r="E193" s="8" t="s">
        <v>710</v>
      </c>
      <c r="F193" s="8" t="s">
        <v>2447</v>
      </c>
    </row>
    <row r="194" customHeight="1" spans="1:6">
      <c r="A194" s="6">
        <v>193</v>
      </c>
      <c r="B194" s="8" t="s">
        <v>2444</v>
      </c>
      <c r="C194" s="8" t="s">
        <v>2445</v>
      </c>
      <c r="D194" s="8" t="s">
        <v>2446</v>
      </c>
      <c r="E194" s="8" t="s">
        <v>710</v>
      </c>
      <c r="F194" s="8" t="s">
        <v>2447</v>
      </c>
    </row>
    <row r="195" customHeight="1" spans="1:6">
      <c r="A195" s="6">
        <v>194</v>
      </c>
      <c r="B195" s="8" t="s">
        <v>2444</v>
      </c>
      <c r="C195" s="8" t="s">
        <v>2445</v>
      </c>
      <c r="D195" s="8" t="s">
        <v>2446</v>
      </c>
      <c r="E195" s="8" t="s">
        <v>710</v>
      </c>
      <c r="F195" s="8" t="s">
        <v>2447</v>
      </c>
    </row>
    <row r="196" customHeight="1" spans="1:6">
      <c r="A196" s="6">
        <v>195</v>
      </c>
      <c r="B196" s="8" t="s">
        <v>2448</v>
      </c>
      <c r="C196" s="8" t="s">
        <v>2449</v>
      </c>
      <c r="D196" s="8" t="s">
        <v>2450</v>
      </c>
      <c r="E196" s="8" t="s">
        <v>1967</v>
      </c>
      <c r="F196" s="8" t="s">
        <v>2451</v>
      </c>
    </row>
    <row r="197" customHeight="1" spans="1:6">
      <c r="A197" s="6">
        <v>196</v>
      </c>
      <c r="B197" s="8" t="s">
        <v>2448</v>
      </c>
      <c r="C197" s="8" t="s">
        <v>2449</v>
      </c>
      <c r="D197" s="8" t="s">
        <v>2450</v>
      </c>
      <c r="E197" s="8" t="s">
        <v>1967</v>
      </c>
      <c r="F197" s="8" t="s">
        <v>2451</v>
      </c>
    </row>
    <row r="198" customHeight="1" spans="1:6">
      <c r="A198" s="6">
        <v>197</v>
      </c>
      <c r="B198" s="8" t="s">
        <v>2452</v>
      </c>
      <c r="C198" s="8" t="s">
        <v>2453</v>
      </c>
      <c r="D198" s="8" t="s">
        <v>2454</v>
      </c>
      <c r="E198" s="8" t="s">
        <v>275</v>
      </c>
      <c r="F198" s="8" t="s">
        <v>2455</v>
      </c>
    </row>
    <row r="199" customHeight="1" spans="1:6">
      <c r="A199" s="6">
        <v>198</v>
      </c>
      <c r="B199" s="8" t="s">
        <v>2452</v>
      </c>
      <c r="C199" s="8" t="s">
        <v>2453</v>
      </c>
      <c r="D199" s="8" t="s">
        <v>2454</v>
      </c>
      <c r="E199" s="8" t="s">
        <v>275</v>
      </c>
      <c r="F199" s="8" t="s">
        <v>2455</v>
      </c>
    </row>
    <row r="200" customHeight="1" spans="1:6">
      <c r="A200" s="6">
        <v>199</v>
      </c>
      <c r="B200" s="8" t="s">
        <v>2452</v>
      </c>
      <c r="C200" s="8" t="s">
        <v>2453</v>
      </c>
      <c r="D200" s="8" t="s">
        <v>2454</v>
      </c>
      <c r="E200" s="8" t="s">
        <v>275</v>
      </c>
      <c r="F200" s="8" t="s">
        <v>2455</v>
      </c>
    </row>
    <row r="201" customHeight="1" spans="1:6">
      <c r="A201" s="6">
        <v>200</v>
      </c>
      <c r="B201" s="8" t="s">
        <v>2456</v>
      </c>
      <c r="C201" s="8" t="s">
        <v>2457</v>
      </c>
      <c r="D201" s="8" t="s">
        <v>2458</v>
      </c>
      <c r="E201" s="8" t="s">
        <v>2459</v>
      </c>
      <c r="F201" s="8" t="s">
        <v>2460</v>
      </c>
    </row>
    <row r="202" customHeight="1" spans="1:6">
      <c r="A202" s="6">
        <v>201</v>
      </c>
      <c r="B202" s="8" t="s">
        <v>2456</v>
      </c>
      <c r="C202" s="8" t="s">
        <v>2457</v>
      </c>
      <c r="D202" s="8" t="s">
        <v>2458</v>
      </c>
      <c r="E202" s="8" t="s">
        <v>2459</v>
      </c>
      <c r="F202" s="8" t="s">
        <v>2460</v>
      </c>
    </row>
    <row r="203" customHeight="1" spans="1:6">
      <c r="A203" s="6">
        <v>202</v>
      </c>
      <c r="B203" s="8" t="s">
        <v>2461</v>
      </c>
      <c r="C203" s="8" t="s">
        <v>2462</v>
      </c>
      <c r="D203" s="8" t="s">
        <v>2463</v>
      </c>
      <c r="E203" s="8" t="s">
        <v>33</v>
      </c>
      <c r="F203" s="8" t="s">
        <v>2464</v>
      </c>
    </row>
    <row r="204" customHeight="1" spans="1:6">
      <c r="A204" s="6">
        <v>203</v>
      </c>
      <c r="B204" s="8" t="s">
        <v>2461</v>
      </c>
      <c r="C204" s="8" t="s">
        <v>2462</v>
      </c>
      <c r="D204" s="8" t="s">
        <v>2463</v>
      </c>
      <c r="E204" s="8" t="s">
        <v>33</v>
      </c>
      <c r="F204" s="8" t="s">
        <v>2464</v>
      </c>
    </row>
    <row r="205" customHeight="1" spans="1:6">
      <c r="A205" s="6">
        <v>204</v>
      </c>
      <c r="B205" s="8" t="s">
        <v>2465</v>
      </c>
      <c r="C205" s="8" t="s">
        <v>2466</v>
      </c>
      <c r="D205" s="8" t="s">
        <v>2316</v>
      </c>
      <c r="E205" s="8" t="s">
        <v>1967</v>
      </c>
      <c r="F205" s="8" t="s">
        <v>2467</v>
      </c>
    </row>
    <row r="206" customHeight="1" spans="1:6">
      <c r="A206" s="6">
        <v>205</v>
      </c>
      <c r="B206" s="8" t="s">
        <v>2465</v>
      </c>
      <c r="C206" s="8" t="s">
        <v>2466</v>
      </c>
      <c r="D206" s="8" t="s">
        <v>2316</v>
      </c>
      <c r="E206" s="8" t="s">
        <v>1967</v>
      </c>
      <c r="F206" s="8" t="s">
        <v>2467</v>
      </c>
    </row>
    <row r="207" customHeight="1" spans="1:6">
      <c r="A207" s="6">
        <v>206</v>
      </c>
      <c r="B207" s="7" t="str">
        <f>"978-7-5217-2729-6"</f>
        <v>978-7-5217-2729-6</v>
      </c>
      <c r="C207" s="7" t="str">
        <f>"全球科技创新与大国博弈：America's collaboration with China and india in global innovation"</f>
        <v>全球科技创新与大国博弈：America's collaboration with China and india in global innovation</v>
      </c>
      <c r="D207" s="7" t="str">
        <f>"(美) 安德鲁·B. 肯尼迪著Andrew B. Kennedy；卢苗苗译"</f>
        <v>(美) 安德鲁·B. 肯尼迪著Andrew B. Kennedy；卢苗苗译</v>
      </c>
      <c r="E207" s="7" t="str">
        <f>"中信出版集团股份有限公司"</f>
        <v>中信出版集团股份有限公司</v>
      </c>
      <c r="F207" s="7" t="str">
        <f>"F113.2/11"</f>
        <v>F113.2/11</v>
      </c>
    </row>
    <row r="208" customHeight="1" spans="1:6">
      <c r="A208" s="6">
        <v>207</v>
      </c>
      <c r="B208" s="7" t="str">
        <f>"978-7-5217-2729-6"</f>
        <v>978-7-5217-2729-6</v>
      </c>
      <c r="C208" s="7" t="str">
        <f>"全球科技创新与大国博弈：America's collaboration with China and india in global innovation"</f>
        <v>全球科技创新与大国博弈：America's collaboration with China and india in global innovation</v>
      </c>
      <c r="D208" s="7" t="str">
        <f>"(美) 安德鲁·B. 肯尼迪著Andrew B. Kennedy；卢苗苗译"</f>
        <v>(美) 安德鲁·B. 肯尼迪著Andrew B. Kennedy；卢苗苗译</v>
      </c>
      <c r="E208" s="7" t="str">
        <f>"中信出版集团股份有限公司"</f>
        <v>中信出版集团股份有限公司</v>
      </c>
      <c r="F208" s="7" t="str">
        <f>"F113.2/11"</f>
        <v>F113.2/11</v>
      </c>
    </row>
    <row r="209" customHeight="1" spans="1:6">
      <c r="A209" s="6">
        <v>208</v>
      </c>
      <c r="B209" s="7" t="str">
        <f>"978-7-111-66966-1"</f>
        <v>978-7-111-66966-1</v>
      </c>
      <c r="C209" s="7" t="str">
        <f>"繁荣的背后：解读现代世界的经济大增长：how the prosperity of the modern world was created"</f>
        <v>繁荣的背后：解读现代世界的经济大增长：how the prosperity of the modern world was created</v>
      </c>
      <c r="D209" s="7" t="str">
        <f>"(美) 威廉·J. 伯恩斯坦著William J. Bernstein；符云玲译"</f>
        <v>(美) 威廉·J. 伯恩斯坦著William J. Bernstein；符云玲译</v>
      </c>
      <c r="E209" s="7" t="str">
        <f>"机械工业出版社"</f>
        <v>机械工业出版社</v>
      </c>
      <c r="F209" s="7" t="str">
        <f>"F113.4/109"</f>
        <v>F113.4/109</v>
      </c>
    </row>
    <row r="210" customHeight="1" spans="1:6">
      <c r="A210" s="6">
        <v>209</v>
      </c>
      <c r="B210" s="7" t="str">
        <f>"978-7-111-66966-1"</f>
        <v>978-7-111-66966-1</v>
      </c>
      <c r="C210" s="7" t="str">
        <f>"繁荣的背后：解读现代世界的经济大增长：how the prosperity of the modern world was created"</f>
        <v>繁荣的背后：解读现代世界的经济大增长：how the prosperity of the modern world was created</v>
      </c>
      <c r="D210" s="7" t="str">
        <f>"(美) 威廉·J. 伯恩斯坦著William J. Bernstein；符云玲译"</f>
        <v>(美) 威廉·J. 伯恩斯坦著William J. Bernstein；符云玲译</v>
      </c>
      <c r="E210" s="7" t="str">
        <f>"机械工业出版社"</f>
        <v>机械工业出版社</v>
      </c>
      <c r="F210" s="7" t="str">
        <f>"F113.4/109"</f>
        <v>F113.4/109</v>
      </c>
    </row>
    <row r="211" customHeight="1" spans="1:6">
      <c r="A211" s="6">
        <v>210</v>
      </c>
      <c r="B211" s="8" t="s">
        <v>2468</v>
      </c>
      <c r="C211" s="8" t="s">
        <v>2469</v>
      </c>
      <c r="D211" s="8" t="s">
        <v>2470</v>
      </c>
      <c r="E211" s="8" t="s">
        <v>239</v>
      </c>
      <c r="F211" s="8" t="s">
        <v>2471</v>
      </c>
    </row>
    <row r="212" customHeight="1" spans="1:6">
      <c r="A212" s="6">
        <v>211</v>
      </c>
      <c r="B212" s="8" t="s">
        <v>2468</v>
      </c>
      <c r="C212" s="8" t="s">
        <v>2469</v>
      </c>
      <c r="D212" s="8" t="s">
        <v>2470</v>
      </c>
      <c r="E212" s="8" t="s">
        <v>239</v>
      </c>
      <c r="F212" s="8" t="s">
        <v>2471</v>
      </c>
    </row>
    <row r="213" customHeight="1" spans="1:6">
      <c r="A213" s="6">
        <v>212</v>
      </c>
      <c r="B213" s="8" t="s">
        <v>2468</v>
      </c>
      <c r="C213" s="8" t="s">
        <v>2469</v>
      </c>
      <c r="D213" s="8" t="s">
        <v>2470</v>
      </c>
      <c r="E213" s="8" t="s">
        <v>239</v>
      </c>
      <c r="F213" s="8" t="s">
        <v>2471</v>
      </c>
    </row>
    <row r="214" customHeight="1" spans="1:6">
      <c r="A214" s="6">
        <v>213</v>
      </c>
      <c r="B214" s="8" t="s">
        <v>2472</v>
      </c>
      <c r="C214" s="8" t="s">
        <v>2473</v>
      </c>
      <c r="D214" s="8" t="s">
        <v>2474</v>
      </c>
      <c r="E214" s="8" t="s">
        <v>239</v>
      </c>
      <c r="F214" s="8" t="s">
        <v>2475</v>
      </c>
    </row>
    <row r="215" customHeight="1" spans="1:6">
      <c r="A215" s="6">
        <v>214</v>
      </c>
      <c r="B215" s="8" t="s">
        <v>2472</v>
      </c>
      <c r="C215" s="8" t="s">
        <v>2473</v>
      </c>
      <c r="D215" s="8" t="s">
        <v>2474</v>
      </c>
      <c r="E215" s="8" t="s">
        <v>239</v>
      </c>
      <c r="F215" s="8" t="s">
        <v>2475</v>
      </c>
    </row>
    <row r="216" customHeight="1" spans="1:6">
      <c r="A216" s="6">
        <v>215</v>
      </c>
      <c r="B216" s="8" t="s">
        <v>2472</v>
      </c>
      <c r="C216" s="8" t="s">
        <v>2473</v>
      </c>
      <c r="D216" s="8" t="s">
        <v>2474</v>
      </c>
      <c r="E216" s="8" t="s">
        <v>239</v>
      </c>
      <c r="F216" s="8" t="s">
        <v>2475</v>
      </c>
    </row>
    <row r="217" customHeight="1" spans="1:6">
      <c r="A217" s="6">
        <v>216</v>
      </c>
      <c r="B217" s="8" t="s">
        <v>2476</v>
      </c>
      <c r="C217" s="8" t="s">
        <v>2477</v>
      </c>
      <c r="D217" s="8" t="s">
        <v>2478</v>
      </c>
      <c r="E217" s="8" t="s">
        <v>360</v>
      </c>
      <c r="F217" s="8" t="s">
        <v>2479</v>
      </c>
    </row>
    <row r="218" customHeight="1" spans="1:6">
      <c r="A218" s="6">
        <v>217</v>
      </c>
      <c r="B218" s="8" t="s">
        <v>2476</v>
      </c>
      <c r="C218" s="8" t="s">
        <v>2477</v>
      </c>
      <c r="D218" s="8" t="s">
        <v>2478</v>
      </c>
      <c r="E218" s="8" t="s">
        <v>360</v>
      </c>
      <c r="F218" s="8" t="s">
        <v>2479</v>
      </c>
    </row>
    <row r="219" customHeight="1" spans="1:6">
      <c r="A219" s="6">
        <v>218</v>
      </c>
      <c r="B219" s="8" t="s">
        <v>2480</v>
      </c>
      <c r="C219" s="8" t="s">
        <v>2481</v>
      </c>
      <c r="D219" s="8" t="s">
        <v>2482</v>
      </c>
      <c r="E219" s="8" t="s">
        <v>2284</v>
      </c>
      <c r="F219" s="8" t="s">
        <v>2483</v>
      </c>
    </row>
    <row r="220" customHeight="1" spans="1:6">
      <c r="A220" s="6">
        <v>219</v>
      </c>
      <c r="B220" s="8" t="s">
        <v>2480</v>
      </c>
      <c r="C220" s="8" t="s">
        <v>2481</v>
      </c>
      <c r="D220" s="8" t="s">
        <v>2482</v>
      </c>
      <c r="E220" s="8" t="s">
        <v>2284</v>
      </c>
      <c r="F220" s="8" t="s">
        <v>2483</v>
      </c>
    </row>
    <row r="221" customHeight="1" spans="1:6">
      <c r="A221" s="6">
        <v>220</v>
      </c>
      <c r="B221" s="8" t="s">
        <v>2484</v>
      </c>
      <c r="C221" s="8" t="s">
        <v>2485</v>
      </c>
      <c r="D221" s="8" t="s">
        <v>2486</v>
      </c>
      <c r="E221" s="8" t="s">
        <v>1324</v>
      </c>
      <c r="F221" s="8" t="s">
        <v>2487</v>
      </c>
    </row>
    <row r="222" customHeight="1" spans="1:6">
      <c r="A222" s="6">
        <v>221</v>
      </c>
      <c r="B222" s="8" t="s">
        <v>2484</v>
      </c>
      <c r="C222" s="8" t="s">
        <v>2485</v>
      </c>
      <c r="D222" s="8" t="s">
        <v>2486</v>
      </c>
      <c r="E222" s="8" t="s">
        <v>1324</v>
      </c>
      <c r="F222" s="8" t="s">
        <v>2487</v>
      </c>
    </row>
    <row r="223" customHeight="1" spans="1:6">
      <c r="A223" s="6">
        <v>222</v>
      </c>
      <c r="B223" s="8" t="s">
        <v>2488</v>
      </c>
      <c r="C223" s="8" t="s">
        <v>2489</v>
      </c>
      <c r="D223" s="8" t="s">
        <v>2490</v>
      </c>
      <c r="E223" s="8" t="s">
        <v>576</v>
      </c>
      <c r="F223" s="8" t="s">
        <v>2491</v>
      </c>
    </row>
    <row r="224" customHeight="1" spans="1:6">
      <c r="A224" s="6">
        <v>223</v>
      </c>
      <c r="B224" s="8" t="s">
        <v>2488</v>
      </c>
      <c r="C224" s="8" t="s">
        <v>2489</v>
      </c>
      <c r="D224" s="8" t="s">
        <v>2490</v>
      </c>
      <c r="E224" s="8" t="s">
        <v>576</v>
      </c>
      <c r="F224" s="8" t="s">
        <v>2491</v>
      </c>
    </row>
    <row r="225" customHeight="1" spans="1:6">
      <c r="A225" s="6">
        <v>224</v>
      </c>
      <c r="B225" s="8" t="s">
        <v>2488</v>
      </c>
      <c r="C225" s="8" t="s">
        <v>2489</v>
      </c>
      <c r="D225" s="8" t="s">
        <v>2490</v>
      </c>
      <c r="E225" s="8" t="s">
        <v>576</v>
      </c>
      <c r="F225" s="8" t="s">
        <v>2491</v>
      </c>
    </row>
    <row r="226" customHeight="1" spans="1:6">
      <c r="A226" s="6">
        <v>225</v>
      </c>
      <c r="B226" s="8" t="s">
        <v>2492</v>
      </c>
      <c r="C226" s="8" t="s">
        <v>2493</v>
      </c>
      <c r="D226" s="8" t="s">
        <v>27</v>
      </c>
      <c r="E226" s="8" t="s">
        <v>2212</v>
      </c>
      <c r="F226" s="8" t="s">
        <v>2494</v>
      </c>
    </row>
    <row r="227" customHeight="1" spans="1:6">
      <c r="A227" s="6">
        <v>226</v>
      </c>
      <c r="B227" s="8" t="s">
        <v>2492</v>
      </c>
      <c r="C227" s="8" t="s">
        <v>2493</v>
      </c>
      <c r="D227" s="8" t="s">
        <v>27</v>
      </c>
      <c r="E227" s="8" t="s">
        <v>2212</v>
      </c>
      <c r="F227" s="8" t="s">
        <v>2494</v>
      </c>
    </row>
    <row r="228" customHeight="1" spans="1:6">
      <c r="A228" s="6">
        <v>227</v>
      </c>
      <c r="B228" s="7" t="str">
        <f>"978-7-5201-8986-6"</f>
        <v>978-7-5201-8986-6</v>
      </c>
      <c r="C228" s="7" t="str">
        <f>"数字世界中的南南合作和三方合作：新动力、新方法：fresh impetus and new approaches"</f>
        <v>数字世界中的南南合作和三方合作：新动力、新方法：fresh impetus and new approaches</v>
      </c>
      <c r="D228" s="7" t="str">
        <f>"南南合作金融中心主编"</f>
        <v>南南合作金融中心主编</v>
      </c>
      <c r="E228" s="7" t="str">
        <f>"社会科学文献出版社"</f>
        <v>社会科学文献出版社</v>
      </c>
      <c r="F228" s="7" t="str">
        <f>"F114.43/3"</f>
        <v>F114.43/3</v>
      </c>
    </row>
    <row r="229" customHeight="1" spans="1:6">
      <c r="A229" s="6">
        <v>228</v>
      </c>
      <c r="B229" s="7" t="str">
        <f>"978-7-5201-8986-6"</f>
        <v>978-7-5201-8986-6</v>
      </c>
      <c r="C229" s="7" t="str">
        <f>"数字世界中的南南合作和三方合作：新动力、新方法：fresh impetus and new approaches"</f>
        <v>数字世界中的南南合作和三方合作：新动力、新方法：fresh impetus and new approaches</v>
      </c>
      <c r="D229" s="7" t="str">
        <f>"南南合作金融中心主编"</f>
        <v>南南合作金融中心主编</v>
      </c>
      <c r="E229" s="7" t="str">
        <f>"社会科学文献出版社"</f>
        <v>社会科学文献出版社</v>
      </c>
      <c r="F229" s="7" t="str">
        <f>"F114.43/3"</f>
        <v>F114.43/3</v>
      </c>
    </row>
    <row r="230" customHeight="1" spans="1:6">
      <c r="A230" s="6">
        <v>229</v>
      </c>
      <c r="B230" s="7" t="str">
        <f>"978-7-5194-6001-3"</f>
        <v>978-7-5194-6001-3</v>
      </c>
      <c r="C230" s="7" t="str">
        <f>"人类命运共同体视角下亚太经济一体化研究"</f>
        <v>人类命运共同体视角下亚太经济一体化研究</v>
      </c>
      <c r="D230" s="7" t="str">
        <f>"张国军著"</f>
        <v>张国军著</v>
      </c>
      <c r="E230" s="7" t="str">
        <f>"光明日报出版社"</f>
        <v>光明日报出版社</v>
      </c>
      <c r="F230" s="7" t="str">
        <f>"F114.46/34"</f>
        <v>F114.46/34</v>
      </c>
    </row>
    <row r="231" customHeight="1" spans="1:6">
      <c r="A231" s="6">
        <v>230</v>
      </c>
      <c r="B231" s="7" t="str">
        <f>"978-7-5194-6001-3"</f>
        <v>978-7-5194-6001-3</v>
      </c>
      <c r="C231" s="7" t="str">
        <f>"人类命运共同体视角下亚太经济一体化研究"</f>
        <v>人类命运共同体视角下亚太经济一体化研究</v>
      </c>
      <c r="D231" s="7" t="str">
        <f>"张国军著"</f>
        <v>张国军著</v>
      </c>
      <c r="E231" s="7" t="str">
        <f>"光明日报出版社"</f>
        <v>光明日报出版社</v>
      </c>
      <c r="F231" s="7" t="str">
        <f>"F114.46/34"</f>
        <v>F114.46/34</v>
      </c>
    </row>
    <row r="232" customHeight="1" spans="1:6">
      <c r="A232" s="6">
        <v>231</v>
      </c>
      <c r="B232" s="8" t="s">
        <v>2495</v>
      </c>
      <c r="C232" s="8" t="s">
        <v>2496</v>
      </c>
      <c r="D232" s="8" t="s">
        <v>2497</v>
      </c>
      <c r="E232" s="8" t="s">
        <v>576</v>
      </c>
      <c r="F232" s="8" t="s">
        <v>2498</v>
      </c>
    </row>
    <row r="233" customHeight="1" spans="1:6">
      <c r="A233" s="6">
        <v>232</v>
      </c>
      <c r="B233" s="8" t="s">
        <v>2495</v>
      </c>
      <c r="C233" s="8" t="s">
        <v>2496</v>
      </c>
      <c r="D233" s="8" t="s">
        <v>2497</v>
      </c>
      <c r="E233" s="8" t="s">
        <v>576</v>
      </c>
      <c r="F233" s="8" t="s">
        <v>2498</v>
      </c>
    </row>
    <row r="234" customHeight="1" spans="1:6">
      <c r="A234" s="6">
        <v>233</v>
      </c>
      <c r="B234" s="8" t="s">
        <v>2495</v>
      </c>
      <c r="C234" s="8" t="s">
        <v>2496</v>
      </c>
      <c r="D234" s="8" t="s">
        <v>2497</v>
      </c>
      <c r="E234" s="8" t="s">
        <v>576</v>
      </c>
      <c r="F234" s="8" t="s">
        <v>2498</v>
      </c>
    </row>
    <row r="235" customHeight="1" spans="1:6">
      <c r="A235" s="6">
        <v>234</v>
      </c>
      <c r="B235" s="8" t="s">
        <v>2499</v>
      </c>
      <c r="C235" s="8" t="s">
        <v>2500</v>
      </c>
      <c r="D235" s="8" t="s">
        <v>2501</v>
      </c>
      <c r="E235" s="8" t="s">
        <v>1329</v>
      </c>
      <c r="F235" s="8" t="s">
        <v>2502</v>
      </c>
    </row>
    <row r="236" customHeight="1" spans="1:6">
      <c r="A236" s="6">
        <v>235</v>
      </c>
      <c r="B236" s="8" t="s">
        <v>2499</v>
      </c>
      <c r="C236" s="8" t="s">
        <v>2500</v>
      </c>
      <c r="D236" s="8" t="s">
        <v>2501</v>
      </c>
      <c r="E236" s="8" t="s">
        <v>1329</v>
      </c>
      <c r="F236" s="8" t="s">
        <v>2502</v>
      </c>
    </row>
    <row r="237" customHeight="1" spans="1:6">
      <c r="A237" s="6">
        <v>236</v>
      </c>
      <c r="B237" s="7" t="str">
        <f>"978-7-5217-1397-8"</f>
        <v>978-7-5217-1397-8</v>
      </c>
      <c r="C237" s="7" t="str">
        <f>"反脆弱：从不确定性中获益：things that gain from disorder"</f>
        <v>反脆弱：从不确定性中获益：things that gain from disorder</v>
      </c>
      <c r="D237" s="7" t="str">
        <f>"(美) 纳西姆·尼古拉斯·塔勒布著Nassim Nicholas Taleb；雨珂译"</f>
        <v>(美) 纳西姆·尼古拉斯·塔勒布著Nassim Nicholas Taleb；雨珂译</v>
      </c>
      <c r="E237" s="7" t="str">
        <f>"中信出版集团"</f>
        <v>中信出版集团</v>
      </c>
      <c r="F237" s="7" t="str">
        <f>"F11-49/2=2D"</f>
        <v>F11-49/2=2D</v>
      </c>
    </row>
    <row r="238" customHeight="1" spans="1:6">
      <c r="A238" s="6">
        <v>237</v>
      </c>
      <c r="B238" s="7" t="str">
        <f>"978-7-5217-1397-8"</f>
        <v>978-7-5217-1397-8</v>
      </c>
      <c r="C238" s="7" t="str">
        <f>"反脆弱：从不确定性中获益：things that gain from disorder"</f>
        <v>反脆弱：从不确定性中获益：things that gain from disorder</v>
      </c>
      <c r="D238" s="7" t="str">
        <f>"(美) 纳西姆·尼古拉斯·塔勒布著Nassim Nicholas Taleb；雨珂译"</f>
        <v>(美) 纳西姆·尼古拉斯·塔勒布著Nassim Nicholas Taleb；雨珂译</v>
      </c>
      <c r="E238" s="7" t="str">
        <f>"中信出版集团"</f>
        <v>中信出版集团</v>
      </c>
      <c r="F238" s="7" t="str">
        <f>"F11-49/2=2D"</f>
        <v>F11-49/2=2D</v>
      </c>
    </row>
    <row r="239" customHeight="1" spans="1:6">
      <c r="A239" s="6">
        <v>238</v>
      </c>
      <c r="B239" s="8" t="s">
        <v>2503</v>
      </c>
      <c r="C239" s="8" t="s">
        <v>2504</v>
      </c>
      <c r="D239" s="8" t="s">
        <v>2505</v>
      </c>
      <c r="E239" s="8" t="s">
        <v>1324</v>
      </c>
      <c r="F239" s="8" t="s">
        <v>2506</v>
      </c>
    </row>
    <row r="240" customHeight="1" spans="1:6">
      <c r="A240" s="6">
        <v>239</v>
      </c>
      <c r="B240" s="8" t="s">
        <v>2503</v>
      </c>
      <c r="C240" s="8" t="s">
        <v>2504</v>
      </c>
      <c r="D240" s="8" t="s">
        <v>2505</v>
      </c>
      <c r="E240" s="8" t="s">
        <v>1324</v>
      </c>
      <c r="F240" s="8" t="s">
        <v>2506</v>
      </c>
    </row>
    <row r="241" customHeight="1" spans="1:6">
      <c r="A241" s="6">
        <v>240</v>
      </c>
      <c r="B241" s="8" t="s">
        <v>2503</v>
      </c>
      <c r="C241" s="8" t="s">
        <v>2504</v>
      </c>
      <c r="D241" s="8" t="s">
        <v>2505</v>
      </c>
      <c r="E241" s="8" t="s">
        <v>1324</v>
      </c>
      <c r="F241" s="8" t="s">
        <v>2506</v>
      </c>
    </row>
    <row r="242" customHeight="1" spans="1:6">
      <c r="A242" s="6">
        <v>241</v>
      </c>
      <c r="B242" s="8" t="s">
        <v>2507</v>
      </c>
      <c r="C242" s="8" t="s">
        <v>2508</v>
      </c>
      <c r="D242" s="8" t="s">
        <v>2509</v>
      </c>
      <c r="E242" s="8" t="s">
        <v>1796</v>
      </c>
      <c r="F242" s="8" t="s">
        <v>2510</v>
      </c>
    </row>
    <row r="243" customHeight="1" spans="1:6">
      <c r="A243" s="6">
        <v>242</v>
      </c>
      <c r="B243" s="8" t="s">
        <v>2507</v>
      </c>
      <c r="C243" s="8" t="s">
        <v>2508</v>
      </c>
      <c r="D243" s="8" t="s">
        <v>2509</v>
      </c>
      <c r="E243" s="8" t="s">
        <v>1796</v>
      </c>
      <c r="F243" s="8" t="s">
        <v>2510</v>
      </c>
    </row>
    <row r="244" customHeight="1" spans="1:6">
      <c r="A244" s="6">
        <v>243</v>
      </c>
      <c r="B244" s="8" t="s">
        <v>2507</v>
      </c>
      <c r="C244" s="8" t="s">
        <v>2508</v>
      </c>
      <c r="D244" s="8" t="s">
        <v>2509</v>
      </c>
      <c r="E244" s="8" t="s">
        <v>1796</v>
      </c>
      <c r="F244" s="8" t="s">
        <v>2510</v>
      </c>
    </row>
    <row r="245" customHeight="1" spans="1:6">
      <c r="A245" s="6">
        <v>244</v>
      </c>
      <c r="B245" s="7" t="str">
        <f t="shared" ref="B245:B247" si="12">"978-7-5638-3199-9"</f>
        <v>978-7-5638-3199-9</v>
      </c>
      <c r="C245" s="7" t="str">
        <f t="shared" ref="C245:C247" si="13">"中外经济简史"</f>
        <v>中外经济简史</v>
      </c>
      <c r="D245" s="7" t="str">
        <f t="shared" ref="D245:D247" si="14">"高德步著"</f>
        <v>高德步著</v>
      </c>
      <c r="E245" s="7" t="str">
        <f t="shared" ref="E245:E247" si="15">"首都经济贸易大学出版社"</f>
        <v>首都经济贸易大学出版社</v>
      </c>
      <c r="F245" s="7" t="str">
        <f t="shared" ref="F245:F247" si="16">"F119/44=3D"</f>
        <v>F119/44=3D</v>
      </c>
    </row>
    <row r="246" customHeight="1" spans="1:6">
      <c r="A246" s="6">
        <v>245</v>
      </c>
      <c r="B246" s="7" t="str">
        <f t="shared" si="12"/>
        <v>978-7-5638-3199-9</v>
      </c>
      <c r="C246" s="7" t="str">
        <f t="shared" si="13"/>
        <v>中外经济简史</v>
      </c>
      <c r="D246" s="7" t="str">
        <f t="shared" si="14"/>
        <v>高德步著</v>
      </c>
      <c r="E246" s="7" t="str">
        <f t="shared" si="15"/>
        <v>首都经济贸易大学出版社</v>
      </c>
      <c r="F246" s="7" t="str">
        <f t="shared" si="16"/>
        <v>F119/44=3D</v>
      </c>
    </row>
    <row r="247" customHeight="1" spans="1:6">
      <c r="A247" s="6">
        <v>246</v>
      </c>
      <c r="B247" s="7" t="str">
        <f t="shared" si="12"/>
        <v>978-7-5638-3199-9</v>
      </c>
      <c r="C247" s="7" t="str">
        <f t="shared" si="13"/>
        <v>中外经济简史</v>
      </c>
      <c r="D247" s="7" t="str">
        <f t="shared" si="14"/>
        <v>高德步著</v>
      </c>
      <c r="E247" s="7" t="str">
        <f t="shared" si="15"/>
        <v>首都经济贸易大学出版社</v>
      </c>
      <c r="F247" s="7" t="str">
        <f t="shared" si="16"/>
        <v>F119/44=3D</v>
      </c>
    </row>
    <row r="248" customHeight="1" spans="1:6">
      <c r="A248" s="6">
        <v>247</v>
      </c>
      <c r="B248" s="8" t="s">
        <v>2511</v>
      </c>
      <c r="C248" s="8" t="s">
        <v>2512</v>
      </c>
      <c r="D248" s="8" t="s">
        <v>2513</v>
      </c>
      <c r="E248" s="8" t="s">
        <v>145</v>
      </c>
      <c r="F248" s="8" t="s">
        <v>2514</v>
      </c>
    </row>
    <row r="249" customHeight="1" spans="1:6">
      <c r="A249" s="6">
        <v>248</v>
      </c>
      <c r="B249" s="8" t="s">
        <v>2511</v>
      </c>
      <c r="C249" s="8" t="s">
        <v>2512</v>
      </c>
      <c r="D249" s="8" t="s">
        <v>2513</v>
      </c>
      <c r="E249" s="8" t="s">
        <v>145</v>
      </c>
      <c r="F249" s="8" t="s">
        <v>2514</v>
      </c>
    </row>
    <row r="250" customHeight="1" spans="1:6">
      <c r="A250" s="6">
        <v>249</v>
      </c>
      <c r="B250" s="8" t="s">
        <v>2515</v>
      </c>
      <c r="C250" s="8" t="s">
        <v>2516</v>
      </c>
      <c r="D250" s="8" t="s">
        <v>2517</v>
      </c>
      <c r="E250" s="8" t="s">
        <v>33</v>
      </c>
      <c r="F250" s="8" t="s">
        <v>2518</v>
      </c>
    </row>
    <row r="251" customHeight="1" spans="1:6">
      <c r="A251" s="6">
        <v>250</v>
      </c>
      <c r="B251" s="8" t="s">
        <v>2515</v>
      </c>
      <c r="C251" s="8" t="s">
        <v>2516</v>
      </c>
      <c r="D251" s="8" t="s">
        <v>2517</v>
      </c>
      <c r="E251" s="8" t="s">
        <v>33</v>
      </c>
      <c r="F251" s="8" t="s">
        <v>2518</v>
      </c>
    </row>
    <row r="252" customHeight="1" spans="1:6">
      <c r="A252" s="6">
        <v>251</v>
      </c>
      <c r="B252" s="8" t="s">
        <v>2515</v>
      </c>
      <c r="C252" s="8" t="s">
        <v>2516</v>
      </c>
      <c r="D252" s="8" t="s">
        <v>2517</v>
      </c>
      <c r="E252" s="8" t="s">
        <v>33</v>
      </c>
      <c r="F252" s="8" t="s">
        <v>2518</v>
      </c>
    </row>
    <row r="253" customHeight="1" spans="1:6">
      <c r="A253" s="6">
        <v>252</v>
      </c>
      <c r="B253" s="8" t="s">
        <v>2519</v>
      </c>
      <c r="C253" s="8" t="s">
        <v>2520</v>
      </c>
      <c r="D253" s="8" t="s">
        <v>2521</v>
      </c>
      <c r="E253" s="8" t="s">
        <v>530</v>
      </c>
      <c r="F253" s="8" t="s">
        <v>2522</v>
      </c>
    </row>
    <row r="254" customHeight="1" spans="1:6">
      <c r="A254" s="6">
        <v>253</v>
      </c>
      <c r="B254" s="8" t="s">
        <v>2519</v>
      </c>
      <c r="C254" s="8" t="s">
        <v>2520</v>
      </c>
      <c r="D254" s="8" t="s">
        <v>2521</v>
      </c>
      <c r="E254" s="8" t="s">
        <v>530</v>
      </c>
      <c r="F254" s="8" t="s">
        <v>2522</v>
      </c>
    </row>
    <row r="255" customHeight="1" spans="1:6">
      <c r="A255" s="6">
        <v>254</v>
      </c>
      <c r="B255" s="8" t="s">
        <v>2519</v>
      </c>
      <c r="C255" s="8" t="s">
        <v>2520</v>
      </c>
      <c r="D255" s="8" t="s">
        <v>2521</v>
      </c>
      <c r="E255" s="8" t="s">
        <v>530</v>
      </c>
      <c r="F255" s="8" t="s">
        <v>2522</v>
      </c>
    </row>
    <row r="256" customHeight="1" spans="1:6">
      <c r="A256" s="6">
        <v>255</v>
      </c>
      <c r="B256" s="8" t="s">
        <v>2523</v>
      </c>
      <c r="C256" s="8" t="s">
        <v>2524</v>
      </c>
      <c r="D256" s="8" t="s">
        <v>2525</v>
      </c>
      <c r="E256" s="8" t="s">
        <v>311</v>
      </c>
      <c r="F256" s="8" t="s">
        <v>2526</v>
      </c>
    </row>
    <row r="257" customHeight="1" spans="1:6">
      <c r="A257" s="6">
        <v>256</v>
      </c>
      <c r="B257" s="8" t="s">
        <v>2523</v>
      </c>
      <c r="C257" s="8" t="s">
        <v>2524</v>
      </c>
      <c r="D257" s="8" t="s">
        <v>2525</v>
      </c>
      <c r="E257" s="8" t="s">
        <v>311</v>
      </c>
      <c r="F257" s="8" t="s">
        <v>2526</v>
      </c>
    </row>
    <row r="258" customHeight="1" spans="1:6">
      <c r="A258" s="6">
        <v>257</v>
      </c>
      <c r="B258" s="8" t="s">
        <v>2527</v>
      </c>
      <c r="C258" s="8" t="s">
        <v>2528</v>
      </c>
      <c r="D258" s="8" t="s">
        <v>2529</v>
      </c>
      <c r="E258" s="8" t="s">
        <v>43</v>
      </c>
      <c r="F258" s="8" t="s">
        <v>2530</v>
      </c>
    </row>
    <row r="259" customHeight="1" spans="1:6">
      <c r="A259" s="6">
        <v>258</v>
      </c>
      <c r="B259" s="8" t="s">
        <v>2527</v>
      </c>
      <c r="C259" s="8" t="s">
        <v>2528</v>
      </c>
      <c r="D259" s="8" t="s">
        <v>2529</v>
      </c>
      <c r="E259" s="8" t="s">
        <v>43</v>
      </c>
      <c r="F259" s="8" t="s">
        <v>2530</v>
      </c>
    </row>
    <row r="260" customHeight="1" spans="1:6">
      <c r="A260" s="6">
        <v>259</v>
      </c>
      <c r="B260" s="8" t="s">
        <v>2527</v>
      </c>
      <c r="C260" s="8" t="s">
        <v>2528</v>
      </c>
      <c r="D260" s="8" t="s">
        <v>2529</v>
      </c>
      <c r="E260" s="8" t="s">
        <v>43</v>
      </c>
      <c r="F260" s="8" t="s">
        <v>2530</v>
      </c>
    </row>
    <row r="261" customHeight="1" spans="1:6">
      <c r="A261" s="6">
        <v>260</v>
      </c>
      <c r="B261" s="8" t="s">
        <v>2531</v>
      </c>
      <c r="C261" s="8" t="s">
        <v>2532</v>
      </c>
      <c r="D261" s="8" t="s">
        <v>2533</v>
      </c>
      <c r="E261" s="8" t="s">
        <v>1872</v>
      </c>
      <c r="F261" s="8" t="s">
        <v>2534</v>
      </c>
    </row>
    <row r="262" customHeight="1" spans="1:6">
      <c r="A262" s="6">
        <v>261</v>
      </c>
      <c r="B262" s="8" t="s">
        <v>2531</v>
      </c>
      <c r="C262" s="8" t="s">
        <v>2532</v>
      </c>
      <c r="D262" s="8" t="s">
        <v>2533</v>
      </c>
      <c r="E262" s="8" t="s">
        <v>1872</v>
      </c>
      <c r="F262" s="8" t="s">
        <v>2534</v>
      </c>
    </row>
    <row r="263" customHeight="1" spans="1:6">
      <c r="A263" s="6">
        <v>262</v>
      </c>
      <c r="B263" s="8" t="s">
        <v>2531</v>
      </c>
      <c r="C263" s="8" t="s">
        <v>2532</v>
      </c>
      <c r="D263" s="8" t="s">
        <v>2533</v>
      </c>
      <c r="E263" s="8" t="s">
        <v>1872</v>
      </c>
      <c r="F263" s="8" t="s">
        <v>2534</v>
      </c>
    </row>
    <row r="264" customHeight="1" spans="1:6">
      <c r="A264" s="6">
        <v>263</v>
      </c>
      <c r="B264" s="8" t="s">
        <v>2535</v>
      </c>
      <c r="C264" s="8" t="s">
        <v>2536</v>
      </c>
      <c r="D264" s="8" t="s">
        <v>2537</v>
      </c>
      <c r="E264" s="8" t="s">
        <v>239</v>
      </c>
      <c r="F264" s="8" t="s">
        <v>2538</v>
      </c>
    </row>
    <row r="265" customHeight="1" spans="1:6">
      <c r="A265" s="6">
        <v>264</v>
      </c>
      <c r="B265" s="8" t="s">
        <v>2535</v>
      </c>
      <c r="C265" s="8" t="s">
        <v>2536</v>
      </c>
      <c r="D265" s="8" t="s">
        <v>2537</v>
      </c>
      <c r="E265" s="8" t="s">
        <v>239</v>
      </c>
      <c r="F265" s="8" t="s">
        <v>2538</v>
      </c>
    </row>
    <row r="266" customHeight="1" spans="1:6">
      <c r="A266" s="6">
        <v>265</v>
      </c>
      <c r="B266" s="8" t="s">
        <v>2535</v>
      </c>
      <c r="C266" s="8" t="s">
        <v>2536</v>
      </c>
      <c r="D266" s="8" t="s">
        <v>2537</v>
      </c>
      <c r="E266" s="8" t="s">
        <v>239</v>
      </c>
      <c r="F266" s="8" t="s">
        <v>2538</v>
      </c>
    </row>
    <row r="267" customHeight="1" spans="1:6">
      <c r="A267" s="6">
        <v>266</v>
      </c>
      <c r="B267" s="8" t="s">
        <v>2539</v>
      </c>
      <c r="C267" s="8" t="s">
        <v>2540</v>
      </c>
      <c r="D267" s="8" t="s">
        <v>2541</v>
      </c>
      <c r="E267" s="8" t="s">
        <v>53</v>
      </c>
      <c r="F267" s="8" t="s">
        <v>2542</v>
      </c>
    </row>
    <row r="268" customHeight="1" spans="1:6">
      <c r="A268" s="6">
        <v>267</v>
      </c>
      <c r="B268" s="8" t="s">
        <v>2539</v>
      </c>
      <c r="C268" s="8" t="s">
        <v>2540</v>
      </c>
      <c r="D268" s="8" t="s">
        <v>2541</v>
      </c>
      <c r="E268" s="8" t="s">
        <v>53</v>
      </c>
      <c r="F268" s="8" t="s">
        <v>2542</v>
      </c>
    </row>
    <row r="269" customHeight="1" spans="1:6">
      <c r="A269" s="6">
        <v>268</v>
      </c>
      <c r="B269" s="8" t="s">
        <v>2543</v>
      </c>
      <c r="C269" s="8" t="s">
        <v>2544</v>
      </c>
      <c r="D269" s="8" t="s">
        <v>2545</v>
      </c>
      <c r="E269" s="8" t="s">
        <v>43</v>
      </c>
      <c r="F269" s="8" t="s">
        <v>2546</v>
      </c>
    </row>
    <row r="270" customHeight="1" spans="1:6">
      <c r="A270" s="6">
        <v>269</v>
      </c>
      <c r="B270" s="8" t="s">
        <v>2543</v>
      </c>
      <c r="C270" s="8" t="s">
        <v>2544</v>
      </c>
      <c r="D270" s="8" t="s">
        <v>2545</v>
      </c>
      <c r="E270" s="8" t="s">
        <v>43</v>
      </c>
      <c r="F270" s="8" t="s">
        <v>2546</v>
      </c>
    </row>
    <row r="271" customHeight="1" spans="1:6">
      <c r="A271" s="6">
        <v>270</v>
      </c>
      <c r="B271" s="8" t="s">
        <v>2547</v>
      </c>
      <c r="C271" s="8" t="s">
        <v>2548</v>
      </c>
      <c r="D271" s="8" t="s">
        <v>2549</v>
      </c>
      <c r="E271" s="8" t="s">
        <v>2068</v>
      </c>
      <c r="F271" s="8" t="s">
        <v>2550</v>
      </c>
    </row>
    <row r="272" customHeight="1" spans="1:6">
      <c r="A272" s="6">
        <v>271</v>
      </c>
      <c r="B272" s="8" t="s">
        <v>2547</v>
      </c>
      <c r="C272" s="8" t="s">
        <v>2548</v>
      </c>
      <c r="D272" s="8" t="s">
        <v>2549</v>
      </c>
      <c r="E272" s="8" t="s">
        <v>2068</v>
      </c>
      <c r="F272" s="8" t="s">
        <v>2550</v>
      </c>
    </row>
    <row r="273" customHeight="1" spans="1:6">
      <c r="A273" s="6">
        <v>272</v>
      </c>
      <c r="B273" s="8" t="s">
        <v>2547</v>
      </c>
      <c r="C273" s="8" t="s">
        <v>2548</v>
      </c>
      <c r="D273" s="8" t="s">
        <v>2549</v>
      </c>
      <c r="E273" s="8" t="s">
        <v>2068</v>
      </c>
      <c r="F273" s="8" t="s">
        <v>2550</v>
      </c>
    </row>
    <row r="274" customHeight="1" spans="1:6">
      <c r="A274" s="6">
        <v>273</v>
      </c>
      <c r="B274" s="8" t="s">
        <v>2551</v>
      </c>
      <c r="C274" s="8" t="s">
        <v>2552</v>
      </c>
      <c r="D274" s="8" t="s">
        <v>2553</v>
      </c>
      <c r="E274" s="8" t="s">
        <v>710</v>
      </c>
      <c r="F274" s="8" t="s">
        <v>2554</v>
      </c>
    </row>
    <row r="275" customHeight="1" spans="1:6">
      <c r="A275" s="6">
        <v>274</v>
      </c>
      <c r="B275" s="8" t="s">
        <v>2551</v>
      </c>
      <c r="C275" s="8" t="s">
        <v>2552</v>
      </c>
      <c r="D275" s="8" t="s">
        <v>2553</v>
      </c>
      <c r="E275" s="8" t="s">
        <v>710</v>
      </c>
      <c r="F275" s="8" t="s">
        <v>2554</v>
      </c>
    </row>
    <row r="276" customHeight="1" spans="1:6">
      <c r="A276" s="6">
        <v>275</v>
      </c>
      <c r="B276" s="8" t="s">
        <v>2555</v>
      </c>
      <c r="C276" s="8" t="s">
        <v>2556</v>
      </c>
      <c r="D276" s="8" t="s">
        <v>2557</v>
      </c>
      <c r="E276" s="8" t="s">
        <v>710</v>
      </c>
      <c r="F276" s="8" t="s">
        <v>2558</v>
      </c>
    </row>
    <row r="277" customHeight="1" spans="1:6">
      <c r="A277" s="6">
        <v>276</v>
      </c>
      <c r="B277" s="8" t="s">
        <v>2555</v>
      </c>
      <c r="C277" s="8" t="s">
        <v>2556</v>
      </c>
      <c r="D277" s="8" t="s">
        <v>2557</v>
      </c>
      <c r="E277" s="8" t="s">
        <v>710</v>
      </c>
      <c r="F277" s="8" t="s">
        <v>2558</v>
      </c>
    </row>
    <row r="278" customHeight="1" spans="1:6">
      <c r="A278" s="6">
        <v>277</v>
      </c>
      <c r="B278" s="7" t="str">
        <f>"978-7-5115-6845-8"</f>
        <v>978-7-5115-6845-8</v>
      </c>
      <c r="C278" s="7" t="str">
        <f>"中国特色社会主义经济创新路向探索"</f>
        <v>中国特色社会主义经济创新路向探索</v>
      </c>
      <c r="D278" s="7" t="str">
        <f>"主编刘儒"</f>
        <v>主编刘儒</v>
      </c>
      <c r="E278" s="7" t="str">
        <f>"人民日报出版社"</f>
        <v>人民日报出版社</v>
      </c>
      <c r="F278" s="7" t="str">
        <f>"F120.3/20"</f>
        <v>F120.3/20</v>
      </c>
    </row>
    <row r="279" customHeight="1" spans="1:6">
      <c r="A279" s="6">
        <v>278</v>
      </c>
      <c r="B279" s="7" t="str">
        <f>"978-7-5115-6845-8"</f>
        <v>978-7-5115-6845-8</v>
      </c>
      <c r="C279" s="7" t="str">
        <f>"中国特色社会主义经济创新路向探索"</f>
        <v>中国特色社会主义经济创新路向探索</v>
      </c>
      <c r="D279" s="7" t="str">
        <f>"主编刘儒"</f>
        <v>主编刘儒</v>
      </c>
      <c r="E279" s="7" t="str">
        <f>"人民日报出版社"</f>
        <v>人民日报出版社</v>
      </c>
      <c r="F279" s="7" t="str">
        <f>"F120.3/20"</f>
        <v>F120.3/20</v>
      </c>
    </row>
    <row r="280" customHeight="1" spans="1:6">
      <c r="A280" s="6">
        <v>279</v>
      </c>
      <c r="B280" s="8" t="s">
        <v>2559</v>
      </c>
      <c r="C280" s="8" t="s">
        <v>2560</v>
      </c>
      <c r="D280" s="8" t="s">
        <v>2561</v>
      </c>
      <c r="E280" s="8" t="s">
        <v>415</v>
      </c>
      <c r="F280" s="8" t="s">
        <v>2562</v>
      </c>
    </row>
    <row r="281" customHeight="1" spans="1:6">
      <c r="A281" s="6">
        <v>280</v>
      </c>
      <c r="B281" s="8" t="s">
        <v>2559</v>
      </c>
      <c r="C281" s="8" t="s">
        <v>2560</v>
      </c>
      <c r="D281" s="8" t="s">
        <v>2561</v>
      </c>
      <c r="E281" s="8" t="s">
        <v>415</v>
      </c>
      <c r="F281" s="8" t="s">
        <v>2562</v>
      </c>
    </row>
    <row r="282" customHeight="1" spans="1:6">
      <c r="A282" s="6">
        <v>281</v>
      </c>
      <c r="B282" s="8" t="s">
        <v>2563</v>
      </c>
      <c r="C282" s="8" t="s">
        <v>2564</v>
      </c>
      <c r="D282" s="8" t="s">
        <v>2565</v>
      </c>
      <c r="E282" s="8" t="s">
        <v>2566</v>
      </c>
      <c r="F282" s="8" t="s">
        <v>2567</v>
      </c>
    </row>
    <row r="283" customHeight="1" spans="1:6">
      <c r="A283" s="6">
        <v>282</v>
      </c>
      <c r="B283" s="8" t="s">
        <v>2563</v>
      </c>
      <c r="C283" s="8" t="s">
        <v>2564</v>
      </c>
      <c r="D283" s="8" t="s">
        <v>2565</v>
      </c>
      <c r="E283" s="8" t="s">
        <v>2566</v>
      </c>
      <c r="F283" s="8" t="s">
        <v>2567</v>
      </c>
    </row>
    <row r="284" customHeight="1" spans="1:6">
      <c r="A284" s="6">
        <v>283</v>
      </c>
      <c r="B284" s="8" t="s">
        <v>2563</v>
      </c>
      <c r="C284" s="8" t="s">
        <v>2564</v>
      </c>
      <c r="D284" s="8" t="s">
        <v>2565</v>
      </c>
      <c r="E284" s="8" t="s">
        <v>2566</v>
      </c>
      <c r="F284" s="8" t="s">
        <v>2567</v>
      </c>
    </row>
    <row r="285" customHeight="1" spans="1:6">
      <c r="A285" s="6">
        <v>284</v>
      </c>
      <c r="B285" s="8" t="s">
        <v>2568</v>
      </c>
      <c r="C285" s="8" t="s">
        <v>2569</v>
      </c>
      <c r="D285" s="8" t="s">
        <v>2570</v>
      </c>
      <c r="E285" s="8" t="s">
        <v>288</v>
      </c>
      <c r="F285" s="8" t="s">
        <v>2571</v>
      </c>
    </row>
    <row r="286" customHeight="1" spans="1:6">
      <c r="A286" s="6">
        <v>285</v>
      </c>
      <c r="B286" s="8" t="s">
        <v>2568</v>
      </c>
      <c r="C286" s="8" t="s">
        <v>2569</v>
      </c>
      <c r="D286" s="8" t="s">
        <v>2570</v>
      </c>
      <c r="E286" s="8" t="s">
        <v>288</v>
      </c>
      <c r="F286" s="8" t="s">
        <v>2571</v>
      </c>
    </row>
    <row r="287" customHeight="1" spans="1:6">
      <c r="A287" s="6">
        <v>286</v>
      </c>
      <c r="B287" s="8" t="s">
        <v>2572</v>
      </c>
      <c r="C287" s="8" t="s">
        <v>2573</v>
      </c>
      <c r="D287" s="8" t="s">
        <v>2574</v>
      </c>
      <c r="E287" s="8" t="s">
        <v>2575</v>
      </c>
      <c r="F287" s="8" t="s">
        <v>2576</v>
      </c>
    </row>
    <row r="288" customHeight="1" spans="1:6">
      <c r="A288" s="6">
        <v>287</v>
      </c>
      <c r="B288" s="8" t="s">
        <v>2572</v>
      </c>
      <c r="C288" s="8" t="s">
        <v>2573</v>
      </c>
      <c r="D288" s="8" t="s">
        <v>2574</v>
      </c>
      <c r="E288" s="8" t="s">
        <v>2575</v>
      </c>
      <c r="F288" s="8" t="s">
        <v>2576</v>
      </c>
    </row>
    <row r="289" customHeight="1" spans="1:6">
      <c r="A289" s="6">
        <v>288</v>
      </c>
      <c r="B289" s="8" t="s">
        <v>2577</v>
      </c>
      <c r="C289" s="8" t="s">
        <v>2578</v>
      </c>
      <c r="D289" s="8" t="s">
        <v>2579</v>
      </c>
      <c r="E289" s="8" t="s">
        <v>48</v>
      </c>
      <c r="F289" s="8" t="s">
        <v>2580</v>
      </c>
    </row>
    <row r="290" customHeight="1" spans="1:6">
      <c r="A290" s="6">
        <v>289</v>
      </c>
      <c r="B290" s="8" t="s">
        <v>2577</v>
      </c>
      <c r="C290" s="8" t="s">
        <v>2578</v>
      </c>
      <c r="D290" s="8" t="s">
        <v>2579</v>
      </c>
      <c r="E290" s="8" t="s">
        <v>48</v>
      </c>
      <c r="F290" s="8" t="s">
        <v>2580</v>
      </c>
    </row>
    <row r="291" customHeight="1" spans="1:6">
      <c r="A291" s="6">
        <v>290</v>
      </c>
      <c r="B291" s="7" t="str">
        <f>"978-7-100-19726-7"</f>
        <v>978-7-100-19726-7</v>
      </c>
      <c r="C291" s="7" t="str">
        <f>"我国经济制度的正义完善研究"</f>
        <v>我国经济制度的正义完善研究</v>
      </c>
      <c r="D291" s="7" t="str">
        <f>"刘敬鲁等著"</f>
        <v>刘敬鲁等著</v>
      </c>
      <c r="E291" s="7" t="str">
        <f>"商务印书馆"</f>
        <v>商务印书馆</v>
      </c>
      <c r="F291" s="7" t="str">
        <f>"F121/213"</f>
        <v>F121/213</v>
      </c>
    </row>
    <row r="292" customHeight="1" spans="1:6">
      <c r="A292" s="6">
        <v>291</v>
      </c>
      <c r="B292" s="7" t="str">
        <f>"978-7-100-19726-7"</f>
        <v>978-7-100-19726-7</v>
      </c>
      <c r="C292" s="7" t="str">
        <f>"我国经济制度的正义完善研究"</f>
        <v>我国经济制度的正义完善研究</v>
      </c>
      <c r="D292" s="7" t="str">
        <f>"刘敬鲁等著"</f>
        <v>刘敬鲁等著</v>
      </c>
      <c r="E292" s="7" t="str">
        <f>"商务印书馆"</f>
        <v>商务印书馆</v>
      </c>
      <c r="F292" s="7" t="str">
        <f>"F121/213"</f>
        <v>F121/213</v>
      </c>
    </row>
    <row r="293" customHeight="1" spans="1:6">
      <c r="A293" s="6">
        <v>292</v>
      </c>
      <c r="B293" s="8" t="s">
        <v>2581</v>
      </c>
      <c r="C293" s="8" t="s">
        <v>2582</v>
      </c>
      <c r="D293" s="8" t="s">
        <v>2583</v>
      </c>
      <c r="E293" s="8" t="s">
        <v>48</v>
      </c>
      <c r="F293" s="8" t="s">
        <v>2584</v>
      </c>
    </row>
    <row r="294" customHeight="1" spans="1:6">
      <c r="A294" s="6">
        <v>293</v>
      </c>
      <c r="B294" s="8" t="s">
        <v>2581</v>
      </c>
      <c r="C294" s="8" t="s">
        <v>2582</v>
      </c>
      <c r="D294" s="8" t="s">
        <v>2583</v>
      </c>
      <c r="E294" s="8" t="s">
        <v>48</v>
      </c>
      <c r="F294" s="8" t="s">
        <v>2584</v>
      </c>
    </row>
    <row r="295" customHeight="1" spans="1:6">
      <c r="A295" s="6">
        <v>294</v>
      </c>
      <c r="B295" s="8" t="s">
        <v>2585</v>
      </c>
      <c r="C295" s="8" t="s">
        <v>2586</v>
      </c>
      <c r="D295" s="8" t="s">
        <v>2587</v>
      </c>
      <c r="E295" s="8" t="s">
        <v>38</v>
      </c>
      <c r="F295" s="8" t="s">
        <v>2588</v>
      </c>
    </row>
    <row r="296" customHeight="1" spans="1:6">
      <c r="A296" s="6">
        <v>295</v>
      </c>
      <c r="B296" s="8" t="s">
        <v>2585</v>
      </c>
      <c r="C296" s="8" t="s">
        <v>2586</v>
      </c>
      <c r="D296" s="8" t="s">
        <v>2587</v>
      </c>
      <c r="E296" s="8" t="s">
        <v>38</v>
      </c>
      <c r="F296" s="8" t="s">
        <v>2588</v>
      </c>
    </row>
    <row r="297" customHeight="1" spans="1:6">
      <c r="A297" s="6">
        <v>296</v>
      </c>
      <c r="B297" s="8" t="s">
        <v>2589</v>
      </c>
      <c r="C297" s="8" t="s">
        <v>2590</v>
      </c>
      <c r="D297" s="8" t="s">
        <v>2591</v>
      </c>
      <c r="E297" s="8" t="s">
        <v>53</v>
      </c>
      <c r="F297" s="8" t="s">
        <v>2592</v>
      </c>
    </row>
    <row r="298" customHeight="1" spans="1:6">
      <c r="A298" s="6">
        <v>297</v>
      </c>
      <c r="B298" s="8" t="s">
        <v>2589</v>
      </c>
      <c r="C298" s="8" t="s">
        <v>2590</v>
      </c>
      <c r="D298" s="8" t="s">
        <v>2591</v>
      </c>
      <c r="E298" s="8" t="s">
        <v>53</v>
      </c>
      <c r="F298" s="8" t="s">
        <v>2592</v>
      </c>
    </row>
    <row r="299" customHeight="1" spans="1:6">
      <c r="A299" s="6">
        <v>298</v>
      </c>
      <c r="B299" s="8" t="s">
        <v>2589</v>
      </c>
      <c r="C299" s="8" t="s">
        <v>2590</v>
      </c>
      <c r="D299" s="8" t="s">
        <v>2591</v>
      </c>
      <c r="E299" s="8" t="s">
        <v>53</v>
      </c>
      <c r="F299" s="8" t="s">
        <v>2592</v>
      </c>
    </row>
    <row r="300" customHeight="1" spans="1:6">
      <c r="A300" s="6">
        <v>299</v>
      </c>
      <c r="B300" s="8" t="s">
        <v>2593</v>
      </c>
      <c r="C300" s="8" t="s">
        <v>2594</v>
      </c>
      <c r="D300" s="8" t="s">
        <v>2595</v>
      </c>
      <c r="E300" s="8" t="s">
        <v>1967</v>
      </c>
      <c r="F300" s="8" t="s">
        <v>2596</v>
      </c>
    </row>
    <row r="301" customHeight="1" spans="1:6">
      <c r="A301" s="6">
        <v>300</v>
      </c>
      <c r="B301" s="8" t="s">
        <v>2593</v>
      </c>
      <c r="C301" s="8" t="s">
        <v>2594</v>
      </c>
      <c r="D301" s="8" t="s">
        <v>2595</v>
      </c>
      <c r="E301" s="8" t="s">
        <v>1967</v>
      </c>
      <c r="F301" s="8" t="s">
        <v>2596</v>
      </c>
    </row>
    <row r="302" customHeight="1" spans="1:6">
      <c r="A302" s="6">
        <v>301</v>
      </c>
      <c r="B302" s="8" t="s">
        <v>2597</v>
      </c>
      <c r="C302" s="8" t="s">
        <v>2598</v>
      </c>
      <c r="D302" s="8" t="s">
        <v>2599</v>
      </c>
      <c r="E302" s="8" t="s">
        <v>58</v>
      </c>
      <c r="F302" s="8" t="s">
        <v>2600</v>
      </c>
    </row>
    <row r="303" customHeight="1" spans="1:6">
      <c r="A303" s="6">
        <v>302</v>
      </c>
      <c r="B303" s="8" t="s">
        <v>2597</v>
      </c>
      <c r="C303" s="8" t="s">
        <v>2598</v>
      </c>
      <c r="D303" s="8" t="s">
        <v>2599</v>
      </c>
      <c r="E303" s="8" t="s">
        <v>58</v>
      </c>
      <c r="F303" s="8" t="s">
        <v>2600</v>
      </c>
    </row>
    <row r="304" customHeight="1" spans="1:6">
      <c r="A304" s="6">
        <v>303</v>
      </c>
      <c r="B304" s="8" t="s">
        <v>2601</v>
      </c>
      <c r="C304" s="8" t="s">
        <v>2602</v>
      </c>
      <c r="D304" s="8" t="s">
        <v>2603</v>
      </c>
      <c r="E304" s="8" t="s">
        <v>311</v>
      </c>
      <c r="F304" s="8" t="s">
        <v>2604</v>
      </c>
    </row>
    <row r="305" customHeight="1" spans="1:6">
      <c r="A305" s="6">
        <v>304</v>
      </c>
      <c r="B305" s="8" t="s">
        <v>2601</v>
      </c>
      <c r="C305" s="8" t="s">
        <v>2602</v>
      </c>
      <c r="D305" s="8" t="s">
        <v>2603</v>
      </c>
      <c r="E305" s="8" t="s">
        <v>311</v>
      </c>
      <c r="F305" s="8" t="s">
        <v>2604</v>
      </c>
    </row>
    <row r="306" customHeight="1" spans="1:6">
      <c r="A306" s="6">
        <v>305</v>
      </c>
      <c r="B306" s="8" t="s">
        <v>2605</v>
      </c>
      <c r="C306" s="8" t="s">
        <v>2606</v>
      </c>
      <c r="D306" s="8" t="s">
        <v>2607</v>
      </c>
      <c r="E306" s="8" t="s">
        <v>8</v>
      </c>
      <c r="F306" s="8" t="s">
        <v>2608</v>
      </c>
    </row>
    <row r="307" customHeight="1" spans="1:6">
      <c r="A307" s="6">
        <v>306</v>
      </c>
      <c r="B307" s="8" t="s">
        <v>2605</v>
      </c>
      <c r="C307" s="8" t="s">
        <v>2606</v>
      </c>
      <c r="D307" s="8" t="s">
        <v>2607</v>
      </c>
      <c r="E307" s="8" t="s">
        <v>8</v>
      </c>
      <c r="F307" s="8" t="s">
        <v>2608</v>
      </c>
    </row>
    <row r="308" customHeight="1" spans="1:6">
      <c r="A308" s="6">
        <v>307</v>
      </c>
      <c r="B308" s="8" t="s">
        <v>2605</v>
      </c>
      <c r="C308" s="8" t="s">
        <v>2606</v>
      </c>
      <c r="D308" s="8" t="s">
        <v>2607</v>
      </c>
      <c r="E308" s="8" t="s">
        <v>8</v>
      </c>
      <c r="F308" s="8" t="s">
        <v>2608</v>
      </c>
    </row>
    <row r="309" customHeight="1" spans="1:6">
      <c r="A309" s="6">
        <v>308</v>
      </c>
      <c r="B309" s="8" t="s">
        <v>2609</v>
      </c>
      <c r="C309" s="8" t="s">
        <v>2610</v>
      </c>
      <c r="D309" s="8" t="s">
        <v>2611</v>
      </c>
      <c r="E309" s="8" t="s">
        <v>810</v>
      </c>
      <c r="F309" s="8" t="s">
        <v>2612</v>
      </c>
    </row>
    <row r="310" customHeight="1" spans="1:6">
      <c r="A310" s="6">
        <v>309</v>
      </c>
      <c r="B310" s="8" t="s">
        <v>2609</v>
      </c>
      <c r="C310" s="8" t="s">
        <v>2610</v>
      </c>
      <c r="D310" s="8" t="s">
        <v>2611</v>
      </c>
      <c r="E310" s="8" t="s">
        <v>810</v>
      </c>
      <c r="F310" s="8" t="s">
        <v>2612</v>
      </c>
    </row>
    <row r="311" customHeight="1" spans="1:6">
      <c r="A311" s="6">
        <v>310</v>
      </c>
      <c r="B311" s="8" t="s">
        <v>2609</v>
      </c>
      <c r="C311" s="8" t="s">
        <v>2610</v>
      </c>
      <c r="D311" s="8" t="s">
        <v>2611</v>
      </c>
      <c r="E311" s="8" t="s">
        <v>810</v>
      </c>
      <c r="F311" s="8" t="s">
        <v>2612</v>
      </c>
    </row>
    <row r="312" customHeight="1" spans="1:6">
      <c r="A312" s="6">
        <v>311</v>
      </c>
      <c r="B312" s="7" t="str">
        <f t="shared" ref="B312:B314" si="17">"978-7-01-023408-3"</f>
        <v>978-7-01-023408-3</v>
      </c>
      <c r="C312" s="7" t="str">
        <f t="shared" ref="C312:C314" si="18">"“十四五”《纲要》新概念：读懂“十四五”的100个关键词"</f>
        <v>“十四五”《纲要》新概念：读懂“十四五”的100个关键词</v>
      </c>
      <c r="D312" s="7" t="str">
        <f t="shared" ref="D312:D314" si="19">"韩保江主编"</f>
        <v>韩保江主编</v>
      </c>
      <c r="E312" s="7" t="str">
        <f t="shared" ref="E312:E324" si="20">"人民出版社"</f>
        <v>人民出版社</v>
      </c>
      <c r="F312" s="7" t="str">
        <f t="shared" ref="F312:F314" si="21">"F123.399/12"</f>
        <v>F123.399/12</v>
      </c>
    </row>
    <row r="313" customHeight="1" spans="1:6">
      <c r="A313" s="6">
        <v>312</v>
      </c>
      <c r="B313" s="7" t="str">
        <f t="shared" si="17"/>
        <v>978-7-01-023408-3</v>
      </c>
      <c r="C313" s="7" t="str">
        <f t="shared" si="18"/>
        <v>“十四五”《纲要》新概念：读懂“十四五”的100个关键词</v>
      </c>
      <c r="D313" s="7" t="str">
        <f t="shared" si="19"/>
        <v>韩保江主编</v>
      </c>
      <c r="E313" s="7" t="str">
        <f t="shared" si="20"/>
        <v>人民出版社</v>
      </c>
      <c r="F313" s="7" t="str">
        <f t="shared" si="21"/>
        <v>F123.399/12</v>
      </c>
    </row>
    <row r="314" customHeight="1" spans="1:6">
      <c r="A314" s="6">
        <v>313</v>
      </c>
      <c r="B314" s="7" t="str">
        <f t="shared" si="17"/>
        <v>978-7-01-023408-3</v>
      </c>
      <c r="C314" s="7" t="str">
        <f t="shared" si="18"/>
        <v>“十四五”《纲要》新概念：读懂“十四五”的100个关键词</v>
      </c>
      <c r="D314" s="7" t="str">
        <f t="shared" si="19"/>
        <v>韩保江主编</v>
      </c>
      <c r="E314" s="7" t="str">
        <f t="shared" si="20"/>
        <v>人民出版社</v>
      </c>
      <c r="F314" s="7" t="str">
        <f t="shared" si="21"/>
        <v>F123.399/12</v>
      </c>
    </row>
    <row r="315" customHeight="1" spans="1:6">
      <c r="A315" s="6">
        <v>314</v>
      </c>
      <c r="B315" s="7" t="str">
        <f t="shared" ref="B315:B319" si="22">"978-7-01-022601-9"</f>
        <v>978-7-01-022601-9</v>
      </c>
      <c r="C315" s="7" t="str">
        <f t="shared" ref="C315:C319" si="23">"中共中央关于制定国民经济和社会发展第十四个五年规划和二〇三五年远景目标的建议"</f>
        <v>中共中央关于制定国民经济和社会发展第十四个五年规划和二〇三五年远景目标的建议</v>
      </c>
      <c r="D315" s="7" t="str">
        <f t="shared" ref="D315:D324" si="24">" "</f>
        <v> </v>
      </c>
      <c r="E315" s="7" t="str">
        <f t="shared" si="20"/>
        <v>人民出版社</v>
      </c>
      <c r="F315" s="7" t="str">
        <f t="shared" ref="F315:F319" si="25">"F123.399/13"</f>
        <v>F123.399/13</v>
      </c>
    </row>
    <row r="316" customHeight="1" spans="1:6">
      <c r="A316" s="6">
        <v>315</v>
      </c>
      <c r="B316" s="7" t="str">
        <f t="shared" si="22"/>
        <v>978-7-01-022601-9</v>
      </c>
      <c r="C316" s="7" t="str">
        <f t="shared" si="23"/>
        <v>中共中央关于制定国民经济和社会发展第十四个五年规划和二〇三五年远景目标的建议</v>
      </c>
      <c r="D316" s="7" t="str">
        <f t="shared" si="24"/>
        <v> </v>
      </c>
      <c r="E316" s="7" t="str">
        <f t="shared" si="20"/>
        <v>人民出版社</v>
      </c>
      <c r="F316" s="7" t="str">
        <f t="shared" si="25"/>
        <v>F123.399/13</v>
      </c>
    </row>
    <row r="317" customHeight="1" spans="1:6">
      <c r="A317" s="6">
        <v>316</v>
      </c>
      <c r="B317" s="7" t="str">
        <f t="shared" si="22"/>
        <v>978-7-01-022601-9</v>
      </c>
      <c r="C317" s="7" t="str">
        <f t="shared" si="23"/>
        <v>中共中央关于制定国民经济和社会发展第十四个五年规划和二〇三五年远景目标的建议</v>
      </c>
      <c r="D317" s="7" t="str">
        <f t="shared" si="24"/>
        <v> </v>
      </c>
      <c r="E317" s="7" t="str">
        <f t="shared" si="20"/>
        <v>人民出版社</v>
      </c>
      <c r="F317" s="7" t="str">
        <f t="shared" si="25"/>
        <v>F123.399/13</v>
      </c>
    </row>
    <row r="318" customHeight="1" spans="1:6">
      <c r="A318" s="6">
        <v>317</v>
      </c>
      <c r="B318" s="7" t="str">
        <f t="shared" si="22"/>
        <v>978-7-01-022601-9</v>
      </c>
      <c r="C318" s="7" t="str">
        <f t="shared" si="23"/>
        <v>中共中央关于制定国民经济和社会发展第十四个五年规划和二〇三五年远景目标的建议</v>
      </c>
      <c r="D318" s="7" t="str">
        <f t="shared" si="24"/>
        <v> </v>
      </c>
      <c r="E318" s="7" t="str">
        <f t="shared" si="20"/>
        <v>人民出版社</v>
      </c>
      <c r="F318" s="7" t="str">
        <f t="shared" si="25"/>
        <v>F123.399/13</v>
      </c>
    </row>
    <row r="319" customHeight="1" spans="1:6">
      <c r="A319" s="6">
        <v>318</v>
      </c>
      <c r="B319" s="7" t="str">
        <f t="shared" si="22"/>
        <v>978-7-01-022601-9</v>
      </c>
      <c r="C319" s="7" t="str">
        <f t="shared" si="23"/>
        <v>中共中央关于制定国民经济和社会发展第十四个五年规划和二〇三五年远景目标的建议</v>
      </c>
      <c r="D319" s="7" t="str">
        <f t="shared" si="24"/>
        <v> </v>
      </c>
      <c r="E319" s="7" t="str">
        <f t="shared" si="20"/>
        <v>人民出版社</v>
      </c>
      <c r="F319" s="7" t="str">
        <f t="shared" si="25"/>
        <v>F123.399/13</v>
      </c>
    </row>
    <row r="320" customHeight="1" spans="1:6">
      <c r="A320" s="6">
        <v>319</v>
      </c>
      <c r="B320" s="7" t="str">
        <f t="shared" ref="B320:B324" si="26">"978-7-01-023255-3"</f>
        <v>978-7-01-023255-3</v>
      </c>
      <c r="C320" s="7" t="str">
        <f t="shared" ref="C320:C324" si="27">"中华人民共和国国民经济和社会发展第十四个五年规划和2035年远景目标纲要"</f>
        <v>中华人民共和国国民经济和社会发展第十四个五年规划和2035年远景目标纲要</v>
      </c>
      <c r="D320" s="7" t="str">
        <f t="shared" si="24"/>
        <v> </v>
      </c>
      <c r="E320" s="7" t="str">
        <f t="shared" si="20"/>
        <v>人民出版社</v>
      </c>
      <c r="F320" s="7" t="str">
        <f t="shared" ref="F320:F324" si="28">"F123.399/14"</f>
        <v>F123.399/14</v>
      </c>
    </row>
    <row r="321" customHeight="1" spans="1:6">
      <c r="A321" s="6">
        <v>320</v>
      </c>
      <c r="B321" s="7" t="str">
        <f t="shared" si="26"/>
        <v>978-7-01-023255-3</v>
      </c>
      <c r="C321" s="7" t="str">
        <f t="shared" si="27"/>
        <v>中华人民共和国国民经济和社会发展第十四个五年规划和2035年远景目标纲要</v>
      </c>
      <c r="D321" s="7" t="str">
        <f t="shared" si="24"/>
        <v> </v>
      </c>
      <c r="E321" s="7" t="str">
        <f t="shared" si="20"/>
        <v>人民出版社</v>
      </c>
      <c r="F321" s="7" t="str">
        <f t="shared" si="28"/>
        <v>F123.399/14</v>
      </c>
    </row>
    <row r="322" customHeight="1" spans="1:6">
      <c r="A322" s="6">
        <v>321</v>
      </c>
      <c r="B322" s="7" t="str">
        <f t="shared" si="26"/>
        <v>978-7-01-023255-3</v>
      </c>
      <c r="C322" s="7" t="str">
        <f t="shared" si="27"/>
        <v>中华人民共和国国民经济和社会发展第十四个五年规划和2035年远景目标纲要</v>
      </c>
      <c r="D322" s="7" t="str">
        <f t="shared" si="24"/>
        <v> </v>
      </c>
      <c r="E322" s="7" t="str">
        <f t="shared" si="20"/>
        <v>人民出版社</v>
      </c>
      <c r="F322" s="7" t="str">
        <f t="shared" si="28"/>
        <v>F123.399/14</v>
      </c>
    </row>
    <row r="323" customHeight="1" spans="1:6">
      <c r="A323" s="6">
        <v>322</v>
      </c>
      <c r="B323" s="7" t="str">
        <f t="shared" si="26"/>
        <v>978-7-01-023255-3</v>
      </c>
      <c r="C323" s="7" t="str">
        <f t="shared" si="27"/>
        <v>中华人民共和国国民经济和社会发展第十四个五年规划和2035年远景目标纲要</v>
      </c>
      <c r="D323" s="7" t="str">
        <f t="shared" si="24"/>
        <v> </v>
      </c>
      <c r="E323" s="7" t="str">
        <f t="shared" si="20"/>
        <v>人民出版社</v>
      </c>
      <c r="F323" s="7" t="str">
        <f t="shared" si="28"/>
        <v>F123.399/14</v>
      </c>
    </row>
    <row r="324" customHeight="1" spans="1:6">
      <c r="A324" s="6">
        <v>323</v>
      </c>
      <c r="B324" s="7" t="str">
        <f t="shared" si="26"/>
        <v>978-7-01-023255-3</v>
      </c>
      <c r="C324" s="7" t="str">
        <f t="shared" si="27"/>
        <v>中华人民共和国国民经济和社会发展第十四个五年规划和2035年远景目标纲要</v>
      </c>
      <c r="D324" s="7" t="str">
        <f t="shared" si="24"/>
        <v> </v>
      </c>
      <c r="E324" s="7" t="str">
        <f t="shared" si="20"/>
        <v>人民出版社</v>
      </c>
      <c r="F324" s="7" t="str">
        <f t="shared" si="28"/>
        <v>F123.399/14</v>
      </c>
    </row>
    <row r="325" customHeight="1" spans="1:6">
      <c r="A325" s="6">
        <v>324</v>
      </c>
      <c r="B325" s="7" t="str">
        <f>"978-7-5217-2737-1"</f>
        <v>978-7-5217-2737-1</v>
      </c>
      <c r="C325" s="7" t="str">
        <f>"从制造到服务：结构转型期的宏观经济学"</f>
        <v>从制造到服务：结构转型期的宏观经济学</v>
      </c>
      <c r="D325" s="7" t="str">
        <f>"张斌著"</f>
        <v>张斌著</v>
      </c>
      <c r="E325" s="7" t="str">
        <f>"中信出版集团股份有限公司"</f>
        <v>中信出版集团股份有限公司</v>
      </c>
      <c r="F325" s="7" t="str">
        <f>"F123.9/63"</f>
        <v>F123.9/63</v>
      </c>
    </row>
    <row r="326" customHeight="1" spans="1:6">
      <c r="A326" s="6">
        <v>325</v>
      </c>
      <c r="B326" s="7" t="str">
        <f>"978-7-5217-2737-1"</f>
        <v>978-7-5217-2737-1</v>
      </c>
      <c r="C326" s="7" t="str">
        <f>"从制造到服务：结构转型期的宏观经济学"</f>
        <v>从制造到服务：结构转型期的宏观经济学</v>
      </c>
      <c r="D326" s="7" t="str">
        <f>"张斌著"</f>
        <v>张斌著</v>
      </c>
      <c r="E326" s="7" t="str">
        <f>"中信出版集团股份有限公司"</f>
        <v>中信出版集团股份有限公司</v>
      </c>
      <c r="F326" s="7" t="str">
        <f>"F123.9/63"</f>
        <v>F123.9/63</v>
      </c>
    </row>
    <row r="327" customHeight="1" spans="1:6">
      <c r="A327" s="6">
        <v>326</v>
      </c>
      <c r="B327" s="8" t="s">
        <v>2613</v>
      </c>
      <c r="C327" s="8" t="s">
        <v>2614</v>
      </c>
      <c r="D327" s="8" t="s">
        <v>2615</v>
      </c>
      <c r="E327" s="8" t="s">
        <v>43</v>
      </c>
      <c r="F327" s="8" t="s">
        <v>2616</v>
      </c>
    </row>
    <row r="328" customHeight="1" spans="1:6">
      <c r="A328" s="6">
        <v>327</v>
      </c>
      <c r="B328" s="8" t="s">
        <v>2613</v>
      </c>
      <c r="C328" s="8" t="s">
        <v>2614</v>
      </c>
      <c r="D328" s="8" t="s">
        <v>2615</v>
      </c>
      <c r="E328" s="8" t="s">
        <v>43</v>
      </c>
      <c r="F328" s="8" t="s">
        <v>2616</v>
      </c>
    </row>
    <row r="329" customHeight="1" spans="1:6">
      <c r="A329" s="6">
        <v>328</v>
      </c>
      <c r="B329" s="8" t="s">
        <v>2617</v>
      </c>
      <c r="C329" s="8" t="s">
        <v>2618</v>
      </c>
      <c r="D329" s="8" t="s">
        <v>2619</v>
      </c>
      <c r="E329" s="8" t="s">
        <v>589</v>
      </c>
      <c r="F329" s="8" t="s">
        <v>2620</v>
      </c>
    </row>
    <row r="330" customHeight="1" spans="1:6">
      <c r="A330" s="6">
        <v>329</v>
      </c>
      <c r="B330" s="8" t="s">
        <v>2617</v>
      </c>
      <c r="C330" s="8" t="s">
        <v>2618</v>
      </c>
      <c r="D330" s="8" t="s">
        <v>2619</v>
      </c>
      <c r="E330" s="8" t="s">
        <v>589</v>
      </c>
      <c r="F330" s="8" t="s">
        <v>2620</v>
      </c>
    </row>
    <row r="331" customHeight="1" spans="1:6">
      <c r="A331" s="6">
        <v>330</v>
      </c>
      <c r="B331" s="8" t="s">
        <v>2617</v>
      </c>
      <c r="C331" s="8" t="s">
        <v>2618</v>
      </c>
      <c r="D331" s="8" t="s">
        <v>2619</v>
      </c>
      <c r="E331" s="8" t="s">
        <v>589</v>
      </c>
      <c r="F331" s="8" t="s">
        <v>2620</v>
      </c>
    </row>
    <row r="332" customHeight="1" spans="1:6">
      <c r="A332" s="6">
        <v>331</v>
      </c>
      <c r="B332" s="8" t="s">
        <v>2621</v>
      </c>
      <c r="C332" s="8" t="s">
        <v>2622</v>
      </c>
      <c r="D332" s="8" t="s">
        <v>2623</v>
      </c>
      <c r="E332" s="8" t="s">
        <v>58</v>
      </c>
      <c r="F332" s="8" t="s">
        <v>2624</v>
      </c>
    </row>
    <row r="333" customHeight="1" spans="1:6">
      <c r="A333" s="6">
        <v>332</v>
      </c>
      <c r="B333" s="8" t="s">
        <v>2621</v>
      </c>
      <c r="C333" s="8" t="s">
        <v>2622</v>
      </c>
      <c r="D333" s="8" t="s">
        <v>2623</v>
      </c>
      <c r="E333" s="8" t="s">
        <v>58</v>
      </c>
      <c r="F333" s="8" t="s">
        <v>2624</v>
      </c>
    </row>
    <row r="334" customHeight="1" spans="1:6">
      <c r="A334" s="6">
        <v>333</v>
      </c>
      <c r="B334" s="8" t="s">
        <v>2625</v>
      </c>
      <c r="C334" s="8" t="s">
        <v>2626</v>
      </c>
      <c r="D334" s="8" t="s">
        <v>2627</v>
      </c>
      <c r="E334" s="8" t="s">
        <v>311</v>
      </c>
      <c r="F334" s="8" t="s">
        <v>2628</v>
      </c>
    </row>
    <row r="335" customHeight="1" spans="1:6">
      <c r="A335" s="6">
        <v>334</v>
      </c>
      <c r="B335" s="8" t="s">
        <v>2625</v>
      </c>
      <c r="C335" s="8" t="s">
        <v>2626</v>
      </c>
      <c r="D335" s="8" t="s">
        <v>2627</v>
      </c>
      <c r="E335" s="8" t="s">
        <v>311</v>
      </c>
      <c r="F335" s="8" t="s">
        <v>2628</v>
      </c>
    </row>
    <row r="336" customHeight="1" spans="1:6">
      <c r="A336" s="6">
        <v>335</v>
      </c>
      <c r="B336" s="8" t="s">
        <v>2629</v>
      </c>
      <c r="C336" s="8" t="s">
        <v>2630</v>
      </c>
      <c r="D336" s="8" t="s">
        <v>2631</v>
      </c>
      <c r="E336" s="8" t="s">
        <v>311</v>
      </c>
      <c r="F336" s="8" t="s">
        <v>2632</v>
      </c>
    </row>
    <row r="337" customHeight="1" spans="1:6">
      <c r="A337" s="6">
        <v>336</v>
      </c>
      <c r="B337" s="8" t="s">
        <v>2629</v>
      </c>
      <c r="C337" s="8" t="s">
        <v>2630</v>
      </c>
      <c r="D337" s="8" t="s">
        <v>2631</v>
      </c>
      <c r="E337" s="8" t="s">
        <v>311</v>
      </c>
      <c r="F337" s="8" t="s">
        <v>2632</v>
      </c>
    </row>
    <row r="338" customHeight="1" spans="1:6">
      <c r="A338" s="6">
        <v>337</v>
      </c>
      <c r="B338" s="8" t="s">
        <v>2633</v>
      </c>
      <c r="C338" s="8" t="s">
        <v>2634</v>
      </c>
      <c r="D338" s="8" t="s">
        <v>2635</v>
      </c>
      <c r="E338" s="8" t="s">
        <v>311</v>
      </c>
      <c r="F338" s="8" t="s">
        <v>2636</v>
      </c>
    </row>
    <row r="339" customHeight="1" spans="1:6">
      <c r="A339" s="6">
        <v>338</v>
      </c>
      <c r="B339" s="8" t="s">
        <v>2633</v>
      </c>
      <c r="C339" s="8" t="s">
        <v>2634</v>
      </c>
      <c r="D339" s="8" t="s">
        <v>2635</v>
      </c>
      <c r="E339" s="8" t="s">
        <v>311</v>
      </c>
      <c r="F339" s="8" t="s">
        <v>2636</v>
      </c>
    </row>
    <row r="340" customHeight="1" spans="1:6">
      <c r="A340" s="6">
        <v>339</v>
      </c>
      <c r="B340" s="8" t="s">
        <v>2637</v>
      </c>
      <c r="C340" s="8" t="s">
        <v>2638</v>
      </c>
      <c r="D340" s="8" t="s">
        <v>2639</v>
      </c>
      <c r="E340" s="8" t="s">
        <v>2284</v>
      </c>
      <c r="F340" s="8" t="s">
        <v>2640</v>
      </c>
    </row>
    <row r="341" customHeight="1" spans="1:6">
      <c r="A341" s="6">
        <v>340</v>
      </c>
      <c r="B341" s="8" t="s">
        <v>2637</v>
      </c>
      <c r="C341" s="8" t="s">
        <v>2638</v>
      </c>
      <c r="D341" s="8" t="s">
        <v>2639</v>
      </c>
      <c r="E341" s="8" t="s">
        <v>2284</v>
      </c>
      <c r="F341" s="8" t="s">
        <v>2640</v>
      </c>
    </row>
    <row r="342" customHeight="1" spans="1:6">
      <c r="A342" s="6">
        <v>341</v>
      </c>
      <c r="B342" s="8" t="s">
        <v>2641</v>
      </c>
      <c r="C342" s="8" t="s">
        <v>2642</v>
      </c>
      <c r="D342" s="8" t="s">
        <v>2643</v>
      </c>
      <c r="E342" s="8" t="s">
        <v>530</v>
      </c>
      <c r="F342" s="8" t="s">
        <v>2644</v>
      </c>
    </row>
    <row r="343" customHeight="1" spans="1:6">
      <c r="A343" s="6">
        <v>342</v>
      </c>
      <c r="B343" s="8" t="s">
        <v>2641</v>
      </c>
      <c r="C343" s="8" t="s">
        <v>2642</v>
      </c>
      <c r="D343" s="8" t="s">
        <v>2643</v>
      </c>
      <c r="E343" s="8" t="s">
        <v>530</v>
      </c>
      <c r="F343" s="8" t="s">
        <v>2644</v>
      </c>
    </row>
    <row r="344" customHeight="1" spans="1:6">
      <c r="A344" s="6">
        <v>343</v>
      </c>
      <c r="B344" s="7" t="str">
        <f>"978-7-5217-3278-8"</f>
        <v>978-7-5217-3278-8</v>
      </c>
      <c r="C344" s="7" t="str">
        <f>"碳中和经济学"</f>
        <v>碳中和经济学</v>
      </c>
      <c r="D344" s="7" t="str">
        <f>"中金公司研究部， 中金研究院著"</f>
        <v>中金公司研究部， 中金研究院著</v>
      </c>
      <c r="E344" s="7" t="str">
        <f>"中信出版集团股份有限公司"</f>
        <v>中信出版集团股份有限公司</v>
      </c>
      <c r="F344" s="7" t="str">
        <f>"F124.5/181"</f>
        <v>F124.5/181</v>
      </c>
    </row>
    <row r="345" customHeight="1" spans="1:6">
      <c r="A345" s="6">
        <v>344</v>
      </c>
      <c r="B345" s="7" t="str">
        <f>"978-7-5217-3278-8"</f>
        <v>978-7-5217-3278-8</v>
      </c>
      <c r="C345" s="7" t="str">
        <f>"碳中和经济学"</f>
        <v>碳中和经济学</v>
      </c>
      <c r="D345" s="7" t="str">
        <f>"中金公司研究部， 中金研究院著"</f>
        <v>中金公司研究部， 中金研究院著</v>
      </c>
      <c r="E345" s="7" t="str">
        <f>"中信出版集团股份有限公司"</f>
        <v>中信出版集团股份有限公司</v>
      </c>
      <c r="F345" s="7" t="str">
        <f>"F124.5/181"</f>
        <v>F124.5/181</v>
      </c>
    </row>
    <row r="346" customHeight="1" spans="1:6">
      <c r="A346" s="6">
        <v>345</v>
      </c>
      <c r="B346" s="8" t="s">
        <v>2645</v>
      </c>
      <c r="C346" s="8" t="s">
        <v>2646</v>
      </c>
      <c r="D346" s="8" t="s">
        <v>2647</v>
      </c>
      <c r="E346" s="8" t="s">
        <v>311</v>
      </c>
      <c r="F346" s="8" t="s">
        <v>2648</v>
      </c>
    </row>
    <row r="347" customHeight="1" spans="1:6">
      <c r="A347" s="6">
        <v>346</v>
      </c>
      <c r="B347" s="8" t="s">
        <v>2645</v>
      </c>
      <c r="C347" s="8" t="s">
        <v>2646</v>
      </c>
      <c r="D347" s="8" t="s">
        <v>2647</v>
      </c>
      <c r="E347" s="8" t="s">
        <v>311</v>
      </c>
      <c r="F347" s="8" t="s">
        <v>2648</v>
      </c>
    </row>
    <row r="348" customHeight="1" spans="1:6">
      <c r="A348" s="6">
        <v>347</v>
      </c>
      <c r="B348" s="8" t="s">
        <v>2649</v>
      </c>
      <c r="C348" s="8" t="s">
        <v>2650</v>
      </c>
      <c r="D348" s="8" t="s">
        <v>2651</v>
      </c>
      <c r="E348" s="8" t="s">
        <v>810</v>
      </c>
      <c r="F348" s="8" t="s">
        <v>2652</v>
      </c>
    </row>
    <row r="349" customHeight="1" spans="1:6">
      <c r="A349" s="6">
        <v>348</v>
      </c>
      <c r="B349" s="8" t="s">
        <v>2649</v>
      </c>
      <c r="C349" s="8" t="s">
        <v>2650</v>
      </c>
      <c r="D349" s="8" t="s">
        <v>2651</v>
      </c>
      <c r="E349" s="8" t="s">
        <v>810</v>
      </c>
      <c r="F349" s="8" t="s">
        <v>2652</v>
      </c>
    </row>
    <row r="350" customHeight="1" spans="1:6">
      <c r="A350" s="6">
        <v>349</v>
      </c>
      <c r="B350" s="8" t="s">
        <v>2649</v>
      </c>
      <c r="C350" s="8" t="s">
        <v>2650</v>
      </c>
      <c r="D350" s="8" t="s">
        <v>2651</v>
      </c>
      <c r="E350" s="8" t="s">
        <v>810</v>
      </c>
      <c r="F350" s="8" t="s">
        <v>2652</v>
      </c>
    </row>
    <row r="351" customHeight="1" spans="1:6">
      <c r="A351" s="6">
        <v>350</v>
      </c>
      <c r="B351" s="8" t="s">
        <v>2653</v>
      </c>
      <c r="C351" s="8" t="s">
        <v>2654</v>
      </c>
      <c r="D351" s="8" t="s">
        <v>2655</v>
      </c>
      <c r="E351" s="8" t="s">
        <v>58</v>
      </c>
      <c r="F351" s="8" t="s">
        <v>2656</v>
      </c>
    </row>
    <row r="352" customHeight="1" spans="1:6">
      <c r="A352" s="6">
        <v>351</v>
      </c>
      <c r="B352" s="8" t="s">
        <v>2653</v>
      </c>
      <c r="C352" s="8" t="s">
        <v>2654</v>
      </c>
      <c r="D352" s="8" t="s">
        <v>2655</v>
      </c>
      <c r="E352" s="8" t="s">
        <v>58</v>
      </c>
      <c r="F352" s="8" t="s">
        <v>2656</v>
      </c>
    </row>
    <row r="353" customHeight="1" spans="1:6">
      <c r="A353" s="6">
        <v>352</v>
      </c>
      <c r="B353" s="8" t="s">
        <v>2657</v>
      </c>
      <c r="C353" s="8" t="s">
        <v>2658</v>
      </c>
      <c r="D353" s="8" t="s">
        <v>2659</v>
      </c>
      <c r="E353" s="8" t="s">
        <v>43</v>
      </c>
      <c r="F353" s="8" t="s">
        <v>2660</v>
      </c>
    </row>
    <row r="354" customHeight="1" spans="1:6">
      <c r="A354" s="6">
        <v>353</v>
      </c>
      <c r="B354" s="8" t="s">
        <v>2657</v>
      </c>
      <c r="C354" s="8" t="s">
        <v>2658</v>
      </c>
      <c r="D354" s="8" t="s">
        <v>2659</v>
      </c>
      <c r="E354" s="8" t="s">
        <v>43</v>
      </c>
      <c r="F354" s="8" t="s">
        <v>2660</v>
      </c>
    </row>
    <row r="355" customHeight="1" spans="1:6">
      <c r="A355" s="6">
        <v>354</v>
      </c>
      <c r="B355" s="8" t="s">
        <v>2661</v>
      </c>
      <c r="C355" s="8" t="s">
        <v>2662</v>
      </c>
      <c r="D355" s="8" t="s">
        <v>2663</v>
      </c>
      <c r="E355" s="8" t="s">
        <v>810</v>
      </c>
      <c r="F355" s="8" t="s">
        <v>2664</v>
      </c>
    </row>
    <row r="356" customHeight="1" spans="1:6">
      <c r="A356" s="6">
        <v>355</v>
      </c>
      <c r="B356" s="8" t="s">
        <v>2661</v>
      </c>
      <c r="C356" s="8" t="s">
        <v>2662</v>
      </c>
      <c r="D356" s="8" t="s">
        <v>2663</v>
      </c>
      <c r="E356" s="8" t="s">
        <v>810</v>
      </c>
      <c r="F356" s="8" t="s">
        <v>2664</v>
      </c>
    </row>
    <row r="357" customHeight="1" spans="1:6">
      <c r="A357" s="6">
        <v>356</v>
      </c>
      <c r="B357" s="8" t="s">
        <v>2661</v>
      </c>
      <c r="C357" s="8" t="s">
        <v>2662</v>
      </c>
      <c r="D357" s="8" t="s">
        <v>2663</v>
      </c>
      <c r="E357" s="8" t="s">
        <v>810</v>
      </c>
      <c r="F357" s="8" t="s">
        <v>2664</v>
      </c>
    </row>
    <row r="358" customHeight="1" spans="1:6">
      <c r="A358" s="6">
        <v>357</v>
      </c>
      <c r="B358" s="8" t="s">
        <v>2665</v>
      </c>
      <c r="C358" s="8" t="s">
        <v>2666</v>
      </c>
      <c r="D358" s="8" t="s">
        <v>2667</v>
      </c>
      <c r="E358" s="8" t="s">
        <v>415</v>
      </c>
      <c r="F358" s="8" t="s">
        <v>2668</v>
      </c>
    </row>
    <row r="359" customHeight="1" spans="1:6">
      <c r="A359" s="6">
        <v>358</v>
      </c>
      <c r="B359" s="8" t="s">
        <v>2665</v>
      </c>
      <c r="C359" s="8" t="s">
        <v>2666</v>
      </c>
      <c r="D359" s="8" t="s">
        <v>2667</v>
      </c>
      <c r="E359" s="8" t="s">
        <v>415</v>
      </c>
      <c r="F359" s="8" t="s">
        <v>2668</v>
      </c>
    </row>
    <row r="360" customHeight="1" spans="1:6">
      <c r="A360" s="6">
        <v>359</v>
      </c>
      <c r="B360" s="8" t="s">
        <v>2669</v>
      </c>
      <c r="C360" s="8" t="s">
        <v>2670</v>
      </c>
      <c r="D360" s="8" t="s">
        <v>2671</v>
      </c>
      <c r="E360" s="8" t="s">
        <v>415</v>
      </c>
      <c r="F360" s="8" t="s">
        <v>2672</v>
      </c>
    </row>
    <row r="361" customHeight="1" spans="1:6">
      <c r="A361" s="6">
        <v>360</v>
      </c>
      <c r="B361" s="8" t="s">
        <v>2669</v>
      </c>
      <c r="C361" s="8" t="s">
        <v>2670</v>
      </c>
      <c r="D361" s="8" t="s">
        <v>2671</v>
      </c>
      <c r="E361" s="8" t="s">
        <v>415</v>
      </c>
      <c r="F361" s="8" t="s">
        <v>2672</v>
      </c>
    </row>
    <row r="362" customHeight="1" spans="1:6">
      <c r="A362" s="6">
        <v>361</v>
      </c>
      <c r="B362" s="8" t="s">
        <v>2673</v>
      </c>
      <c r="C362" s="8" t="s">
        <v>2674</v>
      </c>
      <c r="D362" s="8" t="s">
        <v>2675</v>
      </c>
      <c r="E362" s="8" t="s">
        <v>321</v>
      </c>
      <c r="F362" s="8" t="s">
        <v>2676</v>
      </c>
    </row>
    <row r="363" customHeight="1" spans="1:6">
      <c r="A363" s="6">
        <v>362</v>
      </c>
      <c r="B363" s="8" t="s">
        <v>2673</v>
      </c>
      <c r="C363" s="8" t="s">
        <v>2674</v>
      </c>
      <c r="D363" s="8" t="s">
        <v>2675</v>
      </c>
      <c r="E363" s="8" t="s">
        <v>321</v>
      </c>
      <c r="F363" s="8" t="s">
        <v>2676</v>
      </c>
    </row>
    <row r="364" customHeight="1" spans="1:6">
      <c r="A364" s="6">
        <v>363</v>
      </c>
      <c r="B364" s="8" t="s">
        <v>2673</v>
      </c>
      <c r="C364" s="8" t="s">
        <v>2674</v>
      </c>
      <c r="D364" s="8" t="s">
        <v>2675</v>
      </c>
      <c r="E364" s="8" t="s">
        <v>321</v>
      </c>
      <c r="F364" s="8" t="s">
        <v>2676</v>
      </c>
    </row>
    <row r="365" customHeight="1" spans="1:6">
      <c r="A365" s="6">
        <v>364</v>
      </c>
      <c r="B365" s="8" t="s">
        <v>2673</v>
      </c>
      <c r="C365" s="8" t="s">
        <v>2677</v>
      </c>
      <c r="D365" s="8" t="s">
        <v>2675</v>
      </c>
      <c r="E365" s="8" t="s">
        <v>321</v>
      </c>
      <c r="F365" s="8" t="s">
        <v>2678</v>
      </c>
    </row>
    <row r="366" customHeight="1" spans="1:6">
      <c r="A366" s="6">
        <v>365</v>
      </c>
      <c r="B366" s="8" t="s">
        <v>2673</v>
      </c>
      <c r="C366" s="8" t="s">
        <v>2677</v>
      </c>
      <c r="D366" s="8" t="s">
        <v>2675</v>
      </c>
      <c r="E366" s="8" t="s">
        <v>321</v>
      </c>
      <c r="F366" s="8" t="s">
        <v>2678</v>
      </c>
    </row>
    <row r="367" customHeight="1" spans="1:6">
      <c r="A367" s="6">
        <v>366</v>
      </c>
      <c r="B367" s="8" t="s">
        <v>2673</v>
      </c>
      <c r="C367" s="8" t="s">
        <v>2677</v>
      </c>
      <c r="D367" s="8" t="s">
        <v>2675</v>
      </c>
      <c r="E367" s="8" t="s">
        <v>321</v>
      </c>
      <c r="F367" s="8" t="s">
        <v>2678</v>
      </c>
    </row>
    <row r="368" customHeight="1" spans="1:6">
      <c r="A368" s="6">
        <v>367</v>
      </c>
      <c r="B368" s="7" t="str">
        <f t="shared" ref="B368:B370" si="29">"978-7-5115-6903-5"</f>
        <v>978-7-5115-6903-5</v>
      </c>
      <c r="C368" s="7" t="str">
        <f t="shared" ref="C368:C370" si="30">"读懂中国经济：加快构建新发展格局"</f>
        <v>读懂中国经济：加快构建新发展格局</v>
      </c>
      <c r="D368" s="7" t="str">
        <f t="shared" ref="D368:D370" si="31">"张晓晶， 杨涛主编"</f>
        <v>张晓晶， 杨涛主编</v>
      </c>
      <c r="E368" s="7" t="str">
        <f t="shared" ref="E368:E373" si="32">"人民日报出版社"</f>
        <v>人民日报出版社</v>
      </c>
      <c r="F368" s="7" t="str">
        <f t="shared" ref="F368:F370" si="33">"F124/379"</f>
        <v>F124/379</v>
      </c>
    </row>
    <row r="369" customHeight="1" spans="1:6">
      <c r="A369" s="6">
        <v>368</v>
      </c>
      <c r="B369" s="7" t="str">
        <f t="shared" si="29"/>
        <v>978-7-5115-6903-5</v>
      </c>
      <c r="C369" s="7" t="str">
        <f t="shared" si="30"/>
        <v>读懂中国经济：加快构建新发展格局</v>
      </c>
      <c r="D369" s="7" t="str">
        <f t="shared" si="31"/>
        <v>张晓晶， 杨涛主编</v>
      </c>
      <c r="E369" s="7" t="str">
        <f t="shared" si="32"/>
        <v>人民日报出版社</v>
      </c>
      <c r="F369" s="7" t="str">
        <f t="shared" si="33"/>
        <v>F124/379</v>
      </c>
    </row>
    <row r="370" customHeight="1" spans="1:6">
      <c r="A370" s="6">
        <v>369</v>
      </c>
      <c r="B370" s="7" t="str">
        <f t="shared" si="29"/>
        <v>978-7-5115-6903-5</v>
      </c>
      <c r="C370" s="7" t="str">
        <f t="shared" si="30"/>
        <v>读懂中国经济：加快构建新发展格局</v>
      </c>
      <c r="D370" s="7" t="str">
        <f t="shared" si="31"/>
        <v>张晓晶， 杨涛主编</v>
      </c>
      <c r="E370" s="7" t="str">
        <f t="shared" si="32"/>
        <v>人民日报出版社</v>
      </c>
      <c r="F370" s="7" t="str">
        <f t="shared" si="33"/>
        <v>F124/379</v>
      </c>
    </row>
    <row r="371" customHeight="1" spans="1:6">
      <c r="A371" s="6">
        <v>370</v>
      </c>
      <c r="B371" s="7" t="str">
        <f t="shared" ref="B371:B373" si="34">"978-7-5115-6917-2"</f>
        <v>978-7-5115-6917-2</v>
      </c>
      <c r="C371" s="7" t="str">
        <f t="shared" ref="C371:C373" si="35">"双循环：中国经济新格局"</f>
        <v>双循环：中国经济新格局</v>
      </c>
      <c r="D371" s="7" t="str">
        <f t="shared" ref="D371:D373" si="36">"陈元， 黄益平主编"</f>
        <v>陈元， 黄益平主编</v>
      </c>
      <c r="E371" s="7" t="str">
        <f t="shared" si="32"/>
        <v>人民日报出版社</v>
      </c>
      <c r="F371" s="7" t="str">
        <f t="shared" ref="F371:F373" si="37">"F124/380"</f>
        <v>F124/380</v>
      </c>
    </row>
    <row r="372" customHeight="1" spans="1:6">
      <c r="A372" s="6">
        <v>371</v>
      </c>
      <c r="B372" s="7" t="str">
        <f t="shared" si="34"/>
        <v>978-7-5115-6917-2</v>
      </c>
      <c r="C372" s="7" t="str">
        <f t="shared" si="35"/>
        <v>双循环：中国经济新格局</v>
      </c>
      <c r="D372" s="7" t="str">
        <f t="shared" si="36"/>
        <v>陈元， 黄益平主编</v>
      </c>
      <c r="E372" s="7" t="str">
        <f t="shared" si="32"/>
        <v>人民日报出版社</v>
      </c>
      <c r="F372" s="7" t="str">
        <f t="shared" si="37"/>
        <v>F124/380</v>
      </c>
    </row>
    <row r="373" customHeight="1" spans="1:6">
      <c r="A373" s="6">
        <v>372</v>
      </c>
      <c r="B373" s="7" t="str">
        <f t="shared" si="34"/>
        <v>978-7-5115-6917-2</v>
      </c>
      <c r="C373" s="7" t="str">
        <f t="shared" si="35"/>
        <v>双循环：中国经济新格局</v>
      </c>
      <c r="D373" s="7" t="str">
        <f t="shared" si="36"/>
        <v>陈元， 黄益平主编</v>
      </c>
      <c r="E373" s="7" t="str">
        <f t="shared" si="32"/>
        <v>人民日报出版社</v>
      </c>
      <c r="F373" s="7" t="str">
        <f t="shared" si="37"/>
        <v>F124/380</v>
      </c>
    </row>
    <row r="374" customHeight="1" spans="1:6">
      <c r="A374" s="6">
        <v>373</v>
      </c>
      <c r="B374" s="7" t="str">
        <f>"978-7-5217-2352-6"</f>
        <v>978-7-5217-2352-6</v>
      </c>
      <c r="C374" s="7" t="str">
        <f>"未来的增长：中国经济的前景与挑战：the prospects and challenges of China's economy"</f>
        <v>未来的增长：中国经济的前景与挑战：the prospects and challenges of China's economy</v>
      </c>
      <c r="D374" s="7" t="str">
        <f>"卢锋著"</f>
        <v>卢锋著</v>
      </c>
      <c r="E374" s="7" t="str">
        <f>"中信出版集团股份有限公司"</f>
        <v>中信出版集团股份有限公司</v>
      </c>
      <c r="F374" s="7" t="str">
        <f>"F124/381"</f>
        <v>F124/381</v>
      </c>
    </row>
    <row r="375" customHeight="1" spans="1:6">
      <c r="A375" s="6">
        <v>374</v>
      </c>
      <c r="B375" s="7" t="str">
        <f>"978-7-5217-2352-6"</f>
        <v>978-7-5217-2352-6</v>
      </c>
      <c r="C375" s="7" t="str">
        <f>"未来的增长：中国经济的前景与挑战：the prospects and challenges of China's economy"</f>
        <v>未来的增长：中国经济的前景与挑战：the prospects and challenges of China's economy</v>
      </c>
      <c r="D375" s="7" t="str">
        <f>"卢锋著"</f>
        <v>卢锋著</v>
      </c>
      <c r="E375" s="7" t="str">
        <f>"中信出版集团股份有限公司"</f>
        <v>中信出版集团股份有限公司</v>
      </c>
      <c r="F375" s="7" t="str">
        <f>"F124/381"</f>
        <v>F124/381</v>
      </c>
    </row>
    <row r="376" customHeight="1" spans="1:6">
      <c r="A376" s="6">
        <v>375</v>
      </c>
      <c r="B376" s="7" t="str">
        <f>"978-7-5001-6620-7"</f>
        <v>978-7-5001-6620-7</v>
      </c>
      <c r="C376" s="7" t="str">
        <f>"疫情后中国经济新发展格局"</f>
        <v>疫情后中国经济新发展格局</v>
      </c>
      <c r="D376" s="7" t="str">
        <f>"白重恩 ... [等] 主编"</f>
        <v>白重恩 ... [等] 主编</v>
      </c>
      <c r="E376" s="7" t="str">
        <f>"中译出版社"</f>
        <v>中译出版社</v>
      </c>
      <c r="F376" s="7" t="str">
        <f>"F124/382"</f>
        <v>F124/382</v>
      </c>
    </row>
    <row r="377" customHeight="1" spans="1:6">
      <c r="A377" s="6">
        <v>376</v>
      </c>
      <c r="B377" s="7" t="str">
        <f>"978-7-5001-6620-7"</f>
        <v>978-7-5001-6620-7</v>
      </c>
      <c r="C377" s="7" t="str">
        <f>"疫情后中国经济新发展格局"</f>
        <v>疫情后中国经济新发展格局</v>
      </c>
      <c r="D377" s="7" t="str">
        <f>"白重恩 ... [等] 主编"</f>
        <v>白重恩 ... [等] 主编</v>
      </c>
      <c r="E377" s="7" t="str">
        <f>"中译出版社"</f>
        <v>中译出版社</v>
      </c>
      <c r="F377" s="7" t="str">
        <f>"F124/382"</f>
        <v>F124/382</v>
      </c>
    </row>
    <row r="378" customHeight="1" spans="1:6">
      <c r="A378" s="6">
        <v>377</v>
      </c>
      <c r="B378" s="8" t="s">
        <v>2679</v>
      </c>
      <c r="C378" s="8" t="s">
        <v>2680</v>
      </c>
      <c r="D378" s="8" t="s">
        <v>2681</v>
      </c>
      <c r="E378" s="8" t="s">
        <v>311</v>
      </c>
      <c r="F378" s="8" t="s">
        <v>2682</v>
      </c>
    </row>
    <row r="379" customHeight="1" spans="1:6">
      <c r="A379" s="6">
        <v>378</v>
      </c>
      <c r="B379" s="8" t="s">
        <v>2679</v>
      </c>
      <c r="C379" s="8" t="s">
        <v>2680</v>
      </c>
      <c r="D379" s="8" t="s">
        <v>2681</v>
      </c>
      <c r="E379" s="8" t="s">
        <v>311</v>
      </c>
      <c r="F379" s="8" t="s">
        <v>2682</v>
      </c>
    </row>
    <row r="380" customHeight="1" spans="1:6">
      <c r="A380" s="6">
        <v>379</v>
      </c>
      <c r="B380" s="8" t="s">
        <v>2683</v>
      </c>
      <c r="C380" s="8" t="s">
        <v>2684</v>
      </c>
      <c r="D380" s="8" t="s">
        <v>2685</v>
      </c>
      <c r="E380" s="8" t="s">
        <v>311</v>
      </c>
      <c r="F380" s="8" t="s">
        <v>2686</v>
      </c>
    </row>
    <row r="381" customHeight="1" spans="1:6">
      <c r="A381" s="6">
        <v>380</v>
      </c>
      <c r="B381" s="8" t="s">
        <v>2683</v>
      </c>
      <c r="C381" s="8" t="s">
        <v>2684</v>
      </c>
      <c r="D381" s="8" t="s">
        <v>2685</v>
      </c>
      <c r="E381" s="8" t="s">
        <v>311</v>
      </c>
      <c r="F381" s="8" t="s">
        <v>2686</v>
      </c>
    </row>
    <row r="382" customHeight="1" spans="1:6">
      <c r="A382" s="6">
        <v>381</v>
      </c>
      <c r="B382" s="8" t="s">
        <v>2687</v>
      </c>
      <c r="C382" s="8" t="s">
        <v>2688</v>
      </c>
      <c r="D382" s="8" t="s">
        <v>2689</v>
      </c>
      <c r="E382" s="8" t="s">
        <v>311</v>
      </c>
      <c r="F382" s="8" t="s">
        <v>2690</v>
      </c>
    </row>
    <row r="383" customHeight="1" spans="1:6">
      <c r="A383" s="6">
        <v>382</v>
      </c>
      <c r="B383" s="8" t="s">
        <v>2687</v>
      </c>
      <c r="C383" s="8" t="s">
        <v>2688</v>
      </c>
      <c r="D383" s="8" t="s">
        <v>2689</v>
      </c>
      <c r="E383" s="8" t="s">
        <v>311</v>
      </c>
      <c r="F383" s="8" t="s">
        <v>2690</v>
      </c>
    </row>
    <row r="384" customHeight="1" spans="1:6">
      <c r="A384" s="6">
        <v>383</v>
      </c>
      <c r="B384" s="8" t="s">
        <v>2691</v>
      </c>
      <c r="C384" s="8" t="s">
        <v>2692</v>
      </c>
      <c r="D384" s="8" t="s">
        <v>2693</v>
      </c>
      <c r="E384" s="8" t="s">
        <v>2566</v>
      </c>
      <c r="F384" s="8" t="s">
        <v>2694</v>
      </c>
    </row>
    <row r="385" customHeight="1" spans="1:6">
      <c r="A385" s="6">
        <v>384</v>
      </c>
      <c r="B385" s="8" t="s">
        <v>2691</v>
      </c>
      <c r="C385" s="8" t="s">
        <v>2692</v>
      </c>
      <c r="D385" s="8" t="s">
        <v>2693</v>
      </c>
      <c r="E385" s="8" t="s">
        <v>2566</v>
      </c>
      <c r="F385" s="8" t="s">
        <v>2694</v>
      </c>
    </row>
    <row r="386" customHeight="1" spans="1:6">
      <c r="A386" s="6">
        <v>385</v>
      </c>
      <c r="B386" s="8" t="s">
        <v>2691</v>
      </c>
      <c r="C386" s="8" t="s">
        <v>2692</v>
      </c>
      <c r="D386" s="8" t="s">
        <v>2693</v>
      </c>
      <c r="E386" s="8" t="s">
        <v>2566</v>
      </c>
      <c r="F386" s="8" t="s">
        <v>2694</v>
      </c>
    </row>
    <row r="387" customHeight="1" spans="1:6">
      <c r="A387" s="6">
        <v>386</v>
      </c>
      <c r="B387" s="8" t="s">
        <v>2695</v>
      </c>
      <c r="C387" s="8" t="s">
        <v>2696</v>
      </c>
      <c r="D387" s="13"/>
      <c r="E387" s="8" t="s">
        <v>311</v>
      </c>
      <c r="F387" s="8" t="s">
        <v>2697</v>
      </c>
    </row>
    <row r="388" customHeight="1" spans="1:6">
      <c r="A388" s="6">
        <v>387</v>
      </c>
      <c r="B388" s="8" t="s">
        <v>2695</v>
      </c>
      <c r="C388" s="8" t="s">
        <v>2696</v>
      </c>
      <c r="D388" s="13"/>
      <c r="E388" s="8" t="s">
        <v>311</v>
      </c>
      <c r="F388" s="8" t="s">
        <v>2697</v>
      </c>
    </row>
    <row r="389" customHeight="1" spans="1:6">
      <c r="A389" s="6">
        <v>388</v>
      </c>
      <c r="B389" s="8" t="s">
        <v>2698</v>
      </c>
      <c r="C389" s="8" t="s">
        <v>2699</v>
      </c>
      <c r="D389" s="8" t="s">
        <v>2700</v>
      </c>
      <c r="E389" s="8" t="s">
        <v>311</v>
      </c>
      <c r="F389" s="8" t="s">
        <v>2701</v>
      </c>
    </row>
    <row r="390" customHeight="1" spans="1:6">
      <c r="A390" s="6">
        <v>389</v>
      </c>
      <c r="B390" s="8" t="s">
        <v>2698</v>
      </c>
      <c r="C390" s="8" t="s">
        <v>2699</v>
      </c>
      <c r="D390" s="8" t="s">
        <v>2700</v>
      </c>
      <c r="E390" s="8" t="s">
        <v>311</v>
      </c>
      <c r="F390" s="8" t="s">
        <v>2701</v>
      </c>
    </row>
    <row r="391" customHeight="1" spans="1:6">
      <c r="A391" s="6">
        <v>390</v>
      </c>
      <c r="B391" s="8" t="s">
        <v>2702</v>
      </c>
      <c r="C391" s="8" t="s">
        <v>2703</v>
      </c>
      <c r="D391" s="8" t="s">
        <v>2704</v>
      </c>
      <c r="E391" s="8" t="s">
        <v>2566</v>
      </c>
      <c r="F391" s="8" t="s">
        <v>2705</v>
      </c>
    </row>
    <row r="392" customHeight="1" spans="1:6">
      <c r="A392" s="6">
        <v>391</v>
      </c>
      <c r="B392" s="8" t="s">
        <v>2702</v>
      </c>
      <c r="C392" s="8" t="s">
        <v>2703</v>
      </c>
      <c r="D392" s="8" t="s">
        <v>2704</v>
      </c>
      <c r="E392" s="8" t="s">
        <v>2566</v>
      </c>
      <c r="F392" s="8" t="s">
        <v>2705</v>
      </c>
    </row>
    <row r="393" customHeight="1" spans="1:6">
      <c r="A393" s="6">
        <v>392</v>
      </c>
      <c r="B393" s="8" t="s">
        <v>2702</v>
      </c>
      <c r="C393" s="8" t="s">
        <v>2703</v>
      </c>
      <c r="D393" s="8" t="s">
        <v>2704</v>
      </c>
      <c r="E393" s="8" t="s">
        <v>2566</v>
      </c>
      <c r="F393" s="8" t="s">
        <v>2705</v>
      </c>
    </row>
    <row r="394" customHeight="1" spans="1:6">
      <c r="A394" s="6">
        <v>393</v>
      </c>
      <c r="B394" s="8" t="s">
        <v>2706</v>
      </c>
      <c r="C394" s="8" t="s">
        <v>2707</v>
      </c>
      <c r="D394" s="8" t="s">
        <v>2708</v>
      </c>
      <c r="E394" s="8" t="s">
        <v>810</v>
      </c>
      <c r="F394" s="8" t="s">
        <v>2709</v>
      </c>
    </row>
    <row r="395" customHeight="1" spans="1:6">
      <c r="A395" s="6">
        <v>394</v>
      </c>
      <c r="B395" s="8" t="s">
        <v>2706</v>
      </c>
      <c r="C395" s="8" t="s">
        <v>2707</v>
      </c>
      <c r="D395" s="8" t="s">
        <v>2708</v>
      </c>
      <c r="E395" s="8" t="s">
        <v>810</v>
      </c>
      <c r="F395" s="8" t="s">
        <v>2709</v>
      </c>
    </row>
    <row r="396" customHeight="1" spans="1:6">
      <c r="A396" s="6">
        <v>395</v>
      </c>
      <c r="B396" s="8" t="s">
        <v>2706</v>
      </c>
      <c r="C396" s="8" t="s">
        <v>2707</v>
      </c>
      <c r="D396" s="8" t="s">
        <v>2708</v>
      </c>
      <c r="E396" s="8" t="s">
        <v>810</v>
      </c>
      <c r="F396" s="8" t="s">
        <v>2709</v>
      </c>
    </row>
    <row r="397" customHeight="1" spans="1:6">
      <c r="A397" s="6">
        <v>396</v>
      </c>
      <c r="B397" s="8" t="s">
        <v>2710</v>
      </c>
      <c r="C397" s="8" t="s">
        <v>2711</v>
      </c>
      <c r="D397" s="8" t="s">
        <v>2639</v>
      </c>
      <c r="E397" s="8" t="s">
        <v>2284</v>
      </c>
      <c r="F397" s="8" t="s">
        <v>2712</v>
      </c>
    </row>
    <row r="398" customHeight="1" spans="1:6">
      <c r="A398" s="6">
        <v>397</v>
      </c>
      <c r="B398" s="8" t="s">
        <v>2710</v>
      </c>
      <c r="C398" s="8" t="s">
        <v>2711</v>
      </c>
      <c r="D398" s="8" t="s">
        <v>2639</v>
      </c>
      <c r="E398" s="8" t="s">
        <v>2284</v>
      </c>
      <c r="F398" s="8" t="s">
        <v>2712</v>
      </c>
    </row>
    <row r="399" customHeight="1" spans="1:6">
      <c r="A399" s="6">
        <v>398</v>
      </c>
      <c r="B399" s="8" t="s">
        <v>2713</v>
      </c>
      <c r="C399" s="8" t="s">
        <v>2714</v>
      </c>
      <c r="D399" s="8" t="s">
        <v>2715</v>
      </c>
      <c r="E399" s="8" t="s">
        <v>38</v>
      </c>
      <c r="F399" s="8" t="s">
        <v>2716</v>
      </c>
    </row>
    <row r="400" customHeight="1" spans="1:6">
      <c r="A400" s="6">
        <v>399</v>
      </c>
      <c r="B400" s="8" t="s">
        <v>2713</v>
      </c>
      <c r="C400" s="8" t="s">
        <v>2714</v>
      </c>
      <c r="D400" s="8" t="s">
        <v>2715</v>
      </c>
      <c r="E400" s="8" t="s">
        <v>38</v>
      </c>
      <c r="F400" s="8" t="s">
        <v>2716</v>
      </c>
    </row>
    <row r="401" customHeight="1" spans="1:6">
      <c r="A401" s="6">
        <v>400</v>
      </c>
      <c r="B401" s="7" t="str">
        <f>"978-7-5203-8470-4"</f>
        <v>978-7-5203-8470-4</v>
      </c>
      <c r="C401" s="7" t="str">
        <f>"“一带一路”视角下的中国与俄罗斯经贸合作研究"</f>
        <v>“一带一路”视角下的中国与俄罗斯经贸合作研究</v>
      </c>
      <c r="D401" s="7" t="str">
        <f>"翟立强， 王智博， 徐海著"</f>
        <v>翟立强， 王智博， 徐海著</v>
      </c>
      <c r="E401" s="7" t="str">
        <f>"中国社会科学出版社"</f>
        <v>中国社会科学出版社</v>
      </c>
      <c r="F401" s="7" t="str">
        <f>"F125.551.2/2"</f>
        <v>F125.551.2/2</v>
      </c>
    </row>
    <row r="402" customHeight="1" spans="1:6">
      <c r="A402" s="6">
        <v>401</v>
      </c>
      <c r="B402" s="7" t="str">
        <f>"978-7-5203-8470-4"</f>
        <v>978-7-5203-8470-4</v>
      </c>
      <c r="C402" s="7" t="str">
        <f>"“一带一路”视角下的中国与俄罗斯经贸合作研究"</f>
        <v>“一带一路”视角下的中国与俄罗斯经贸合作研究</v>
      </c>
      <c r="D402" s="7" t="str">
        <f>"翟立强， 王智博， 徐海著"</f>
        <v>翟立强， 王智博， 徐海著</v>
      </c>
      <c r="E402" s="7" t="str">
        <f>"中国社会科学出版社"</f>
        <v>中国社会科学出版社</v>
      </c>
      <c r="F402" s="7" t="str">
        <f>"F125.551.2/2"</f>
        <v>F125.551.2/2</v>
      </c>
    </row>
    <row r="403" customHeight="1" spans="1:6">
      <c r="A403" s="6">
        <v>402</v>
      </c>
      <c r="B403" s="7" t="str">
        <f>"978-7-5008-7694-6"</f>
        <v>978-7-5008-7694-6</v>
      </c>
      <c r="C403" s="7" t="str">
        <f>"高水平开放的中国与世界"</f>
        <v>高水平开放的中国与世界</v>
      </c>
      <c r="D403" s="7" t="str">
        <f>"迟福林主编"</f>
        <v>迟福林主编</v>
      </c>
      <c r="E403" s="7" t="str">
        <f>"中国工人出版社"</f>
        <v>中国工人出版社</v>
      </c>
      <c r="F403" s="7" t="str">
        <f>"F125/110"</f>
        <v>F125/110</v>
      </c>
    </row>
    <row r="404" customHeight="1" spans="1:6">
      <c r="A404" s="6">
        <v>403</v>
      </c>
      <c r="B404" s="7" t="str">
        <f>"978-7-5008-7694-6"</f>
        <v>978-7-5008-7694-6</v>
      </c>
      <c r="C404" s="7" t="str">
        <f>"高水平开放的中国与世界"</f>
        <v>高水平开放的中国与世界</v>
      </c>
      <c r="D404" s="7" t="str">
        <f>"迟福林主编"</f>
        <v>迟福林主编</v>
      </c>
      <c r="E404" s="7" t="str">
        <f>"中国工人出版社"</f>
        <v>中国工人出版社</v>
      </c>
      <c r="F404" s="7" t="str">
        <f>"F125/110"</f>
        <v>F125/110</v>
      </c>
    </row>
    <row r="405" customHeight="1" spans="1:6">
      <c r="A405" s="6">
        <v>404</v>
      </c>
      <c r="B405" s="8" t="s">
        <v>2717</v>
      </c>
      <c r="C405" s="8" t="s">
        <v>2718</v>
      </c>
      <c r="D405" s="8" t="s">
        <v>2719</v>
      </c>
      <c r="E405" s="8" t="s">
        <v>1436</v>
      </c>
      <c r="F405" s="8" t="s">
        <v>2720</v>
      </c>
    </row>
    <row r="406" customHeight="1" spans="1:6">
      <c r="A406" s="6">
        <v>405</v>
      </c>
      <c r="B406" s="8" t="s">
        <v>2717</v>
      </c>
      <c r="C406" s="8" t="s">
        <v>2718</v>
      </c>
      <c r="D406" s="8" t="s">
        <v>2719</v>
      </c>
      <c r="E406" s="8" t="s">
        <v>1436</v>
      </c>
      <c r="F406" s="8" t="s">
        <v>2720</v>
      </c>
    </row>
    <row r="407" customHeight="1" spans="1:6">
      <c r="A407" s="6">
        <v>406</v>
      </c>
      <c r="B407" s="8" t="s">
        <v>2717</v>
      </c>
      <c r="C407" s="8" t="s">
        <v>2718</v>
      </c>
      <c r="D407" s="8" t="s">
        <v>2719</v>
      </c>
      <c r="E407" s="8" t="s">
        <v>1436</v>
      </c>
      <c r="F407" s="8" t="s">
        <v>2720</v>
      </c>
    </row>
    <row r="408" customHeight="1" spans="1:6">
      <c r="A408" s="6">
        <v>407</v>
      </c>
      <c r="B408" s="8" t="s">
        <v>2721</v>
      </c>
      <c r="C408" s="8" t="s">
        <v>2722</v>
      </c>
      <c r="D408" s="8" t="s">
        <v>2723</v>
      </c>
      <c r="E408" s="8" t="s">
        <v>38</v>
      </c>
      <c r="F408" s="8" t="s">
        <v>2724</v>
      </c>
    </row>
    <row r="409" customHeight="1" spans="1:6">
      <c r="A409" s="6">
        <v>408</v>
      </c>
      <c r="B409" s="8" t="s">
        <v>2721</v>
      </c>
      <c r="C409" s="8" t="s">
        <v>2722</v>
      </c>
      <c r="D409" s="8" t="s">
        <v>2723</v>
      </c>
      <c r="E409" s="8" t="s">
        <v>38</v>
      </c>
      <c r="F409" s="8" t="s">
        <v>2724</v>
      </c>
    </row>
    <row r="410" customHeight="1" spans="1:6">
      <c r="A410" s="6">
        <v>409</v>
      </c>
      <c r="B410" s="8" t="s">
        <v>2725</v>
      </c>
      <c r="C410" s="8" t="s">
        <v>2726</v>
      </c>
      <c r="D410" s="8" t="s">
        <v>2727</v>
      </c>
      <c r="E410" s="8" t="s">
        <v>311</v>
      </c>
      <c r="F410" s="8" t="s">
        <v>2728</v>
      </c>
    </row>
    <row r="411" customHeight="1" spans="1:6">
      <c r="A411" s="6">
        <v>410</v>
      </c>
      <c r="B411" s="8" t="s">
        <v>2725</v>
      </c>
      <c r="C411" s="8" t="s">
        <v>2726</v>
      </c>
      <c r="D411" s="8" t="s">
        <v>2727</v>
      </c>
      <c r="E411" s="8" t="s">
        <v>311</v>
      </c>
      <c r="F411" s="8" t="s">
        <v>2728</v>
      </c>
    </row>
    <row r="412" customHeight="1" spans="1:6">
      <c r="A412" s="6">
        <v>411</v>
      </c>
      <c r="B412" s="8" t="s">
        <v>2729</v>
      </c>
      <c r="C412" s="8" t="s">
        <v>2730</v>
      </c>
      <c r="D412" s="8" t="s">
        <v>2731</v>
      </c>
      <c r="E412" s="8" t="s">
        <v>38</v>
      </c>
      <c r="F412" s="8" t="s">
        <v>2732</v>
      </c>
    </row>
    <row r="413" customHeight="1" spans="1:6">
      <c r="A413" s="6">
        <v>412</v>
      </c>
      <c r="B413" s="8" t="s">
        <v>2729</v>
      </c>
      <c r="C413" s="8" t="s">
        <v>2730</v>
      </c>
      <c r="D413" s="8" t="s">
        <v>2731</v>
      </c>
      <c r="E413" s="8" t="s">
        <v>38</v>
      </c>
      <c r="F413" s="8" t="s">
        <v>2732</v>
      </c>
    </row>
    <row r="414" customHeight="1" spans="1:6">
      <c r="A414" s="6">
        <v>413</v>
      </c>
      <c r="B414" s="8" t="s">
        <v>2733</v>
      </c>
      <c r="C414" s="8" t="s">
        <v>2734</v>
      </c>
      <c r="D414" s="8" t="s">
        <v>2735</v>
      </c>
      <c r="E414" s="8" t="s">
        <v>1189</v>
      </c>
      <c r="F414" s="8" t="s">
        <v>2736</v>
      </c>
    </row>
    <row r="415" customHeight="1" spans="1:6">
      <c r="A415" s="6">
        <v>414</v>
      </c>
      <c r="B415" s="8" t="s">
        <v>2733</v>
      </c>
      <c r="C415" s="8" t="s">
        <v>2734</v>
      </c>
      <c r="D415" s="8" t="s">
        <v>2735</v>
      </c>
      <c r="E415" s="8" t="s">
        <v>1189</v>
      </c>
      <c r="F415" s="8" t="s">
        <v>2736</v>
      </c>
    </row>
    <row r="416" customHeight="1" spans="1:6">
      <c r="A416" s="6">
        <v>415</v>
      </c>
      <c r="B416" s="8" t="s">
        <v>2733</v>
      </c>
      <c r="C416" s="8" t="s">
        <v>2734</v>
      </c>
      <c r="D416" s="8" t="s">
        <v>2735</v>
      </c>
      <c r="E416" s="8" t="s">
        <v>1189</v>
      </c>
      <c r="F416" s="8" t="s">
        <v>2736</v>
      </c>
    </row>
    <row r="417" customHeight="1" spans="1:6">
      <c r="A417" s="6">
        <v>416</v>
      </c>
      <c r="B417" s="8" t="s">
        <v>2737</v>
      </c>
      <c r="C417" s="8" t="s">
        <v>2738</v>
      </c>
      <c r="D417" s="8" t="s">
        <v>2739</v>
      </c>
      <c r="E417" s="8" t="s">
        <v>2284</v>
      </c>
      <c r="F417" s="8" t="s">
        <v>2740</v>
      </c>
    </row>
    <row r="418" customHeight="1" spans="1:6">
      <c r="A418" s="6">
        <v>417</v>
      </c>
      <c r="B418" s="8" t="s">
        <v>2737</v>
      </c>
      <c r="C418" s="8" t="s">
        <v>2738</v>
      </c>
      <c r="D418" s="8" t="s">
        <v>2739</v>
      </c>
      <c r="E418" s="8" t="s">
        <v>2284</v>
      </c>
      <c r="F418" s="8" t="s">
        <v>2740</v>
      </c>
    </row>
    <row r="419" customHeight="1" spans="1:6">
      <c r="A419" s="6">
        <v>418</v>
      </c>
      <c r="B419" s="8" t="s">
        <v>2741</v>
      </c>
      <c r="C419" s="8" t="s">
        <v>2742</v>
      </c>
      <c r="D419" s="8" t="s">
        <v>2743</v>
      </c>
      <c r="E419" s="8" t="s">
        <v>2207</v>
      </c>
      <c r="F419" s="8" t="s">
        <v>2744</v>
      </c>
    </row>
    <row r="420" customHeight="1" spans="1:6">
      <c r="A420" s="6">
        <v>419</v>
      </c>
      <c r="B420" s="8" t="s">
        <v>2745</v>
      </c>
      <c r="C420" s="8" t="s">
        <v>2746</v>
      </c>
      <c r="D420" s="8" t="s">
        <v>2747</v>
      </c>
      <c r="E420" s="8" t="s">
        <v>749</v>
      </c>
      <c r="F420" s="8" t="s">
        <v>2748</v>
      </c>
    </row>
    <row r="421" customHeight="1" spans="1:6">
      <c r="A421" s="6">
        <v>420</v>
      </c>
      <c r="B421" s="8" t="s">
        <v>2745</v>
      </c>
      <c r="C421" s="8" t="s">
        <v>2746</v>
      </c>
      <c r="D421" s="8" t="s">
        <v>2747</v>
      </c>
      <c r="E421" s="8" t="s">
        <v>749</v>
      </c>
      <c r="F421" s="8" t="s">
        <v>2748</v>
      </c>
    </row>
    <row r="422" customHeight="1" spans="1:6">
      <c r="A422" s="6">
        <v>421</v>
      </c>
      <c r="B422" s="8" t="s">
        <v>2749</v>
      </c>
      <c r="C422" s="8" t="s">
        <v>2750</v>
      </c>
      <c r="D422" s="8" t="s">
        <v>2751</v>
      </c>
      <c r="E422" s="8" t="s">
        <v>749</v>
      </c>
      <c r="F422" s="8" t="s">
        <v>2752</v>
      </c>
    </row>
    <row r="423" customHeight="1" spans="1:6">
      <c r="A423" s="6">
        <v>422</v>
      </c>
      <c r="B423" s="8" t="s">
        <v>2749</v>
      </c>
      <c r="C423" s="8" t="s">
        <v>2750</v>
      </c>
      <c r="D423" s="8" t="s">
        <v>2751</v>
      </c>
      <c r="E423" s="8" t="s">
        <v>749</v>
      </c>
      <c r="F423" s="8" t="s">
        <v>2752</v>
      </c>
    </row>
    <row r="424" customHeight="1" spans="1:6">
      <c r="A424" s="6">
        <v>423</v>
      </c>
      <c r="B424" s="8" t="s">
        <v>2753</v>
      </c>
      <c r="C424" s="8" t="s">
        <v>2754</v>
      </c>
      <c r="D424" s="13"/>
      <c r="E424" s="8" t="s">
        <v>749</v>
      </c>
      <c r="F424" s="8" t="s">
        <v>2755</v>
      </c>
    </row>
    <row r="425" customHeight="1" spans="1:6">
      <c r="A425" s="6">
        <v>424</v>
      </c>
      <c r="B425" s="8" t="s">
        <v>2753</v>
      </c>
      <c r="C425" s="8" t="s">
        <v>2754</v>
      </c>
      <c r="D425" s="13"/>
      <c r="E425" s="8" t="s">
        <v>749</v>
      </c>
      <c r="F425" s="8" t="s">
        <v>2755</v>
      </c>
    </row>
    <row r="426" customHeight="1" spans="1:6">
      <c r="A426" s="6">
        <v>425</v>
      </c>
      <c r="B426" s="8" t="s">
        <v>2756</v>
      </c>
      <c r="C426" s="8" t="s">
        <v>2757</v>
      </c>
      <c r="D426" s="8" t="s">
        <v>2758</v>
      </c>
      <c r="E426" s="8" t="s">
        <v>239</v>
      </c>
      <c r="F426" s="8" t="s">
        <v>2759</v>
      </c>
    </row>
    <row r="427" customHeight="1" spans="1:6">
      <c r="A427" s="6">
        <v>426</v>
      </c>
      <c r="B427" s="8" t="s">
        <v>2756</v>
      </c>
      <c r="C427" s="8" t="s">
        <v>2757</v>
      </c>
      <c r="D427" s="8" t="s">
        <v>2758</v>
      </c>
      <c r="E427" s="8" t="s">
        <v>239</v>
      </c>
      <c r="F427" s="8" t="s">
        <v>2759</v>
      </c>
    </row>
    <row r="428" customHeight="1" spans="1:6">
      <c r="A428" s="6">
        <v>427</v>
      </c>
      <c r="B428" s="8" t="s">
        <v>2756</v>
      </c>
      <c r="C428" s="8" t="s">
        <v>2757</v>
      </c>
      <c r="D428" s="8" t="s">
        <v>2758</v>
      </c>
      <c r="E428" s="8" t="s">
        <v>239</v>
      </c>
      <c r="F428" s="8" t="s">
        <v>2759</v>
      </c>
    </row>
    <row r="429" customHeight="1" spans="1:6">
      <c r="A429" s="6">
        <v>428</v>
      </c>
      <c r="B429" s="8" t="s">
        <v>2760</v>
      </c>
      <c r="C429" s="8" t="s">
        <v>2761</v>
      </c>
      <c r="D429" s="8" t="s">
        <v>2762</v>
      </c>
      <c r="E429" s="8" t="s">
        <v>311</v>
      </c>
      <c r="F429" s="8" t="s">
        <v>2763</v>
      </c>
    </row>
    <row r="430" customHeight="1" spans="1:6">
      <c r="A430" s="6">
        <v>429</v>
      </c>
      <c r="B430" s="8" t="s">
        <v>2760</v>
      </c>
      <c r="C430" s="8" t="s">
        <v>2761</v>
      </c>
      <c r="D430" s="8" t="s">
        <v>2762</v>
      </c>
      <c r="E430" s="8" t="s">
        <v>311</v>
      </c>
      <c r="F430" s="8" t="s">
        <v>2763</v>
      </c>
    </row>
    <row r="431" customHeight="1" spans="1:6">
      <c r="A431" s="6">
        <v>430</v>
      </c>
      <c r="B431" s="8" t="s">
        <v>2764</v>
      </c>
      <c r="C431" s="8" t="s">
        <v>2765</v>
      </c>
      <c r="D431" s="8" t="s">
        <v>2766</v>
      </c>
      <c r="E431" s="8" t="s">
        <v>415</v>
      </c>
      <c r="F431" s="8" t="s">
        <v>2767</v>
      </c>
    </row>
    <row r="432" customHeight="1" spans="1:6">
      <c r="A432" s="6">
        <v>431</v>
      </c>
      <c r="B432" s="8" t="s">
        <v>2764</v>
      </c>
      <c r="C432" s="8" t="s">
        <v>2765</v>
      </c>
      <c r="D432" s="8" t="s">
        <v>2766</v>
      </c>
      <c r="E432" s="8" t="s">
        <v>415</v>
      </c>
      <c r="F432" s="8" t="s">
        <v>2767</v>
      </c>
    </row>
    <row r="433" customHeight="1" spans="1:6">
      <c r="A433" s="6">
        <v>432</v>
      </c>
      <c r="B433" s="8" t="s">
        <v>2764</v>
      </c>
      <c r="C433" s="8" t="s">
        <v>2765</v>
      </c>
      <c r="D433" s="8" t="s">
        <v>2766</v>
      </c>
      <c r="E433" s="8" t="s">
        <v>415</v>
      </c>
      <c r="F433" s="8" t="s">
        <v>2767</v>
      </c>
    </row>
    <row r="434" customHeight="1" spans="1:6">
      <c r="A434" s="6">
        <v>433</v>
      </c>
      <c r="B434" s="8" t="s">
        <v>2768</v>
      </c>
      <c r="C434" s="8" t="s">
        <v>2769</v>
      </c>
      <c r="D434" s="8" t="s">
        <v>2770</v>
      </c>
      <c r="E434" s="8" t="s">
        <v>311</v>
      </c>
      <c r="F434" s="8" t="s">
        <v>2771</v>
      </c>
    </row>
    <row r="435" customHeight="1" spans="1:6">
      <c r="A435" s="6">
        <v>434</v>
      </c>
      <c r="B435" s="8" t="s">
        <v>2768</v>
      </c>
      <c r="C435" s="8" t="s">
        <v>2769</v>
      </c>
      <c r="D435" s="8" t="s">
        <v>2770</v>
      </c>
      <c r="E435" s="8" t="s">
        <v>311</v>
      </c>
      <c r="F435" s="8" t="s">
        <v>2771</v>
      </c>
    </row>
    <row r="436" customHeight="1" spans="1:6">
      <c r="A436" s="6">
        <v>435</v>
      </c>
      <c r="B436" s="7" t="str">
        <f>"978-7-119-11566-5"</f>
        <v>978-7-119-11566-5</v>
      </c>
      <c r="C436" s="7" t="str">
        <f>"读懂中国脱贫攻坚"</f>
        <v>读懂中国脱贫攻坚</v>
      </c>
      <c r="D436" s="7" t="str">
        <f>"胡富国主编"</f>
        <v>胡富国主编</v>
      </c>
      <c r="E436" s="7" t="str">
        <f t="shared" ref="E436:E440" si="38">"外文出版社"</f>
        <v>外文出版社</v>
      </c>
      <c r="F436" s="7" t="str">
        <f>"F126/17-2"</f>
        <v>F126/17-2</v>
      </c>
    </row>
    <row r="437" customHeight="1" spans="1:6">
      <c r="A437" s="6">
        <v>436</v>
      </c>
      <c r="B437" s="7" t="str">
        <f>"978-7-119-11566-5"</f>
        <v>978-7-119-11566-5</v>
      </c>
      <c r="C437" s="7" t="str">
        <f>"读懂中国脱贫攻坚"</f>
        <v>读懂中国脱贫攻坚</v>
      </c>
      <c r="D437" s="7" t="str">
        <f>"胡富国主编"</f>
        <v>胡富国主编</v>
      </c>
      <c r="E437" s="7" t="str">
        <f t="shared" si="38"/>
        <v>外文出版社</v>
      </c>
      <c r="F437" s="7" t="str">
        <f>"F126/17-2"</f>
        <v>F126/17-2</v>
      </c>
    </row>
    <row r="438" customHeight="1" spans="1:6">
      <c r="A438" s="6">
        <v>437</v>
      </c>
      <c r="B438" s="7" t="str">
        <f t="shared" ref="B438:B440" si="39">"978-7-119-12542-8"</f>
        <v>978-7-119-12542-8</v>
      </c>
      <c r="C438" s="7" t="str">
        <f t="shared" ref="C438:C440" si="40">"一诺千金：中国精准扶贫路径与实践"</f>
        <v>一诺千金：中国精准扶贫路径与实践</v>
      </c>
      <c r="D438" s="7" t="str">
        <f t="shared" ref="D438:D440" si="41">"黄承伟著"</f>
        <v>黄承伟著</v>
      </c>
      <c r="E438" s="7" t="str">
        <f t="shared" si="38"/>
        <v>外文出版社</v>
      </c>
      <c r="F438" s="7" t="str">
        <f t="shared" ref="F438:F440" si="42">"F126/59"</f>
        <v>F126/59</v>
      </c>
    </row>
    <row r="439" customHeight="1" spans="1:6">
      <c r="A439" s="6">
        <v>438</v>
      </c>
      <c r="B439" s="7" t="str">
        <f t="shared" si="39"/>
        <v>978-7-119-12542-8</v>
      </c>
      <c r="C439" s="7" t="str">
        <f t="shared" si="40"/>
        <v>一诺千金：中国精准扶贫路径与实践</v>
      </c>
      <c r="D439" s="7" t="str">
        <f t="shared" si="41"/>
        <v>黄承伟著</v>
      </c>
      <c r="E439" s="7" t="str">
        <f t="shared" si="38"/>
        <v>外文出版社</v>
      </c>
      <c r="F439" s="7" t="str">
        <f t="shared" si="42"/>
        <v>F126/59</v>
      </c>
    </row>
    <row r="440" customHeight="1" spans="1:6">
      <c r="A440" s="6">
        <v>439</v>
      </c>
      <c r="B440" s="7" t="str">
        <f t="shared" si="39"/>
        <v>978-7-119-12542-8</v>
      </c>
      <c r="C440" s="7" t="str">
        <f t="shared" si="40"/>
        <v>一诺千金：中国精准扶贫路径与实践</v>
      </c>
      <c r="D440" s="7" t="str">
        <f t="shared" si="41"/>
        <v>黄承伟著</v>
      </c>
      <c r="E440" s="7" t="str">
        <f t="shared" si="38"/>
        <v>外文出版社</v>
      </c>
      <c r="F440" s="7" t="str">
        <f t="shared" si="42"/>
        <v>F126/59</v>
      </c>
    </row>
    <row r="441" customHeight="1" spans="1:6">
      <c r="A441" s="6">
        <v>440</v>
      </c>
      <c r="B441" s="7" t="str">
        <f>"978-7-5217-2946-7"</f>
        <v>978-7-5217-2946-7</v>
      </c>
      <c r="C441" s="7" t="str">
        <f>"贫困的终结"</f>
        <v>贫困的终结</v>
      </c>
      <c r="D441" s="7" t="str">
        <f>"李小云著"</f>
        <v>李小云著</v>
      </c>
      <c r="E441" s="7" t="str">
        <f>"中信出版集团股份有限公司"</f>
        <v>中信出版集团股份有限公司</v>
      </c>
      <c r="F441" s="7" t="str">
        <f>"F126/60"</f>
        <v>F126/60</v>
      </c>
    </row>
    <row r="442" customHeight="1" spans="1:6">
      <c r="A442" s="6">
        <v>441</v>
      </c>
      <c r="B442" s="7" t="str">
        <f>"978-7-5217-2946-7"</f>
        <v>978-7-5217-2946-7</v>
      </c>
      <c r="C442" s="7" t="str">
        <f>"贫困的终结"</f>
        <v>贫困的终结</v>
      </c>
      <c r="D442" s="7" t="str">
        <f>"李小云著"</f>
        <v>李小云著</v>
      </c>
      <c r="E442" s="7" t="str">
        <f>"中信出版集团股份有限公司"</f>
        <v>中信出版集团股份有限公司</v>
      </c>
      <c r="F442" s="7" t="str">
        <f>"F126/60"</f>
        <v>F126/60</v>
      </c>
    </row>
    <row r="443" customHeight="1" spans="1:6">
      <c r="A443" s="6">
        <v>442</v>
      </c>
      <c r="B443" s="7" t="str">
        <f t="shared" ref="B443:B445" si="43">"978-7-5199-0877-5"</f>
        <v>978-7-5199-0877-5</v>
      </c>
      <c r="C443" s="7" t="str">
        <f t="shared" ref="C443:C445" si="44">"定边：脱贫攻坚引领发展"</f>
        <v>定边：脱贫攻坚引领发展</v>
      </c>
      <c r="D443" s="7" t="str">
        <f t="shared" ref="D443:D445" si="45">"燕继荣， 王禹澔等著"</f>
        <v>燕继荣， 王禹澔等著</v>
      </c>
      <c r="E443" s="7" t="str">
        <f t="shared" ref="E443:E447" si="46">"研究出版社"</f>
        <v>研究出版社</v>
      </c>
      <c r="F443" s="7" t="str">
        <f t="shared" ref="F443:F445" si="47">"F126/61"</f>
        <v>F126/61</v>
      </c>
    </row>
    <row r="444" customHeight="1" spans="1:6">
      <c r="A444" s="6">
        <v>443</v>
      </c>
      <c r="B444" s="7" t="str">
        <f t="shared" si="43"/>
        <v>978-7-5199-0877-5</v>
      </c>
      <c r="C444" s="7" t="str">
        <f t="shared" si="44"/>
        <v>定边：脱贫攻坚引领发展</v>
      </c>
      <c r="D444" s="7" t="str">
        <f t="shared" si="45"/>
        <v>燕继荣， 王禹澔等著</v>
      </c>
      <c r="E444" s="7" t="str">
        <f t="shared" si="46"/>
        <v>研究出版社</v>
      </c>
      <c r="F444" s="7" t="str">
        <f t="shared" si="47"/>
        <v>F126/61</v>
      </c>
    </row>
    <row r="445" customHeight="1" spans="1:6">
      <c r="A445" s="6">
        <v>444</v>
      </c>
      <c r="B445" s="7" t="str">
        <f t="shared" si="43"/>
        <v>978-7-5199-0877-5</v>
      </c>
      <c r="C445" s="7" t="str">
        <f t="shared" si="44"/>
        <v>定边：脱贫攻坚引领发展</v>
      </c>
      <c r="D445" s="7" t="str">
        <f t="shared" si="45"/>
        <v>燕继荣， 王禹澔等著</v>
      </c>
      <c r="E445" s="7" t="str">
        <f t="shared" si="46"/>
        <v>研究出版社</v>
      </c>
      <c r="F445" s="7" t="str">
        <f t="shared" si="47"/>
        <v>F126/61</v>
      </c>
    </row>
    <row r="446" customHeight="1" spans="1:6">
      <c r="A446" s="6">
        <v>445</v>
      </c>
      <c r="B446" s="7" t="str">
        <f>"978-7-5199-0764-8"</f>
        <v>978-7-5199-0764-8</v>
      </c>
      <c r="C446" s="7" t="str">
        <f>"富裕：综合减贫发展实践"</f>
        <v>富裕：综合减贫发展实践</v>
      </c>
      <c r="D446" s="7" t="str">
        <f>"侯崇智等著"</f>
        <v>侯崇智等著</v>
      </c>
      <c r="E446" s="7" t="str">
        <f t="shared" si="46"/>
        <v>研究出版社</v>
      </c>
      <c r="F446" s="7" t="str">
        <f>"F126/62"</f>
        <v>F126/62</v>
      </c>
    </row>
    <row r="447" customHeight="1" spans="1:6">
      <c r="A447" s="6">
        <v>446</v>
      </c>
      <c r="B447" s="7" t="str">
        <f>"978-7-5199-0764-8"</f>
        <v>978-7-5199-0764-8</v>
      </c>
      <c r="C447" s="7" t="str">
        <f>"富裕：综合减贫发展实践"</f>
        <v>富裕：综合减贫发展实践</v>
      </c>
      <c r="D447" s="7" t="str">
        <f>"侯崇智等著"</f>
        <v>侯崇智等著</v>
      </c>
      <c r="E447" s="7" t="str">
        <f t="shared" si="46"/>
        <v>研究出版社</v>
      </c>
      <c r="F447" s="7" t="str">
        <f>"F126/62"</f>
        <v>F126/62</v>
      </c>
    </row>
    <row r="448" customHeight="1" spans="1:6">
      <c r="A448" s="6">
        <v>447</v>
      </c>
      <c r="B448" s="8" t="s">
        <v>2772</v>
      </c>
      <c r="C448" s="8" t="s">
        <v>2773</v>
      </c>
      <c r="D448" s="8" t="s">
        <v>2774</v>
      </c>
      <c r="E448" s="8" t="s">
        <v>145</v>
      </c>
      <c r="F448" s="8" t="s">
        <v>2775</v>
      </c>
    </row>
    <row r="449" customHeight="1" spans="1:6">
      <c r="A449" s="6">
        <v>448</v>
      </c>
      <c r="B449" s="8" t="s">
        <v>2772</v>
      </c>
      <c r="C449" s="8" t="s">
        <v>2773</v>
      </c>
      <c r="D449" s="8" t="s">
        <v>2774</v>
      </c>
      <c r="E449" s="8" t="s">
        <v>145</v>
      </c>
      <c r="F449" s="8" t="s">
        <v>2775</v>
      </c>
    </row>
    <row r="450" customHeight="1" spans="1:6">
      <c r="A450" s="6">
        <v>449</v>
      </c>
      <c r="B450" s="8" t="s">
        <v>2772</v>
      </c>
      <c r="C450" s="8" t="s">
        <v>2773</v>
      </c>
      <c r="D450" s="8" t="s">
        <v>2774</v>
      </c>
      <c r="E450" s="8" t="s">
        <v>145</v>
      </c>
      <c r="F450" s="8" t="s">
        <v>2775</v>
      </c>
    </row>
    <row r="451" customHeight="1" spans="1:6">
      <c r="A451" s="6">
        <v>450</v>
      </c>
      <c r="B451" s="8" t="s">
        <v>2776</v>
      </c>
      <c r="C451" s="8" t="s">
        <v>2777</v>
      </c>
      <c r="D451" s="8" t="s">
        <v>2778</v>
      </c>
      <c r="E451" s="8" t="s">
        <v>43</v>
      </c>
      <c r="F451" s="8" t="s">
        <v>2779</v>
      </c>
    </row>
    <row r="452" customHeight="1" spans="1:6">
      <c r="A452" s="6">
        <v>451</v>
      </c>
      <c r="B452" s="8" t="s">
        <v>2776</v>
      </c>
      <c r="C452" s="8" t="s">
        <v>2777</v>
      </c>
      <c r="D452" s="8" t="s">
        <v>2778</v>
      </c>
      <c r="E452" s="8" t="s">
        <v>43</v>
      </c>
      <c r="F452" s="8" t="s">
        <v>2779</v>
      </c>
    </row>
    <row r="453" customHeight="1" spans="1:6">
      <c r="A453" s="6">
        <v>452</v>
      </c>
      <c r="B453" s="8" t="s">
        <v>2776</v>
      </c>
      <c r="C453" s="8" t="s">
        <v>2777</v>
      </c>
      <c r="D453" s="8" t="s">
        <v>2778</v>
      </c>
      <c r="E453" s="8" t="s">
        <v>43</v>
      </c>
      <c r="F453" s="8" t="s">
        <v>2779</v>
      </c>
    </row>
    <row r="454" customHeight="1" spans="1:6">
      <c r="A454" s="6">
        <v>453</v>
      </c>
      <c r="B454" s="8" t="s">
        <v>2780</v>
      </c>
      <c r="C454" s="8" t="s">
        <v>2781</v>
      </c>
      <c r="D454" s="8" t="s">
        <v>2782</v>
      </c>
      <c r="E454" s="8" t="s">
        <v>710</v>
      </c>
      <c r="F454" s="8" t="s">
        <v>2783</v>
      </c>
    </row>
    <row r="455" customHeight="1" spans="1:6">
      <c r="A455" s="6">
        <v>454</v>
      </c>
      <c r="B455" s="8" t="s">
        <v>2780</v>
      </c>
      <c r="C455" s="8" t="s">
        <v>2781</v>
      </c>
      <c r="D455" s="8" t="s">
        <v>2782</v>
      </c>
      <c r="E455" s="8" t="s">
        <v>710</v>
      </c>
      <c r="F455" s="8" t="s">
        <v>2783</v>
      </c>
    </row>
    <row r="456" customHeight="1" spans="1:6">
      <c r="A456" s="6">
        <v>455</v>
      </c>
      <c r="B456" s="8" t="s">
        <v>2784</v>
      </c>
      <c r="C456" s="8" t="s">
        <v>2785</v>
      </c>
      <c r="D456" s="8" t="s">
        <v>1079</v>
      </c>
      <c r="E456" s="8" t="s">
        <v>810</v>
      </c>
      <c r="F456" s="8" t="s">
        <v>2786</v>
      </c>
    </row>
    <row r="457" customHeight="1" spans="1:6">
      <c r="A457" s="6">
        <v>456</v>
      </c>
      <c r="B457" s="8" t="s">
        <v>2784</v>
      </c>
      <c r="C457" s="8" t="s">
        <v>2785</v>
      </c>
      <c r="D457" s="8" t="s">
        <v>1079</v>
      </c>
      <c r="E457" s="8" t="s">
        <v>810</v>
      </c>
      <c r="F457" s="8" t="s">
        <v>2786</v>
      </c>
    </row>
    <row r="458" customHeight="1" spans="1:6">
      <c r="A458" s="6">
        <v>457</v>
      </c>
      <c r="B458" s="8" t="s">
        <v>2784</v>
      </c>
      <c r="C458" s="8" t="s">
        <v>2785</v>
      </c>
      <c r="D458" s="8" t="s">
        <v>1079</v>
      </c>
      <c r="E458" s="8" t="s">
        <v>810</v>
      </c>
      <c r="F458" s="8" t="s">
        <v>2786</v>
      </c>
    </row>
    <row r="459" customHeight="1" spans="1:6">
      <c r="A459" s="6">
        <v>458</v>
      </c>
      <c r="B459" s="8" t="s">
        <v>2787</v>
      </c>
      <c r="C459" s="8" t="s">
        <v>2788</v>
      </c>
      <c r="D459" s="8" t="s">
        <v>2789</v>
      </c>
      <c r="E459" s="8" t="s">
        <v>2790</v>
      </c>
      <c r="F459" s="8" t="s">
        <v>2791</v>
      </c>
    </row>
    <row r="460" customHeight="1" spans="1:6">
      <c r="A460" s="6">
        <v>459</v>
      </c>
      <c r="B460" s="8" t="s">
        <v>2787</v>
      </c>
      <c r="C460" s="8" t="s">
        <v>2788</v>
      </c>
      <c r="D460" s="8" t="s">
        <v>2789</v>
      </c>
      <c r="E460" s="8" t="s">
        <v>2790</v>
      </c>
      <c r="F460" s="8" t="s">
        <v>2791</v>
      </c>
    </row>
    <row r="461" customHeight="1" spans="1:6">
      <c r="A461" s="6">
        <v>460</v>
      </c>
      <c r="B461" s="8" t="s">
        <v>2792</v>
      </c>
      <c r="C461" s="8" t="s">
        <v>2793</v>
      </c>
      <c r="D461" s="8" t="s">
        <v>2794</v>
      </c>
      <c r="E461" s="8" t="s">
        <v>239</v>
      </c>
      <c r="F461" s="8" t="s">
        <v>2795</v>
      </c>
    </row>
    <row r="462" customHeight="1" spans="1:6">
      <c r="A462" s="6">
        <v>461</v>
      </c>
      <c r="B462" s="8" t="s">
        <v>2792</v>
      </c>
      <c r="C462" s="8" t="s">
        <v>2793</v>
      </c>
      <c r="D462" s="8" t="s">
        <v>2794</v>
      </c>
      <c r="E462" s="8" t="s">
        <v>239</v>
      </c>
      <c r="F462" s="8" t="s">
        <v>2795</v>
      </c>
    </row>
    <row r="463" customHeight="1" spans="1:6">
      <c r="A463" s="6">
        <v>462</v>
      </c>
      <c r="B463" s="8" t="s">
        <v>2796</v>
      </c>
      <c r="C463" s="8" t="s">
        <v>2797</v>
      </c>
      <c r="D463" s="8" t="s">
        <v>2798</v>
      </c>
      <c r="E463" s="8" t="s">
        <v>58</v>
      </c>
      <c r="F463" s="8" t="s">
        <v>2799</v>
      </c>
    </row>
    <row r="464" customHeight="1" spans="1:6">
      <c r="A464" s="6">
        <v>463</v>
      </c>
      <c r="B464" s="8" t="s">
        <v>2796</v>
      </c>
      <c r="C464" s="8" t="s">
        <v>2797</v>
      </c>
      <c r="D464" s="8" t="s">
        <v>2798</v>
      </c>
      <c r="E464" s="8" t="s">
        <v>58</v>
      </c>
      <c r="F464" s="8" t="s">
        <v>2799</v>
      </c>
    </row>
    <row r="465" customHeight="1" spans="1:6">
      <c r="A465" s="6">
        <v>464</v>
      </c>
      <c r="B465" s="8" t="s">
        <v>2800</v>
      </c>
      <c r="C465" s="8" t="s">
        <v>2801</v>
      </c>
      <c r="D465" s="8" t="s">
        <v>2802</v>
      </c>
      <c r="E465" s="8" t="s">
        <v>425</v>
      </c>
      <c r="F465" s="8" t="s">
        <v>2803</v>
      </c>
    </row>
    <row r="466" customHeight="1" spans="1:6">
      <c r="A466" s="6">
        <v>465</v>
      </c>
      <c r="B466" s="8" t="s">
        <v>2800</v>
      </c>
      <c r="C466" s="8" t="s">
        <v>2801</v>
      </c>
      <c r="D466" s="8" t="s">
        <v>2802</v>
      </c>
      <c r="E466" s="8" t="s">
        <v>425</v>
      </c>
      <c r="F466" s="8" t="s">
        <v>2803</v>
      </c>
    </row>
    <row r="467" customHeight="1" spans="1:6">
      <c r="A467" s="6">
        <v>466</v>
      </c>
      <c r="B467" s="8" t="s">
        <v>2804</v>
      </c>
      <c r="C467" s="8" t="s">
        <v>2805</v>
      </c>
      <c r="D467" s="8" t="s">
        <v>2806</v>
      </c>
      <c r="E467" s="8" t="s">
        <v>48</v>
      </c>
      <c r="F467" s="8" t="s">
        <v>2807</v>
      </c>
    </row>
    <row r="468" customHeight="1" spans="1:6">
      <c r="A468" s="6">
        <v>467</v>
      </c>
      <c r="B468" s="8" t="s">
        <v>2804</v>
      </c>
      <c r="C468" s="8" t="s">
        <v>2805</v>
      </c>
      <c r="D468" s="8" t="s">
        <v>2806</v>
      </c>
      <c r="E468" s="8" t="s">
        <v>48</v>
      </c>
      <c r="F468" s="8" t="s">
        <v>2807</v>
      </c>
    </row>
    <row r="469" customHeight="1" spans="1:6">
      <c r="A469" s="6">
        <v>468</v>
      </c>
      <c r="B469" s="8" t="s">
        <v>2808</v>
      </c>
      <c r="C469" s="8" t="s">
        <v>2809</v>
      </c>
      <c r="D469" s="8" t="s">
        <v>2810</v>
      </c>
      <c r="E469" s="8" t="s">
        <v>48</v>
      </c>
      <c r="F469" s="8" t="s">
        <v>2811</v>
      </c>
    </row>
    <row r="470" customHeight="1" spans="1:6">
      <c r="A470" s="6">
        <v>469</v>
      </c>
      <c r="B470" s="8" t="s">
        <v>2808</v>
      </c>
      <c r="C470" s="8" t="s">
        <v>2809</v>
      </c>
      <c r="D470" s="8" t="s">
        <v>2810</v>
      </c>
      <c r="E470" s="8" t="s">
        <v>48</v>
      </c>
      <c r="F470" s="8" t="s">
        <v>2811</v>
      </c>
    </row>
    <row r="471" customHeight="1" spans="1:6">
      <c r="A471" s="6">
        <v>470</v>
      </c>
      <c r="B471" s="8" t="s">
        <v>2812</v>
      </c>
      <c r="C471" s="8" t="s">
        <v>2813</v>
      </c>
      <c r="D471" s="8" t="s">
        <v>2814</v>
      </c>
      <c r="E471" s="8" t="s">
        <v>311</v>
      </c>
      <c r="F471" s="8" t="s">
        <v>2815</v>
      </c>
    </row>
    <row r="472" customHeight="1" spans="1:6">
      <c r="A472" s="6">
        <v>471</v>
      </c>
      <c r="B472" s="8" t="s">
        <v>2812</v>
      </c>
      <c r="C472" s="8" t="s">
        <v>2813</v>
      </c>
      <c r="D472" s="8" t="s">
        <v>2814</v>
      </c>
      <c r="E472" s="8" t="s">
        <v>311</v>
      </c>
      <c r="F472" s="8" t="s">
        <v>2815</v>
      </c>
    </row>
    <row r="473" customHeight="1" spans="1:6">
      <c r="A473" s="6">
        <v>472</v>
      </c>
      <c r="B473" s="8" t="s">
        <v>2816</v>
      </c>
      <c r="C473" s="8" t="s">
        <v>2817</v>
      </c>
      <c r="D473" s="8" t="s">
        <v>2818</v>
      </c>
      <c r="E473" s="8" t="s">
        <v>239</v>
      </c>
      <c r="F473" s="8" t="s">
        <v>2819</v>
      </c>
    </row>
    <row r="474" customHeight="1" spans="1:6">
      <c r="A474" s="6">
        <v>473</v>
      </c>
      <c r="B474" s="8" t="s">
        <v>2816</v>
      </c>
      <c r="C474" s="8" t="s">
        <v>2817</v>
      </c>
      <c r="D474" s="8" t="s">
        <v>2818</v>
      </c>
      <c r="E474" s="8" t="s">
        <v>239</v>
      </c>
      <c r="F474" s="8" t="s">
        <v>2819</v>
      </c>
    </row>
    <row r="475" customHeight="1" spans="1:6">
      <c r="A475" s="6">
        <v>474</v>
      </c>
      <c r="B475" s="8" t="s">
        <v>2820</v>
      </c>
      <c r="C475" s="8" t="s">
        <v>2821</v>
      </c>
      <c r="D475" s="8" t="s">
        <v>2822</v>
      </c>
      <c r="E475" s="8" t="s">
        <v>76</v>
      </c>
      <c r="F475" s="8" t="s">
        <v>2823</v>
      </c>
    </row>
    <row r="476" customHeight="1" spans="1:6">
      <c r="A476" s="6">
        <v>475</v>
      </c>
      <c r="B476" s="8" t="s">
        <v>2820</v>
      </c>
      <c r="C476" s="8" t="s">
        <v>2821</v>
      </c>
      <c r="D476" s="8" t="s">
        <v>2822</v>
      </c>
      <c r="E476" s="8" t="s">
        <v>76</v>
      </c>
      <c r="F476" s="8" t="s">
        <v>2823</v>
      </c>
    </row>
    <row r="477" customHeight="1" spans="1:6">
      <c r="A477" s="6">
        <v>476</v>
      </c>
      <c r="B477" s="8" t="s">
        <v>2824</v>
      </c>
      <c r="C477" s="8" t="s">
        <v>2825</v>
      </c>
      <c r="D477" s="8" t="s">
        <v>2607</v>
      </c>
      <c r="E477" s="8" t="s">
        <v>76</v>
      </c>
      <c r="F477" s="8" t="s">
        <v>2826</v>
      </c>
    </row>
    <row r="478" customHeight="1" spans="1:6">
      <c r="A478" s="6">
        <v>477</v>
      </c>
      <c r="B478" s="8" t="s">
        <v>2824</v>
      </c>
      <c r="C478" s="8" t="s">
        <v>2825</v>
      </c>
      <c r="D478" s="8" t="s">
        <v>2607</v>
      </c>
      <c r="E478" s="8" t="s">
        <v>76</v>
      </c>
      <c r="F478" s="8" t="s">
        <v>2826</v>
      </c>
    </row>
    <row r="479" customHeight="1" spans="1:6">
      <c r="A479" s="6">
        <v>478</v>
      </c>
      <c r="B479" s="8" t="s">
        <v>2827</v>
      </c>
      <c r="C479" s="8" t="s">
        <v>2828</v>
      </c>
      <c r="D479" s="8" t="s">
        <v>2829</v>
      </c>
      <c r="E479" s="8" t="s">
        <v>76</v>
      </c>
      <c r="F479" s="8" t="s">
        <v>2830</v>
      </c>
    </row>
    <row r="480" customHeight="1" spans="1:6">
      <c r="A480" s="6">
        <v>479</v>
      </c>
      <c r="B480" s="8" t="s">
        <v>2827</v>
      </c>
      <c r="C480" s="8" t="s">
        <v>2828</v>
      </c>
      <c r="D480" s="8" t="s">
        <v>2829</v>
      </c>
      <c r="E480" s="8" t="s">
        <v>76</v>
      </c>
      <c r="F480" s="8" t="s">
        <v>2830</v>
      </c>
    </row>
    <row r="481" customHeight="1" spans="1:6">
      <c r="A481" s="6">
        <v>480</v>
      </c>
      <c r="B481" s="8" t="s">
        <v>2831</v>
      </c>
      <c r="C481" s="8" t="s">
        <v>2832</v>
      </c>
      <c r="D481" s="8" t="s">
        <v>2833</v>
      </c>
      <c r="E481" s="8" t="s">
        <v>76</v>
      </c>
      <c r="F481" s="8" t="s">
        <v>2834</v>
      </c>
    </row>
    <row r="482" customHeight="1" spans="1:6">
      <c r="A482" s="6">
        <v>481</v>
      </c>
      <c r="B482" s="8" t="s">
        <v>2831</v>
      </c>
      <c r="C482" s="8" t="s">
        <v>2832</v>
      </c>
      <c r="D482" s="8" t="s">
        <v>2833</v>
      </c>
      <c r="E482" s="8" t="s">
        <v>76</v>
      </c>
      <c r="F482" s="8" t="s">
        <v>2834</v>
      </c>
    </row>
    <row r="483" customHeight="1" spans="1:6">
      <c r="A483" s="6">
        <v>482</v>
      </c>
      <c r="B483" s="8" t="s">
        <v>2835</v>
      </c>
      <c r="C483" s="8" t="s">
        <v>2836</v>
      </c>
      <c r="D483" s="8" t="s">
        <v>2607</v>
      </c>
      <c r="E483" s="8" t="s">
        <v>76</v>
      </c>
      <c r="F483" s="8" t="s">
        <v>2837</v>
      </c>
    </row>
    <row r="484" customHeight="1" spans="1:6">
      <c r="A484" s="6">
        <v>483</v>
      </c>
      <c r="B484" s="8" t="s">
        <v>2835</v>
      </c>
      <c r="C484" s="8" t="s">
        <v>2836</v>
      </c>
      <c r="D484" s="8" t="s">
        <v>2607</v>
      </c>
      <c r="E484" s="8" t="s">
        <v>76</v>
      </c>
      <c r="F484" s="8" t="s">
        <v>2837</v>
      </c>
    </row>
    <row r="485" customHeight="1" spans="1:6">
      <c r="A485" s="6">
        <v>484</v>
      </c>
      <c r="B485" s="8" t="s">
        <v>2838</v>
      </c>
      <c r="C485" s="8" t="s">
        <v>2839</v>
      </c>
      <c r="D485" s="8" t="s">
        <v>2840</v>
      </c>
      <c r="E485" s="8" t="s">
        <v>76</v>
      </c>
      <c r="F485" s="8" t="s">
        <v>2841</v>
      </c>
    </row>
    <row r="486" customHeight="1" spans="1:6">
      <c r="A486" s="6">
        <v>485</v>
      </c>
      <c r="B486" s="8" t="s">
        <v>2838</v>
      </c>
      <c r="C486" s="8" t="s">
        <v>2839</v>
      </c>
      <c r="D486" s="8" t="s">
        <v>2840</v>
      </c>
      <c r="E486" s="8" t="s">
        <v>76</v>
      </c>
      <c r="F486" s="8" t="s">
        <v>2841</v>
      </c>
    </row>
    <row r="487" customHeight="1" spans="1:6">
      <c r="A487" s="6">
        <v>486</v>
      </c>
      <c r="B487" s="8" t="s">
        <v>2842</v>
      </c>
      <c r="C487" s="8" t="s">
        <v>2843</v>
      </c>
      <c r="D487" s="8" t="s">
        <v>2844</v>
      </c>
      <c r="E487" s="8" t="s">
        <v>76</v>
      </c>
      <c r="F487" s="8" t="s">
        <v>2845</v>
      </c>
    </row>
    <row r="488" customHeight="1" spans="1:6">
      <c r="A488" s="6">
        <v>487</v>
      </c>
      <c r="B488" s="8" t="s">
        <v>2842</v>
      </c>
      <c r="C488" s="8" t="s">
        <v>2843</v>
      </c>
      <c r="D488" s="8" t="s">
        <v>2844</v>
      </c>
      <c r="E488" s="8" t="s">
        <v>76</v>
      </c>
      <c r="F488" s="8" t="s">
        <v>2845</v>
      </c>
    </row>
    <row r="489" customHeight="1" spans="1:6">
      <c r="A489" s="6">
        <v>488</v>
      </c>
      <c r="B489" s="8" t="s">
        <v>2846</v>
      </c>
      <c r="C489" s="8" t="s">
        <v>2847</v>
      </c>
      <c r="D489" s="8" t="s">
        <v>2848</v>
      </c>
      <c r="E489" s="8" t="s">
        <v>425</v>
      </c>
      <c r="F489" s="8" t="s">
        <v>2849</v>
      </c>
    </row>
    <row r="490" customHeight="1" spans="1:6">
      <c r="A490" s="6">
        <v>489</v>
      </c>
      <c r="B490" s="8" t="s">
        <v>2846</v>
      </c>
      <c r="C490" s="8" t="s">
        <v>2847</v>
      </c>
      <c r="D490" s="8" t="s">
        <v>2848</v>
      </c>
      <c r="E490" s="8" t="s">
        <v>425</v>
      </c>
      <c r="F490" s="8" t="s">
        <v>2849</v>
      </c>
    </row>
    <row r="491" customHeight="1" spans="1:6">
      <c r="A491" s="6">
        <v>490</v>
      </c>
      <c r="B491" s="7" t="str">
        <f>"978-7-5473-1810-2"</f>
        <v>978-7-5473-1810-2</v>
      </c>
      <c r="C491" s="7" t="str">
        <f>"长三角：国家战略与空间布局"</f>
        <v>长三角：国家战略与空间布局</v>
      </c>
      <c r="D491" s="7" t="str">
        <f>"盛世豪， 包海波， 潘家栋著"</f>
        <v>盛世豪， 包海波， 潘家栋著</v>
      </c>
      <c r="E491" s="7" t="str">
        <f>"东方出版中心"</f>
        <v>东方出版中心</v>
      </c>
      <c r="F491" s="7" t="str">
        <f>"F127.5/69"</f>
        <v>F127.5/69</v>
      </c>
    </row>
    <row r="492" customHeight="1" spans="1:6">
      <c r="A492" s="6">
        <v>491</v>
      </c>
      <c r="B492" s="7" t="str">
        <f>"978-7-5473-1810-2"</f>
        <v>978-7-5473-1810-2</v>
      </c>
      <c r="C492" s="7" t="str">
        <f>"长三角：国家战略与空间布局"</f>
        <v>长三角：国家战略与空间布局</v>
      </c>
      <c r="D492" s="7" t="str">
        <f>"盛世豪， 包海波， 潘家栋著"</f>
        <v>盛世豪， 包海波， 潘家栋著</v>
      </c>
      <c r="E492" s="7" t="str">
        <f>"东方出版中心"</f>
        <v>东方出版中心</v>
      </c>
      <c r="F492" s="7" t="str">
        <f>"F127.5/69"</f>
        <v>F127.5/69</v>
      </c>
    </row>
    <row r="493" customHeight="1" spans="1:6">
      <c r="A493" s="6">
        <v>492</v>
      </c>
      <c r="B493" s="7" t="str">
        <f>"978-7-5096-8158-9"</f>
        <v>978-7-5096-8158-9</v>
      </c>
      <c r="C493" s="7" t="str">
        <f>"长江经济带区域创新空间格局演变研究"</f>
        <v>长江经济带区域创新空间格局演变研究</v>
      </c>
      <c r="D493" s="7" t="str">
        <f>"钟业喜， 毛炜圣， 吴思雨等著"</f>
        <v>钟业喜， 毛炜圣， 吴思雨等著</v>
      </c>
      <c r="E493" s="7" t="str">
        <f>"经济管理出版社"</f>
        <v>经济管理出版社</v>
      </c>
      <c r="F493" s="7" t="str">
        <f>"F127.5/70"</f>
        <v>F127.5/70</v>
      </c>
    </row>
    <row r="494" customHeight="1" spans="1:6">
      <c r="A494" s="6">
        <v>493</v>
      </c>
      <c r="B494" s="7" t="str">
        <f>"978-7-5096-8158-9"</f>
        <v>978-7-5096-8158-9</v>
      </c>
      <c r="C494" s="7" t="str">
        <f>"长江经济带区域创新空间格局演变研究"</f>
        <v>长江经济带区域创新空间格局演变研究</v>
      </c>
      <c r="D494" s="7" t="str">
        <f>"钟业喜， 毛炜圣， 吴思雨等著"</f>
        <v>钟业喜， 毛炜圣， 吴思雨等著</v>
      </c>
      <c r="E494" s="7" t="str">
        <f>"经济管理出版社"</f>
        <v>经济管理出版社</v>
      </c>
      <c r="F494" s="7" t="str">
        <f>"F127.5/70"</f>
        <v>F127.5/70</v>
      </c>
    </row>
    <row r="495" customHeight="1" spans="1:6">
      <c r="A495" s="6">
        <v>494</v>
      </c>
      <c r="B495" s="8" t="s">
        <v>2850</v>
      </c>
      <c r="C495" s="8" t="s">
        <v>2851</v>
      </c>
      <c r="D495" s="8" t="s">
        <v>2852</v>
      </c>
      <c r="E495" s="8" t="s">
        <v>881</v>
      </c>
      <c r="F495" s="8" t="s">
        <v>2853</v>
      </c>
    </row>
    <row r="496" customHeight="1" spans="1:6">
      <c r="A496" s="6">
        <v>495</v>
      </c>
      <c r="B496" s="8" t="s">
        <v>2850</v>
      </c>
      <c r="C496" s="8" t="s">
        <v>2851</v>
      </c>
      <c r="D496" s="8" t="s">
        <v>2852</v>
      </c>
      <c r="E496" s="8" t="s">
        <v>881</v>
      </c>
      <c r="F496" s="8" t="s">
        <v>2853</v>
      </c>
    </row>
    <row r="497" customHeight="1" spans="1:6">
      <c r="A497" s="6">
        <v>496</v>
      </c>
      <c r="B497" s="8" t="s">
        <v>2854</v>
      </c>
      <c r="C497" s="8" t="s">
        <v>2855</v>
      </c>
      <c r="D497" s="8" t="s">
        <v>2856</v>
      </c>
      <c r="E497" s="8" t="s">
        <v>38</v>
      </c>
      <c r="F497" s="8" t="s">
        <v>2857</v>
      </c>
    </row>
    <row r="498" customHeight="1" spans="1:6">
      <c r="A498" s="6">
        <v>497</v>
      </c>
      <c r="B498" s="8" t="s">
        <v>2854</v>
      </c>
      <c r="C498" s="8" t="s">
        <v>2855</v>
      </c>
      <c r="D498" s="8" t="s">
        <v>2856</v>
      </c>
      <c r="E498" s="8" t="s">
        <v>38</v>
      </c>
      <c r="F498" s="8" t="s">
        <v>2857</v>
      </c>
    </row>
    <row r="499" customHeight="1" spans="1:6">
      <c r="A499" s="6">
        <v>498</v>
      </c>
      <c r="B499" s="8" t="s">
        <v>2858</v>
      </c>
      <c r="C499" s="8" t="s">
        <v>2859</v>
      </c>
      <c r="D499" s="8" t="s">
        <v>2860</v>
      </c>
      <c r="E499" s="8" t="s">
        <v>38</v>
      </c>
      <c r="F499" s="8" t="s">
        <v>2861</v>
      </c>
    </row>
    <row r="500" customHeight="1" spans="1:6">
      <c r="A500" s="6">
        <v>499</v>
      </c>
      <c r="B500" s="8" t="s">
        <v>2858</v>
      </c>
      <c r="C500" s="8" t="s">
        <v>2859</v>
      </c>
      <c r="D500" s="8" t="s">
        <v>2860</v>
      </c>
      <c r="E500" s="8" t="s">
        <v>38</v>
      </c>
      <c r="F500" s="8" t="s">
        <v>2861</v>
      </c>
    </row>
    <row r="501" customHeight="1" spans="1:6">
      <c r="A501" s="6">
        <v>500</v>
      </c>
      <c r="B501" s="8" t="s">
        <v>2862</v>
      </c>
      <c r="C501" s="8" t="s">
        <v>2863</v>
      </c>
      <c r="D501" s="8" t="s">
        <v>2864</v>
      </c>
      <c r="E501" s="8" t="s">
        <v>1667</v>
      </c>
      <c r="F501" s="8" t="s">
        <v>2865</v>
      </c>
    </row>
    <row r="502" customHeight="1" spans="1:6">
      <c r="A502" s="6">
        <v>501</v>
      </c>
      <c r="B502" s="8" t="s">
        <v>2862</v>
      </c>
      <c r="C502" s="8" t="s">
        <v>2863</v>
      </c>
      <c r="D502" s="8" t="s">
        <v>2864</v>
      </c>
      <c r="E502" s="8" t="s">
        <v>1667</v>
      </c>
      <c r="F502" s="8" t="s">
        <v>2865</v>
      </c>
    </row>
    <row r="503" customHeight="1" spans="1:6">
      <c r="A503" s="6">
        <v>502</v>
      </c>
      <c r="B503" s="8" t="s">
        <v>2866</v>
      </c>
      <c r="C503" s="8" t="s">
        <v>2867</v>
      </c>
      <c r="D503" s="8" t="s">
        <v>2868</v>
      </c>
      <c r="E503" s="8" t="s">
        <v>311</v>
      </c>
      <c r="F503" s="8" t="s">
        <v>2869</v>
      </c>
    </row>
    <row r="504" customHeight="1" spans="1:6">
      <c r="A504" s="6">
        <v>503</v>
      </c>
      <c r="B504" s="8" t="s">
        <v>2866</v>
      </c>
      <c r="C504" s="8" t="s">
        <v>2867</v>
      </c>
      <c r="D504" s="8" t="s">
        <v>2868</v>
      </c>
      <c r="E504" s="8" t="s">
        <v>311</v>
      </c>
      <c r="F504" s="8" t="s">
        <v>2869</v>
      </c>
    </row>
    <row r="505" customHeight="1" spans="1:6">
      <c r="A505" s="6">
        <v>504</v>
      </c>
      <c r="B505" s="8" t="s">
        <v>2870</v>
      </c>
      <c r="C505" s="8" t="s">
        <v>2871</v>
      </c>
      <c r="D505" s="8" t="s">
        <v>2872</v>
      </c>
      <c r="E505" s="8" t="s">
        <v>311</v>
      </c>
      <c r="F505" s="8" t="s">
        <v>2873</v>
      </c>
    </row>
    <row r="506" customHeight="1" spans="1:6">
      <c r="A506" s="6">
        <v>505</v>
      </c>
      <c r="B506" s="8" t="s">
        <v>2870</v>
      </c>
      <c r="C506" s="8" t="s">
        <v>2871</v>
      </c>
      <c r="D506" s="8" t="s">
        <v>2872</v>
      </c>
      <c r="E506" s="8" t="s">
        <v>311</v>
      </c>
      <c r="F506" s="8" t="s">
        <v>2873</v>
      </c>
    </row>
    <row r="507" customHeight="1" spans="1:6">
      <c r="A507" s="6">
        <v>506</v>
      </c>
      <c r="B507" s="8" t="s">
        <v>2874</v>
      </c>
      <c r="C507" s="8" t="s">
        <v>2875</v>
      </c>
      <c r="D507" s="8" t="s">
        <v>2876</v>
      </c>
      <c r="E507" s="8" t="s">
        <v>1667</v>
      </c>
      <c r="F507" s="8" t="s">
        <v>2877</v>
      </c>
    </row>
    <row r="508" customHeight="1" spans="1:6">
      <c r="A508" s="6">
        <v>507</v>
      </c>
      <c r="B508" s="8" t="s">
        <v>2874</v>
      </c>
      <c r="C508" s="8" t="s">
        <v>2875</v>
      </c>
      <c r="D508" s="8" t="s">
        <v>2876</v>
      </c>
      <c r="E508" s="8" t="s">
        <v>1667</v>
      </c>
      <c r="F508" s="8" t="s">
        <v>2877</v>
      </c>
    </row>
    <row r="509" customHeight="1" spans="1:6">
      <c r="A509" s="6">
        <v>508</v>
      </c>
      <c r="B509" s="8" t="s">
        <v>2878</v>
      </c>
      <c r="C509" s="8" t="s">
        <v>2879</v>
      </c>
      <c r="D509" s="8" t="s">
        <v>2880</v>
      </c>
      <c r="E509" s="8" t="s">
        <v>48</v>
      </c>
      <c r="F509" s="8" t="s">
        <v>2881</v>
      </c>
    </row>
    <row r="510" customHeight="1" spans="1:6">
      <c r="A510" s="6">
        <v>509</v>
      </c>
      <c r="B510" s="8" t="s">
        <v>2878</v>
      </c>
      <c r="C510" s="8" t="s">
        <v>2879</v>
      </c>
      <c r="D510" s="8" t="s">
        <v>2880</v>
      </c>
      <c r="E510" s="8" t="s">
        <v>48</v>
      </c>
      <c r="F510" s="8" t="s">
        <v>2881</v>
      </c>
    </row>
    <row r="511" customHeight="1" spans="1:6">
      <c r="A511" s="6">
        <v>510</v>
      </c>
      <c r="B511" s="8" t="s">
        <v>2882</v>
      </c>
      <c r="C511" s="8" t="s">
        <v>2883</v>
      </c>
      <c r="D511" s="8" t="s">
        <v>2884</v>
      </c>
      <c r="E511" s="8" t="s">
        <v>48</v>
      </c>
      <c r="F511" s="8" t="s">
        <v>2885</v>
      </c>
    </row>
    <row r="512" customHeight="1" spans="1:6">
      <c r="A512" s="6">
        <v>511</v>
      </c>
      <c r="B512" s="8" t="s">
        <v>2882</v>
      </c>
      <c r="C512" s="8" t="s">
        <v>2883</v>
      </c>
      <c r="D512" s="8" t="s">
        <v>2884</v>
      </c>
      <c r="E512" s="8" t="s">
        <v>48</v>
      </c>
      <c r="F512" s="8" t="s">
        <v>2885</v>
      </c>
    </row>
    <row r="513" customHeight="1" spans="1:6">
      <c r="A513" s="6">
        <v>512</v>
      </c>
      <c r="B513" s="8" t="s">
        <v>2886</v>
      </c>
      <c r="C513" s="8" t="s">
        <v>2887</v>
      </c>
      <c r="D513" s="8" t="s">
        <v>2888</v>
      </c>
      <c r="E513" s="8" t="s">
        <v>2889</v>
      </c>
      <c r="F513" s="8" t="s">
        <v>2890</v>
      </c>
    </row>
    <row r="514" customHeight="1" spans="1:6">
      <c r="A514" s="6">
        <v>513</v>
      </c>
      <c r="B514" s="8" t="s">
        <v>2886</v>
      </c>
      <c r="C514" s="8" t="s">
        <v>2887</v>
      </c>
      <c r="D514" s="8" t="s">
        <v>2888</v>
      </c>
      <c r="E514" s="8" t="s">
        <v>2889</v>
      </c>
      <c r="F514" s="8" t="s">
        <v>2890</v>
      </c>
    </row>
    <row r="515" customHeight="1" spans="1:6">
      <c r="A515" s="6">
        <v>514</v>
      </c>
      <c r="B515" s="8" t="s">
        <v>2886</v>
      </c>
      <c r="C515" s="8" t="s">
        <v>2887</v>
      </c>
      <c r="D515" s="8" t="s">
        <v>2888</v>
      </c>
      <c r="E515" s="8" t="s">
        <v>2889</v>
      </c>
      <c r="F515" s="8" t="s">
        <v>2890</v>
      </c>
    </row>
    <row r="516" customHeight="1" spans="1:6">
      <c r="A516" s="6">
        <v>515</v>
      </c>
      <c r="B516" s="8" t="s">
        <v>2891</v>
      </c>
      <c r="C516" s="8" t="s">
        <v>2892</v>
      </c>
      <c r="D516" s="8" t="s">
        <v>2893</v>
      </c>
      <c r="E516" s="8" t="s">
        <v>48</v>
      </c>
      <c r="F516" s="8" t="s">
        <v>2894</v>
      </c>
    </row>
    <row r="517" customHeight="1" spans="1:6">
      <c r="A517" s="6">
        <v>516</v>
      </c>
      <c r="B517" s="8" t="s">
        <v>2891</v>
      </c>
      <c r="C517" s="8" t="s">
        <v>2892</v>
      </c>
      <c r="D517" s="8" t="s">
        <v>2893</v>
      </c>
      <c r="E517" s="8" t="s">
        <v>48</v>
      </c>
      <c r="F517" s="8" t="s">
        <v>2894</v>
      </c>
    </row>
    <row r="518" customHeight="1" spans="1:6">
      <c r="A518" s="6">
        <v>517</v>
      </c>
      <c r="B518" s="8" t="s">
        <v>2895</v>
      </c>
      <c r="C518" s="8" t="s">
        <v>2896</v>
      </c>
      <c r="D518" s="8" t="s">
        <v>2897</v>
      </c>
      <c r="E518" s="8" t="s">
        <v>48</v>
      </c>
      <c r="F518" s="8" t="s">
        <v>2898</v>
      </c>
    </row>
    <row r="519" customHeight="1" spans="1:6">
      <c r="A519" s="6">
        <v>518</v>
      </c>
      <c r="B519" s="8" t="s">
        <v>2895</v>
      </c>
      <c r="C519" s="8" t="s">
        <v>2896</v>
      </c>
      <c r="D519" s="8" t="s">
        <v>2897</v>
      </c>
      <c r="E519" s="8" t="s">
        <v>48</v>
      </c>
      <c r="F519" s="8" t="s">
        <v>2898</v>
      </c>
    </row>
    <row r="520" customHeight="1" spans="1:6">
      <c r="A520" s="6">
        <v>519</v>
      </c>
      <c r="B520" s="8" t="s">
        <v>2899</v>
      </c>
      <c r="C520" s="8" t="s">
        <v>2900</v>
      </c>
      <c r="D520" s="8" t="s">
        <v>2901</v>
      </c>
      <c r="E520" s="8" t="s">
        <v>425</v>
      </c>
      <c r="F520" s="8" t="s">
        <v>2902</v>
      </c>
    </row>
    <row r="521" customHeight="1" spans="1:6">
      <c r="A521" s="6">
        <v>520</v>
      </c>
      <c r="B521" s="8" t="s">
        <v>2899</v>
      </c>
      <c r="C521" s="8" t="s">
        <v>2900</v>
      </c>
      <c r="D521" s="8" t="s">
        <v>2901</v>
      </c>
      <c r="E521" s="8" t="s">
        <v>425</v>
      </c>
      <c r="F521" s="8" t="s">
        <v>2902</v>
      </c>
    </row>
    <row r="522" customHeight="1" spans="1:6">
      <c r="A522" s="6">
        <v>521</v>
      </c>
      <c r="B522" s="8" t="s">
        <v>2903</v>
      </c>
      <c r="C522" s="8" t="s">
        <v>2904</v>
      </c>
      <c r="D522" s="8" t="s">
        <v>2905</v>
      </c>
      <c r="E522" s="8" t="s">
        <v>710</v>
      </c>
      <c r="F522" s="8" t="s">
        <v>2906</v>
      </c>
    </row>
    <row r="523" customHeight="1" spans="1:6">
      <c r="A523" s="6">
        <v>522</v>
      </c>
      <c r="B523" s="8" t="s">
        <v>2903</v>
      </c>
      <c r="C523" s="8" t="s">
        <v>2904</v>
      </c>
      <c r="D523" s="8" t="s">
        <v>2905</v>
      </c>
      <c r="E523" s="8" t="s">
        <v>710</v>
      </c>
      <c r="F523" s="8" t="s">
        <v>2906</v>
      </c>
    </row>
    <row r="524" customHeight="1" spans="1:6">
      <c r="A524" s="6">
        <v>523</v>
      </c>
      <c r="B524" s="8" t="s">
        <v>2907</v>
      </c>
      <c r="C524" s="8" t="s">
        <v>2908</v>
      </c>
      <c r="D524" s="8" t="s">
        <v>2909</v>
      </c>
      <c r="E524" s="8" t="s">
        <v>311</v>
      </c>
      <c r="F524" s="8" t="s">
        <v>2910</v>
      </c>
    </row>
    <row r="525" customHeight="1" spans="1:6">
      <c r="A525" s="6">
        <v>524</v>
      </c>
      <c r="B525" s="8" t="s">
        <v>2907</v>
      </c>
      <c r="C525" s="8" t="s">
        <v>2908</v>
      </c>
      <c r="D525" s="8" t="s">
        <v>2909</v>
      </c>
      <c r="E525" s="8" t="s">
        <v>311</v>
      </c>
      <c r="F525" s="8" t="s">
        <v>2910</v>
      </c>
    </row>
    <row r="526" customHeight="1" spans="1:6">
      <c r="A526" s="6">
        <v>525</v>
      </c>
      <c r="B526" s="8" t="s">
        <v>2911</v>
      </c>
      <c r="C526" s="8" t="s">
        <v>2912</v>
      </c>
      <c r="D526" s="8" t="s">
        <v>2913</v>
      </c>
      <c r="E526" s="8" t="s">
        <v>1534</v>
      </c>
      <c r="F526" s="8" t="s">
        <v>2914</v>
      </c>
    </row>
    <row r="527" customHeight="1" spans="1:6">
      <c r="A527" s="6">
        <v>526</v>
      </c>
      <c r="B527" s="8" t="s">
        <v>2911</v>
      </c>
      <c r="C527" s="8" t="s">
        <v>2912</v>
      </c>
      <c r="D527" s="8" t="s">
        <v>2913</v>
      </c>
      <c r="E527" s="8" t="s">
        <v>1534</v>
      </c>
      <c r="F527" s="8" t="s">
        <v>2914</v>
      </c>
    </row>
    <row r="528" customHeight="1" spans="1:6">
      <c r="A528" s="6">
        <v>527</v>
      </c>
      <c r="B528" s="8" t="s">
        <v>2915</v>
      </c>
      <c r="C528" s="8" t="s">
        <v>2916</v>
      </c>
      <c r="D528" s="8" t="s">
        <v>2917</v>
      </c>
      <c r="E528" s="8" t="s">
        <v>1534</v>
      </c>
      <c r="F528" s="8" t="s">
        <v>2918</v>
      </c>
    </row>
    <row r="529" customHeight="1" spans="1:6">
      <c r="A529" s="6">
        <v>528</v>
      </c>
      <c r="B529" s="8" t="s">
        <v>2915</v>
      </c>
      <c r="C529" s="8" t="s">
        <v>2916</v>
      </c>
      <c r="D529" s="8" t="s">
        <v>2917</v>
      </c>
      <c r="E529" s="8" t="s">
        <v>1534</v>
      </c>
      <c r="F529" s="8" t="s">
        <v>2918</v>
      </c>
    </row>
    <row r="530" customHeight="1" spans="1:6">
      <c r="A530" s="6">
        <v>529</v>
      </c>
      <c r="B530" s="8" t="s">
        <v>2919</v>
      </c>
      <c r="C530" s="8" t="s">
        <v>2920</v>
      </c>
      <c r="D530" s="8" t="s">
        <v>2921</v>
      </c>
      <c r="E530" s="8" t="s">
        <v>1543</v>
      </c>
      <c r="F530" s="8" t="s">
        <v>2922</v>
      </c>
    </row>
    <row r="531" customHeight="1" spans="1:6">
      <c r="A531" s="6">
        <v>530</v>
      </c>
      <c r="B531" s="8" t="s">
        <v>2919</v>
      </c>
      <c r="C531" s="8" t="s">
        <v>2920</v>
      </c>
      <c r="D531" s="8" t="s">
        <v>2921</v>
      </c>
      <c r="E531" s="8" t="s">
        <v>1543</v>
      </c>
      <c r="F531" s="8" t="s">
        <v>2922</v>
      </c>
    </row>
    <row r="532" customHeight="1" spans="1:6">
      <c r="A532" s="6">
        <v>531</v>
      </c>
      <c r="B532" s="8" t="s">
        <v>2919</v>
      </c>
      <c r="C532" s="8" t="s">
        <v>2920</v>
      </c>
      <c r="D532" s="8" t="s">
        <v>2921</v>
      </c>
      <c r="E532" s="8" t="s">
        <v>1543</v>
      </c>
      <c r="F532" s="8" t="s">
        <v>2922</v>
      </c>
    </row>
    <row r="533" customHeight="1" spans="1:6">
      <c r="A533" s="6">
        <v>532</v>
      </c>
      <c r="B533" s="8" t="s">
        <v>2923</v>
      </c>
      <c r="C533" s="8" t="s">
        <v>2924</v>
      </c>
      <c r="D533" s="8" t="s">
        <v>2925</v>
      </c>
      <c r="E533" s="8" t="s">
        <v>1534</v>
      </c>
      <c r="F533" s="8" t="s">
        <v>2926</v>
      </c>
    </row>
    <row r="534" customHeight="1" spans="1:6">
      <c r="A534" s="6">
        <v>533</v>
      </c>
      <c r="B534" s="8" t="s">
        <v>2923</v>
      </c>
      <c r="C534" s="8" t="s">
        <v>2924</v>
      </c>
      <c r="D534" s="8" t="s">
        <v>2925</v>
      </c>
      <c r="E534" s="8" t="s">
        <v>1534</v>
      </c>
      <c r="F534" s="8" t="s">
        <v>2926</v>
      </c>
    </row>
    <row r="535" customHeight="1" spans="1:6">
      <c r="A535" s="6">
        <v>534</v>
      </c>
      <c r="B535" s="8" t="s">
        <v>2927</v>
      </c>
      <c r="C535" s="8" t="s">
        <v>2928</v>
      </c>
      <c r="D535" s="8" t="s">
        <v>2929</v>
      </c>
      <c r="E535" s="8" t="s">
        <v>311</v>
      </c>
      <c r="F535" s="8" t="s">
        <v>2930</v>
      </c>
    </row>
    <row r="536" customHeight="1" spans="1:6">
      <c r="A536" s="6">
        <v>535</v>
      </c>
      <c r="B536" s="8" t="s">
        <v>2927</v>
      </c>
      <c r="C536" s="8" t="s">
        <v>2928</v>
      </c>
      <c r="D536" s="8" t="s">
        <v>2929</v>
      </c>
      <c r="E536" s="8" t="s">
        <v>311</v>
      </c>
      <c r="F536" s="8" t="s">
        <v>2930</v>
      </c>
    </row>
    <row r="537" customHeight="1" spans="1:6">
      <c r="A537" s="6">
        <v>536</v>
      </c>
      <c r="B537" s="8" t="s">
        <v>2931</v>
      </c>
      <c r="C537" s="8" t="s">
        <v>2932</v>
      </c>
      <c r="D537" s="8" t="s">
        <v>2933</v>
      </c>
      <c r="E537" s="8" t="s">
        <v>311</v>
      </c>
      <c r="F537" s="8" t="s">
        <v>2934</v>
      </c>
    </row>
    <row r="538" customHeight="1" spans="1:6">
      <c r="A538" s="6">
        <v>537</v>
      </c>
      <c r="B538" s="8" t="s">
        <v>2931</v>
      </c>
      <c r="C538" s="8" t="s">
        <v>2932</v>
      </c>
      <c r="D538" s="8" t="s">
        <v>2933</v>
      </c>
      <c r="E538" s="8" t="s">
        <v>311</v>
      </c>
      <c r="F538" s="8" t="s">
        <v>2934</v>
      </c>
    </row>
    <row r="539" customHeight="1" spans="1:6">
      <c r="A539" s="6">
        <v>538</v>
      </c>
      <c r="B539" s="8" t="s">
        <v>2935</v>
      </c>
      <c r="C539" s="8" t="s">
        <v>2936</v>
      </c>
      <c r="D539" s="8" t="s">
        <v>2937</v>
      </c>
      <c r="E539" s="8" t="s">
        <v>239</v>
      </c>
      <c r="F539" s="8" t="s">
        <v>2938</v>
      </c>
    </row>
    <row r="540" customHeight="1" spans="1:6">
      <c r="A540" s="6">
        <v>539</v>
      </c>
      <c r="B540" s="8" t="s">
        <v>2935</v>
      </c>
      <c r="C540" s="8" t="s">
        <v>2936</v>
      </c>
      <c r="D540" s="8" t="s">
        <v>2937</v>
      </c>
      <c r="E540" s="8" t="s">
        <v>239</v>
      </c>
      <c r="F540" s="8" t="s">
        <v>2938</v>
      </c>
    </row>
    <row r="541" customHeight="1" spans="1:6">
      <c r="A541" s="6">
        <v>540</v>
      </c>
      <c r="B541" s="8" t="s">
        <v>2935</v>
      </c>
      <c r="C541" s="8" t="s">
        <v>2936</v>
      </c>
      <c r="D541" s="8" t="s">
        <v>2937</v>
      </c>
      <c r="E541" s="8" t="s">
        <v>239</v>
      </c>
      <c r="F541" s="8" t="s">
        <v>2938</v>
      </c>
    </row>
    <row r="542" customHeight="1" spans="1:6">
      <c r="A542" s="6">
        <v>541</v>
      </c>
      <c r="B542" s="8" t="s">
        <v>2939</v>
      </c>
      <c r="C542" s="8" t="s">
        <v>2940</v>
      </c>
      <c r="D542" s="8" t="s">
        <v>2941</v>
      </c>
      <c r="E542" s="8" t="s">
        <v>311</v>
      </c>
      <c r="F542" s="8" t="s">
        <v>2942</v>
      </c>
    </row>
    <row r="543" customHeight="1" spans="1:6">
      <c r="A543" s="6">
        <v>542</v>
      </c>
      <c r="B543" s="8" t="s">
        <v>2939</v>
      </c>
      <c r="C543" s="8" t="s">
        <v>2940</v>
      </c>
      <c r="D543" s="8" t="s">
        <v>2941</v>
      </c>
      <c r="E543" s="8" t="s">
        <v>311</v>
      </c>
      <c r="F543" s="8" t="s">
        <v>2942</v>
      </c>
    </row>
    <row r="544" customHeight="1" spans="1:6">
      <c r="A544" s="6">
        <v>543</v>
      </c>
      <c r="B544" s="8" t="s">
        <v>2943</v>
      </c>
      <c r="C544" s="8" t="s">
        <v>2944</v>
      </c>
      <c r="D544" s="8" t="s">
        <v>2945</v>
      </c>
      <c r="E544" s="8" t="s">
        <v>43</v>
      </c>
      <c r="F544" s="8" t="s">
        <v>2946</v>
      </c>
    </row>
    <row r="545" customHeight="1" spans="1:6">
      <c r="A545" s="6">
        <v>544</v>
      </c>
      <c r="B545" s="8" t="s">
        <v>2943</v>
      </c>
      <c r="C545" s="8" t="s">
        <v>2944</v>
      </c>
      <c r="D545" s="8" t="s">
        <v>2945</v>
      </c>
      <c r="E545" s="8" t="s">
        <v>43</v>
      </c>
      <c r="F545" s="8" t="s">
        <v>2946</v>
      </c>
    </row>
    <row r="546" customHeight="1" spans="1:6">
      <c r="A546" s="6">
        <v>545</v>
      </c>
      <c r="B546" s="8" t="s">
        <v>2947</v>
      </c>
      <c r="C546" s="8" t="s">
        <v>2948</v>
      </c>
      <c r="D546" s="8" t="s">
        <v>2949</v>
      </c>
      <c r="E546" s="8" t="s">
        <v>239</v>
      </c>
      <c r="F546" s="8" t="s">
        <v>2950</v>
      </c>
    </row>
    <row r="547" customHeight="1" spans="1:6">
      <c r="A547" s="6">
        <v>546</v>
      </c>
      <c r="B547" s="8" t="s">
        <v>2947</v>
      </c>
      <c r="C547" s="8" t="s">
        <v>2948</v>
      </c>
      <c r="D547" s="8" t="s">
        <v>2949</v>
      </c>
      <c r="E547" s="8" t="s">
        <v>239</v>
      </c>
      <c r="F547" s="8" t="s">
        <v>2950</v>
      </c>
    </row>
    <row r="548" customHeight="1" spans="1:6">
      <c r="A548" s="6">
        <v>547</v>
      </c>
      <c r="B548" s="8" t="s">
        <v>2951</v>
      </c>
      <c r="C548" s="8" t="s">
        <v>2952</v>
      </c>
      <c r="D548" s="8" t="s">
        <v>2953</v>
      </c>
      <c r="E548" s="8" t="s">
        <v>2284</v>
      </c>
      <c r="F548" s="8" t="s">
        <v>2954</v>
      </c>
    </row>
    <row r="549" customHeight="1" spans="1:6">
      <c r="A549" s="6">
        <v>548</v>
      </c>
      <c r="B549" s="8" t="s">
        <v>2951</v>
      </c>
      <c r="C549" s="8" t="s">
        <v>2952</v>
      </c>
      <c r="D549" s="8" t="s">
        <v>2953</v>
      </c>
      <c r="E549" s="8" t="s">
        <v>2284</v>
      </c>
      <c r="F549" s="8" t="s">
        <v>2954</v>
      </c>
    </row>
    <row r="550" customHeight="1" spans="1:6">
      <c r="A550" s="6">
        <v>549</v>
      </c>
      <c r="B550" s="7" t="str">
        <f>"978-7-5194-6005-1"</f>
        <v>978-7-5194-6005-1</v>
      </c>
      <c r="C550" s="7" t="str">
        <f>"中国区域发展：理论、战略与布局"</f>
        <v>中国区域发展：理论、战略与布局</v>
      </c>
      <c r="D550" s="7" t="str">
        <f>"肖金成著"</f>
        <v>肖金成著</v>
      </c>
      <c r="E550" s="7" t="str">
        <f>"光明日报出版社"</f>
        <v>光明日报出版社</v>
      </c>
      <c r="F550" s="7" t="str">
        <f>"F127-53/10"</f>
        <v>F127-53/10</v>
      </c>
    </row>
    <row r="551" customHeight="1" spans="1:6">
      <c r="A551" s="6">
        <v>550</v>
      </c>
      <c r="B551" s="7" t="str">
        <f>"978-7-5194-6005-1"</f>
        <v>978-7-5194-6005-1</v>
      </c>
      <c r="C551" s="7" t="str">
        <f>"中国区域发展：理论、战略与布局"</f>
        <v>中国区域发展：理论、战略与布局</v>
      </c>
      <c r="D551" s="7" t="str">
        <f>"肖金成著"</f>
        <v>肖金成著</v>
      </c>
      <c r="E551" s="7" t="str">
        <f>"光明日报出版社"</f>
        <v>光明日报出版社</v>
      </c>
      <c r="F551" s="7" t="str">
        <f>"F127-53/10"</f>
        <v>F127-53/10</v>
      </c>
    </row>
    <row r="552" customHeight="1" spans="1:6">
      <c r="A552" s="6">
        <v>551</v>
      </c>
      <c r="B552" s="8" t="s">
        <v>2955</v>
      </c>
      <c r="C552" s="8" t="s">
        <v>2956</v>
      </c>
      <c r="D552" s="8" t="s">
        <v>2957</v>
      </c>
      <c r="E552" s="8" t="s">
        <v>43</v>
      </c>
      <c r="F552" s="8" t="s">
        <v>2958</v>
      </c>
    </row>
    <row r="553" customHeight="1" spans="1:6">
      <c r="A553" s="6">
        <v>552</v>
      </c>
      <c r="B553" s="8" t="s">
        <v>2955</v>
      </c>
      <c r="C553" s="8" t="s">
        <v>2956</v>
      </c>
      <c r="D553" s="8" t="s">
        <v>2957</v>
      </c>
      <c r="E553" s="8" t="s">
        <v>43</v>
      </c>
      <c r="F553" s="8" t="s">
        <v>2959</v>
      </c>
    </row>
    <row r="554" customHeight="1" spans="1:6">
      <c r="A554" s="6">
        <v>553</v>
      </c>
      <c r="B554" s="8" t="s">
        <v>2955</v>
      </c>
      <c r="C554" s="8" t="s">
        <v>2960</v>
      </c>
      <c r="D554" s="8" t="s">
        <v>2957</v>
      </c>
      <c r="E554" s="8" t="s">
        <v>43</v>
      </c>
      <c r="F554" s="8" t="s">
        <v>2961</v>
      </c>
    </row>
    <row r="555" customHeight="1" spans="1:6">
      <c r="A555" s="6">
        <v>554</v>
      </c>
      <c r="B555" s="8" t="s">
        <v>2955</v>
      </c>
      <c r="C555" s="8" t="s">
        <v>2960</v>
      </c>
      <c r="D555" s="8" t="s">
        <v>2957</v>
      </c>
      <c r="E555" s="8" t="s">
        <v>43</v>
      </c>
      <c r="F555" s="8" t="s">
        <v>2962</v>
      </c>
    </row>
    <row r="556" customHeight="1" spans="1:6">
      <c r="A556" s="6">
        <v>555</v>
      </c>
      <c r="B556" s="8" t="s">
        <v>2955</v>
      </c>
      <c r="C556" s="8" t="s">
        <v>2963</v>
      </c>
      <c r="D556" s="8" t="s">
        <v>2957</v>
      </c>
      <c r="E556" s="8" t="s">
        <v>43</v>
      </c>
      <c r="F556" s="8" t="s">
        <v>2964</v>
      </c>
    </row>
    <row r="557" customHeight="1" spans="1:6">
      <c r="A557" s="6">
        <v>556</v>
      </c>
      <c r="B557" s="8" t="s">
        <v>2955</v>
      </c>
      <c r="C557" s="8" t="s">
        <v>2963</v>
      </c>
      <c r="D557" s="8" t="s">
        <v>2957</v>
      </c>
      <c r="E557" s="8" t="s">
        <v>43</v>
      </c>
      <c r="F557" s="8" t="s">
        <v>2965</v>
      </c>
    </row>
    <row r="558" customHeight="1" spans="1:6">
      <c r="A558" s="6">
        <v>557</v>
      </c>
      <c r="B558" s="8" t="s">
        <v>2966</v>
      </c>
      <c r="C558" s="8" t="s">
        <v>2967</v>
      </c>
      <c r="D558" s="8" t="s">
        <v>2968</v>
      </c>
      <c r="E558" s="8" t="s">
        <v>311</v>
      </c>
      <c r="F558" s="8" t="s">
        <v>2969</v>
      </c>
    </row>
    <row r="559" customHeight="1" spans="1:6">
      <c r="A559" s="6">
        <v>558</v>
      </c>
      <c r="B559" s="8" t="s">
        <v>2966</v>
      </c>
      <c r="C559" s="8" t="s">
        <v>2967</v>
      </c>
      <c r="D559" s="8" t="s">
        <v>2968</v>
      </c>
      <c r="E559" s="8" t="s">
        <v>311</v>
      </c>
      <c r="F559" s="8" t="s">
        <v>2969</v>
      </c>
    </row>
    <row r="560" customHeight="1" spans="1:6">
      <c r="A560" s="6">
        <v>559</v>
      </c>
      <c r="B560" s="8" t="s">
        <v>2970</v>
      </c>
      <c r="C560" s="8" t="s">
        <v>2971</v>
      </c>
      <c r="D560" s="8" t="s">
        <v>2972</v>
      </c>
      <c r="E560" s="8" t="s">
        <v>311</v>
      </c>
      <c r="F560" s="8" t="s">
        <v>2973</v>
      </c>
    </row>
    <row r="561" customHeight="1" spans="1:6">
      <c r="A561" s="6">
        <v>560</v>
      </c>
      <c r="B561" s="8" t="s">
        <v>2970</v>
      </c>
      <c r="C561" s="8" t="s">
        <v>2971</v>
      </c>
      <c r="D561" s="8" t="s">
        <v>2972</v>
      </c>
      <c r="E561" s="8" t="s">
        <v>311</v>
      </c>
      <c r="F561" s="8" t="s">
        <v>2973</v>
      </c>
    </row>
    <row r="562" customHeight="1" spans="1:6">
      <c r="A562" s="6">
        <v>561</v>
      </c>
      <c r="B562" s="8" t="s">
        <v>2974</v>
      </c>
      <c r="C562" s="8" t="s">
        <v>2975</v>
      </c>
      <c r="D562" s="8" t="s">
        <v>2976</v>
      </c>
      <c r="E562" s="8" t="s">
        <v>311</v>
      </c>
      <c r="F562" s="8" t="s">
        <v>2977</v>
      </c>
    </row>
    <row r="563" customHeight="1" spans="1:6">
      <c r="A563" s="6">
        <v>562</v>
      </c>
      <c r="B563" s="8" t="s">
        <v>2974</v>
      </c>
      <c r="C563" s="8" t="s">
        <v>2975</v>
      </c>
      <c r="D563" s="8" t="s">
        <v>2976</v>
      </c>
      <c r="E563" s="8" t="s">
        <v>311</v>
      </c>
      <c r="F563" s="8" t="s">
        <v>2977</v>
      </c>
    </row>
    <row r="564" customHeight="1" spans="1:6">
      <c r="A564" s="6">
        <v>563</v>
      </c>
      <c r="B564" s="8" t="s">
        <v>2978</v>
      </c>
      <c r="C564" s="8" t="s">
        <v>2979</v>
      </c>
      <c r="D564" s="8" t="s">
        <v>2980</v>
      </c>
      <c r="E564" s="8" t="s">
        <v>311</v>
      </c>
      <c r="F564" s="8" t="s">
        <v>2981</v>
      </c>
    </row>
    <row r="565" customHeight="1" spans="1:6">
      <c r="A565" s="6">
        <v>564</v>
      </c>
      <c r="B565" s="8" t="s">
        <v>2978</v>
      </c>
      <c r="C565" s="8" t="s">
        <v>2979</v>
      </c>
      <c r="D565" s="8" t="s">
        <v>2980</v>
      </c>
      <c r="E565" s="8" t="s">
        <v>311</v>
      </c>
      <c r="F565" s="8" t="s">
        <v>2981</v>
      </c>
    </row>
    <row r="566" customHeight="1" spans="1:6">
      <c r="A566" s="6">
        <v>565</v>
      </c>
      <c r="B566" s="8" t="s">
        <v>2982</v>
      </c>
      <c r="C566" s="8" t="s">
        <v>2983</v>
      </c>
      <c r="D566" s="8" t="s">
        <v>2984</v>
      </c>
      <c r="E566" s="8" t="s">
        <v>311</v>
      </c>
      <c r="F566" s="8" t="s">
        <v>2985</v>
      </c>
    </row>
    <row r="567" customHeight="1" spans="1:6">
      <c r="A567" s="6">
        <v>566</v>
      </c>
      <c r="B567" s="8" t="s">
        <v>2982</v>
      </c>
      <c r="C567" s="8" t="s">
        <v>2983</v>
      </c>
      <c r="D567" s="8" t="s">
        <v>2984</v>
      </c>
      <c r="E567" s="8" t="s">
        <v>311</v>
      </c>
      <c r="F567" s="8" t="s">
        <v>2985</v>
      </c>
    </row>
    <row r="568" customHeight="1" spans="1:6">
      <c r="A568" s="6">
        <v>567</v>
      </c>
      <c r="B568" s="8" t="s">
        <v>2986</v>
      </c>
      <c r="C568" s="8" t="s">
        <v>2987</v>
      </c>
      <c r="D568" s="8" t="s">
        <v>2988</v>
      </c>
      <c r="E568" s="8" t="s">
        <v>340</v>
      </c>
      <c r="F568" s="8" t="s">
        <v>2989</v>
      </c>
    </row>
    <row r="569" customHeight="1" spans="1:6">
      <c r="A569" s="6">
        <v>568</v>
      </c>
      <c r="B569" s="8" t="s">
        <v>2986</v>
      </c>
      <c r="C569" s="8" t="s">
        <v>2987</v>
      </c>
      <c r="D569" s="8" t="s">
        <v>2988</v>
      </c>
      <c r="E569" s="8" t="s">
        <v>340</v>
      </c>
      <c r="F569" s="8" t="s">
        <v>2989</v>
      </c>
    </row>
    <row r="570" customHeight="1" spans="1:6">
      <c r="A570" s="6">
        <v>569</v>
      </c>
      <c r="B570" s="8" t="s">
        <v>2990</v>
      </c>
      <c r="C570" s="8" t="s">
        <v>2991</v>
      </c>
      <c r="D570" s="8" t="s">
        <v>2992</v>
      </c>
      <c r="E570" s="8" t="s">
        <v>710</v>
      </c>
      <c r="F570" s="8" t="s">
        <v>2993</v>
      </c>
    </row>
    <row r="571" customHeight="1" spans="1:6">
      <c r="A571" s="6">
        <v>570</v>
      </c>
      <c r="B571" s="8" t="s">
        <v>2990</v>
      </c>
      <c r="C571" s="8" t="s">
        <v>2991</v>
      </c>
      <c r="D571" s="8" t="s">
        <v>2992</v>
      </c>
      <c r="E571" s="8" t="s">
        <v>710</v>
      </c>
      <c r="F571" s="8" t="s">
        <v>2993</v>
      </c>
    </row>
    <row r="572" customHeight="1" spans="1:6">
      <c r="A572" s="6">
        <v>571</v>
      </c>
      <c r="B572" s="8" t="s">
        <v>2990</v>
      </c>
      <c r="C572" s="8" t="s">
        <v>2991</v>
      </c>
      <c r="D572" s="8" t="s">
        <v>2992</v>
      </c>
      <c r="E572" s="8" t="s">
        <v>710</v>
      </c>
      <c r="F572" s="8" t="s">
        <v>2993</v>
      </c>
    </row>
    <row r="573" customHeight="1" spans="1:6">
      <c r="A573" s="6">
        <v>572</v>
      </c>
      <c r="B573" s="8" t="s">
        <v>2994</v>
      </c>
      <c r="C573" s="8" t="s">
        <v>2995</v>
      </c>
      <c r="D573" s="8" t="s">
        <v>2996</v>
      </c>
      <c r="E573" s="8" t="s">
        <v>1967</v>
      </c>
      <c r="F573" s="8" t="s">
        <v>2997</v>
      </c>
    </row>
    <row r="574" customHeight="1" spans="1:6">
      <c r="A574" s="6">
        <v>573</v>
      </c>
      <c r="B574" s="8" t="s">
        <v>2994</v>
      </c>
      <c r="C574" s="8" t="s">
        <v>2998</v>
      </c>
      <c r="D574" s="8" t="s">
        <v>2996</v>
      </c>
      <c r="E574" s="8" t="s">
        <v>1967</v>
      </c>
      <c r="F574" s="8" t="s">
        <v>2999</v>
      </c>
    </row>
    <row r="575" customHeight="1" spans="1:6">
      <c r="A575" s="6">
        <v>574</v>
      </c>
      <c r="B575" s="8" t="s">
        <v>2994</v>
      </c>
      <c r="C575" s="8" t="s">
        <v>3000</v>
      </c>
      <c r="D575" s="8" t="s">
        <v>2996</v>
      </c>
      <c r="E575" s="8" t="s">
        <v>1967</v>
      </c>
      <c r="F575" s="8" t="s">
        <v>3001</v>
      </c>
    </row>
    <row r="576" customHeight="1" spans="1:6">
      <c r="A576" s="6">
        <v>575</v>
      </c>
      <c r="B576" s="8" t="s">
        <v>3002</v>
      </c>
      <c r="C576" s="8" t="s">
        <v>3003</v>
      </c>
      <c r="D576" s="13"/>
      <c r="E576" s="8" t="s">
        <v>3004</v>
      </c>
      <c r="F576" s="8" t="s">
        <v>3005</v>
      </c>
    </row>
    <row r="577" customHeight="1" spans="1:6">
      <c r="A577" s="6">
        <v>576</v>
      </c>
      <c r="B577" s="8" t="s">
        <v>3006</v>
      </c>
      <c r="C577" s="8" t="s">
        <v>3007</v>
      </c>
      <c r="D577" s="13"/>
      <c r="E577" s="8" t="s">
        <v>3004</v>
      </c>
      <c r="F577" s="8" t="s">
        <v>3008</v>
      </c>
    </row>
    <row r="578" customHeight="1" spans="1:6">
      <c r="A578" s="6">
        <v>577</v>
      </c>
      <c r="B578" s="8" t="s">
        <v>3009</v>
      </c>
      <c r="C578" s="8" t="s">
        <v>3010</v>
      </c>
      <c r="D578" s="8" t="s">
        <v>3011</v>
      </c>
      <c r="E578" s="8" t="s">
        <v>33</v>
      </c>
      <c r="F578" s="8" t="s">
        <v>3012</v>
      </c>
    </row>
    <row r="579" customHeight="1" spans="1:6">
      <c r="A579" s="6">
        <v>578</v>
      </c>
      <c r="B579" s="8" t="s">
        <v>3009</v>
      </c>
      <c r="C579" s="8" t="s">
        <v>3010</v>
      </c>
      <c r="D579" s="8" t="s">
        <v>3011</v>
      </c>
      <c r="E579" s="8" t="s">
        <v>33</v>
      </c>
      <c r="F579" s="8" t="s">
        <v>3012</v>
      </c>
    </row>
    <row r="580" customHeight="1" spans="1:6">
      <c r="A580" s="6">
        <v>579</v>
      </c>
      <c r="B580" s="8" t="s">
        <v>3013</v>
      </c>
      <c r="C580" s="8" t="s">
        <v>3014</v>
      </c>
      <c r="D580" s="8" t="s">
        <v>3015</v>
      </c>
      <c r="E580" s="8" t="s">
        <v>256</v>
      </c>
      <c r="F580" s="8" t="s">
        <v>3016</v>
      </c>
    </row>
    <row r="581" customHeight="1" spans="1:6">
      <c r="A581" s="6">
        <v>580</v>
      </c>
      <c r="B581" s="8" t="s">
        <v>3013</v>
      </c>
      <c r="C581" s="8" t="s">
        <v>3014</v>
      </c>
      <c r="D581" s="8" t="s">
        <v>3015</v>
      </c>
      <c r="E581" s="8" t="s">
        <v>256</v>
      </c>
      <c r="F581" s="8" t="s">
        <v>3016</v>
      </c>
    </row>
    <row r="582" customHeight="1" spans="1:6">
      <c r="A582" s="6">
        <v>581</v>
      </c>
      <c r="B582" s="8" t="s">
        <v>3013</v>
      </c>
      <c r="C582" s="8" t="s">
        <v>3014</v>
      </c>
      <c r="D582" s="8" t="s">
        <v>3015</v>
      </c>
      <c r="E582" s="8" t="s">
        <v>256</v>
      </c>
      <c r="F582" s="8" t="s">
        <v>3016</v>
      </c>
    </row>
    <row r="583" customHeight="1" spans="1:6">
      <c r="A583" s="6">
        <v>582</v>
      </c>
      <c r="B583" s="8" t="s">
        <v>3017</v>
      </c>
      <c r="C583" s="8" t="s">
        <v>3018</v>
      </c>
      <c r="D583" s="8" t="s">
        <v>3019</v>
      </c>
      <c r="E583" s="8" t="s">
        <v>53</v>
      </c>
      <c r="F583" s="8" t="s">
        <v>3020</v>
      </c>
    </row>
    <row r="584" customHeight="1" spans="1:6">
      <c r="A584" s="6">
        <v>583</v>
      </c>
      <c r="B584" s="8" t="s">
        <v>3017</v>
      </c>
      <c r="C584" s="8" t="s">
        <v>3018</v>
      </c>
      <c r="D584" s="8" t="s">
        <v>3019</v>
      </c>
      <c r="E584" s="8" t="s">
        <v>53</v>
      </c>
      <c r="F584" s="8" t="s">
        <v>3020</v>
      </c>
    </row>
    <row r="585" customHeight="1" spans="1:6">
      <c r="A585" s="6">
        <v>584</v>
      </c>
      <c r="B585" s="8" t="s">
        <v>3021</v>
      </c>
      <c r="C585" s="8" t="s">
        <v>3022</v>
      </c>
      <c r="D585" s="8" t="s">
        <v>3023</v>
      </c>
      <c r="E585" s="8" t="s">
        <v>33</v>
      </c>
      <c r="F585" s="8" t="s">
        <v>3024</v>
      </c>
    </row>
    <row r="586" customHeight="1" spans="1:6">
      <c r="A586" s="6">
        <v>585</v>
      </c>
      <c r="B586" s="8" t="s">
        <v>3021</v>
      </c>
      <c r="C586" s="8" t="s">
        <v>3022</v>
      </c>
      <c r="D586" s="8" t="s">
        <v>3023</v>
      </c>
      <c r="E586" s="8" t="s">
        <v>33</v>
      </c>
      <c r="F586" s="8" t="s">
        <v>3024</v>
      </c>
    </row>
    <row r="587" customHeight="1" spans="1:6">
      <c r="A587" s="6">
        <v>586</v>
      </c>
      <c r="B587" s="8" t="s">
        <v>3025</v>
      </c>
      <c r="C587" s="8" t="s">
        <v>3026</v>
      </c>
      <c r="D587" s="8" t="s">
        <v>3027</v>
      </c>
      <c r="E587" s="8" t="s">
        <v>2284</v>
      </c>
      <c r="F587" s="8" t="s">
        <v>3028</v>
      </c>
    </row>
    <row r="588" customHeight="1" spans="1:6">
      <c r="A588" s="6">
        <v>587</v>
      </c>
      <c r="B588" s="8" t="s">
        <v>3025</v>
      </c>
      <c r="C588" s="8" t="s">
        <v>3026</v>
      </c>
      <c r="D588" s="8" t="s">
        <v>3027</v>
      </c>
      <c r="E588" s="8" t="s">
        <v>2284</v>
      </c>
      <c r="F588" s="8" t="s">
        <v>3028</v>
      </c>
    </row>
    <row r="589" customHeight="1" spans="1:6">
      <c r="A589" s="6">
        <v>588</v>
      </c>
      <c r="B589" s="8" t="s">
        <v>3029</v>
      </c>
      <c r="C589" s="8" t="s">
        <v>3030</v>
      </c>
      <c r="D589" s="8" t="s">
        <v>3031</v>
      </c>
      <c r="E589" s="8" t="s">
        <v>2284</v>
      </c>
      <c r="F589" s="8" t="s">
        <v>3032</v>
      </c>
    </row>
    <row r="590" customHeight="1" spans="1:6">
      <c r="A590" s="6">
        <v>589</v>
      </c>
      <c r="B590" s="8" t="s">
        <v>3029</v>
      </c>
      <c r="C590" s="8" t="s">
        <v>3030</v>
      </c>
      <c r="D590" s="8" t="s">
        <v>3031</v>
      </c>
      <c r="E590" s="8" t="s">
        <v>2284</v>
      </c>
      <c r="F590" s="8" t="s">
        <v>3032</v>
      </c>
    </row>
    <row r="591" customHeight="1" spans="1:6">
      <c r="A591" s="6">
        <v>590</v>
      </c>
      <c r="B591" s="7" t="str">
        <f t="shared" ref="B591:B594" si="48">"978-7-300-29575-6"</f>
        <v>978-7-300-29575-6</v>
      </c>
      <c r="C591" s="7" t="str">
        <f>"剑桥欧洲经济史：1700年至今．vol.1 1700-1870：1700 to the present"</f>
        <v>剑桥欧洲经济史：1700年至今．vol.1 1700-1870：1700 to the present</v>
      </c>
      <c r="D591" s="7" t="str">
        <f t="shared" ref="D591:D594" si="49">"斯蒂芬·布劳德伯利， 凯文·H. 奥罗克编著Stephen Broadberry， Kevin H. O'Rourke；张敏， 孔尚会译"</f>
        <v>斯蒂芬·布劳德伯利， 凯文·H. 奥罗克编著Stephen Broadberry， Kevin H. O'Rourke；张敏， 孔尚会译</v>
      </c>
      <c r="E591" s="7" t="str">
        <f t="shared" ref="E591:E594" si="50">"中国人民大学出版社"</f>
        <v>中国人民大学出版社</v>
      </c>
      <c r="F591" s="7" t="str">
        <f>"F150.9/9/1"</f>
        <v>F150.9/9/1</v>
      </c>
    </row>
    <row r="592" customHeight="1" spans="1:6">
      <c r="A592" s="6">
        <v>591</v>
      </c>
      <c r="B592" s="7" t="str">
        <f t="shared" si="48"/>
        <v>978-7-300-29575-6</v>
      </c>
      <c r="C592" s="7" t="str">
        <f>"剑桥欧洲经济史：1700年至今．vol.1 1700-1870：1700 to the present"</f>
        <v>剑桥欧洲经济史：1700年至今．vol.1 1700-1870：1700 to the present</v>
      </c>
      <c r="D592" s="7" t="str">
        <f t="shared" si="49"/>
        <v>斯蒂芬·布劳德伯利， 凯文·H. 奥罗克编著Stephen Broadberry， Kevin H. O'Rourke；张敏， 孔尚会译</v>
      </c>
      <c r="E592" s="7" t="str">
        <f t="shared" si="50"/>
        <v>中国人民大学出版社</v>
      </c>
      <c r="F592" s="7" t="str">
        <f>"F150.9/9/1"</f>
        <v>F150.9/9/1</v>
      </c>
    </row>
    <row r="593" customHeight="1" spans="1:6">
      <c r="A593" s="6">
        <v>592</v>
      </c>
      <c r="B593" s="7" t="str">
        <f t="shared" si="48"/>
        <v>978-7-300-29575-6</v>
      </c>
      <c r="C593" s="7" t="str">
        <f>"剑桥欧洲经济史：1700年至今．vol.2 1870年至今：1700 to the present"</f>
        <v>剑桥欧洲经济史：1700年至今．vol.2 1870年至今：1700 to the present</v>
      </c>
      <c r="D593" s="7" t="str">
        <f t="shared" si="49"/>
        <v>斯蒂芬·布劳德伯利， 凯文·H. 奥罗克编著Stephen Broadberry， Kevin H. O'Rourke；张敏， 孔尚会译</v>
      </c>
      <c r="E593" s="7" t="str">
        <f t="shared" si="50"/>
        <v>中国人民大学出版社</v>
      </c>
      <c r="F593" s="7" t="str">
        <f>"F150.9/9/2"</f>
        <v>F150.9/9/2</v>
      </c>
    </row>
    <row r="594" customHeight="1" spans="1:6">
      <c r="A594" s="6">
        <v>593</v>
      </c>
      <c r="B594" s="7" t="str">
        <f t="shared" si="48"/>
        <v>978-7-300-29575-6</v>
      </c>
      <c r="C594" s="7" t="str">
        <f>"剑桥欧洲经济史：1700年至今．vol.2 1870年至今：1700 to the present"</f>
        <v>剑桥欧洲经济史：1700年至今．vol.2 1870年至今：1700 to the present</v>
      </c>
      <c r="D594" s="7" t="str">
        <f t="shared" si="49"/>
        <v>斯蒂芬·布劳德伯利， 凯文·H. 奥罗克编著Stephen Broadberry， Kevin H. O'Rourke；张敏， 孔尚会译</v>
      </c>
      <c r="E594" s="7" t="str">
        <f t="shared" si="50"/>
        <v>中国人民大学出版社</v>
      </c>
      <c r="F594" s="7" t="str">
        <f>"F150.9/9/2"</f>
        <v>F150.9/9/2</v>
      </c>
    </row>
    <row r="595" customHeight="1" spans="1:6">
      <c r="A595" s="6">
        <v>594</v>
      </c>
      <c r="B595" s="8" t="s">
        <v>2054</v>
      </c>
      <c r="C595" s="8" t="s">
        <v>3033</v>
      </c>
      <c r="D595" s="8" t="s">
        <v>3034</v>
      </c>
      <c r="E595" s="8" t="s">
        <v>2057</v>
      </c>
      <c r="F595" s="8" t="s">
        <v>3035</v>
      </c>
    </row>
    <row r="596" customHeight="1" spans="1:6">
      <c r="A596" s="6">
        <v>595</v>
      </c>
      <c r="B596" s="8" t="s">
        <v>3036</v>
      </c>
      <c r="C596" s="8" t="s">
        <v>3037</v>
      </c>
      <c r="D596" s="8" t="s">
        <v>3027</v>
      </c>
      <c r="E596" s="8" t="s">
        <v>2284</v>
      </c>
      <c r="F596" s="8" t="s">
        <v>3038</v>
      </c>
    </row>
    <row r="597" customHeight="1" spans="1:6">
      <c r="A597" s="6">
        <v>596</v>
      </c>
      <c r="B597" s="8" t="s">
        <v>3036</v>
      </c>
      <c r="C597" s="8" t="s">
        <v>3037</v>
      </c>
      <c r="D597" s="8" t="s">
        <v>3027</v>
      </c>
      <c r="E597" s="8" t="s">
        <v>2284</v>
      </c>
      <c r="F597" s="8" t="s">
        <v>3038</v>
      </c>
    </row>
    <row r="598" customHeight="1" spans="1:6">
      <c r="A598" s="6">
        <v>597</v>
      </c>
      <c r="B598" s="8" t="s">
        <v>3039</v>
      </c>
      <c r="C598" s="8" t="s">
        <v>3040</v>
      </c>
      <c r="D598" s="8" t="s">
        <v>3041</v>
      </c>
      <c r="E598" s="8" t="s">
        <v>2212</v>
      </c>
      <c r="F598" s="8" t="s">
        <v>3042</v>
      </c>
    </row>
    <row r="599" customHeight="1" spans="1:6">
      <c r="A599" s="6">
        <v>598</v>
      </c>
      <c r="B599" s="8" t="s">
        <v>3039</v>
      </c>
      <c r="C599" s="8" t="s">
        <v>3040</v>
      </c>
      <c r="D599" s="8" t="s">
        <v>3041</v>
      </c>
      <c r="E599" s="8" t="s">
        <v>2212</v>
      </c>
      <c r="F599" s="8" t="s">
        <v>3042</v>
      </c>
    </row>
    <row r="600" customHeight="1" spans="1:6">
      <c r="A600" s="6">
        <v>599</v>
      </c>
      <c r="B600" s="7" t="str">
        <f>"978-7-5760-1499-0"</f>
        <v>978-7-5760-1499-0</v>
      </c>
      <c r="C600" s="7" t="str">
        <f>"创新引领世界：美国创新和竞争力战略：American innovation andcompetitiveness strategy"</f>
        <v>创新引领世界：美国创新和竞争力战略：American innovation andcompetitiveness strategy</v>
      </c>
      <c r="D600" s="7" t="str">
        <f>"赵中建主编"</f>
        <v>赵中建主编</v>
      </c>
      <c r="E600" s="7" t="str">
        <f>"华东师范大学出版社"</f>
        <v>华东师范大学出版社</v>
      </c>
      <c r="F600" s="7" t="str">
        <f>"F171.243/2"</f>
        <v>F171.243/2</v>
      </c>
    </row>
    <row r="601" customHeight="1" spans="1:6">
      <c r="A601" s="6">
        <v>600</v>
      </c>
      <c r="B601" s="7" t="str">
        <f>"978-7-5760-1499-0"</f>
        <v>978-7-5760-1499-0</v>
      </c>
      <c r="C601" s="7" t="str">
        <f>"创新引领世界：美国创新和竞争力战略：American innovation andcompetitiveness strategy"</f>
        <v>创新引领世界：美国创新和竞争力战略：American innovation andcompetitiveness strategy</v>
      </c>
      <c r="D601" s="7" t="str">
        <f>"赵中建主编"</f>
        <v>赵中建主编</v>
      </c>
      <c r="E601" s="7" t="str">
        <f>"华东师范大学出版社"</f>
        <v>华东师范大学出版社</v>
      </c>
      <c r="F601" s="7" t="str">
        <f>"F171.243/2"</f>
        <v>F171.243/2</v>
      </c>
    </row>
    <row r="602" customHeight="1" spans="1:6">
      <c r="A602" s="6">
        <v>601</v>
      </c>
      <c r="B602" s="7" t="str">
        <f>"978-7-213-10014-7"</f>
        <v>978-7-213-10014-7</v>
      </c>
      <c r="C602" s="7" t="str">
        <f>"天才与狂徒"</f>
        <v>天才与狂徒</v>
      </c>
      <c r="D602" s="7" t="str">
        <f>"(英) 西蒙·温切斯特著Simon Winchester；文家欣译"</f>
        <v>(英) 西蒙·温切斯特著Simon Winchester；文家欣译</v>
      </c>
      <c r="E602" s="7" t="str">
        <f>"浙江人民出版社"</f>
        <v>浙江人民出版社</v>
      </c>
      <c r="F602" s="7" t="str">
        <f>"F171.295/6"</f>
        <v>F171.295/6</v>
      </c>
    </row>
    <row r="603" customHeight="1" spans="1:6">
      <c r="A603" s="6">
        <v>602</v>
      </c>
      <c r="B603" s="7" t="str">
        <f>"978-7-213-10014-7"</f>
        <v>978-7-213-10014-7</v>
      </c>
      <c r="C603" s="7" t="str">
        <f>"天才与狂徒"</f>
        <v>天才与狂徒</v>
      </c>
      <c r="D603" s="7" t="str">
        <f>"(英) 西蒙·温切斯特著Simon Winchester；文家欣译"</f>
        <v>(英) 西蒙·温切斯特著Simon Winchester；文家欣译</v>
      </c>
      <c r="E603" s="7" t="str">
        <f>"浙江人民出版社"</f>
        <v>浙江人民出版社</v>
      </c>
      <c r="F603" s="7" t="str">
        <f>"F171.295/6"</f>
        <v>F171.295/6</v>
      </c>
    </row>
    <row r="604" customHeight="1" spans="1:6">
      <c r="A604" s="6">
        <v>603</v>
      </c>
      <c r="B604" s="8" t="s">
        <v>3043</v>
      </c>
      <c r="C604" s="8" t="s">
        <v>3044</v>
      </c>
      <c r="D604" s="8" t="s">
        <v>3045</v>
      </c>
      <c r="E604" s="8" t="s">
        <v>675</v>
      </c>
      <c r="F604" s="8" t="s">
        <v>3046</v>
      </c>
    </row>
    <row r="605" customHeight="1" spans="1:6">
      <c r="A605" s="6">
        <v>604</v>
      </c>
      <c r="B605" s="8" t="s">
        <v>3043</v>
      </c>
      <c r="C605" s="8" t="s">
        <v>3044</v>
      </c>
      <c r="D605" s="8" t="s">
        <v>3045</v>
      </c>
      <c r="E605" s="8" t="s">
        <v>675</v>
      </c>
      <c r="F605" s="8" t="s">
        <v>3046</v>
      </c>
    </row>
    <row r="606" customHeight="1" spans="1:6">
      <c r="A606" s="6">
        <v>605</v>
      </c>
      <c r="B606" s="8" t="s">
        <v>3043</v>
      </c>
      <c r="C606" s="8" t="s">
        <v>3044</v>
      </c>
      <c r="D606" s="8" t="s">
        <v>3045</v>
      </c>
      <c r="E606" s="8" t="s">
        <v>675</v>
      </c>
      <c r="F606" s="8" t="s">
        <v>3046</v>
      </c>
    </row>
    <row r="607" customHeight="1" spans="1:6">
      <c r="A607" s="6">
        <v>606</v>
      </c>
      <c r="B607" s="7" t="str">
        <f>"978-7-5217-2921-4"</f>
        <v>978-7-5217-2921-4</v>
      </c>
      <c r="C607" s="7" t="str">
        <f>"财富的未来：技术变革时代的新经济体系与价值重塑"</f>
        <v>财富的未来：技术变革时代的新经济体系与价值重塑</v>
      </c>
      <c r="D607" s="7" t="str">
        <f>"(日) 佐藤航阳著；殷雨涵译"</f>
        <v>(日) 佐藤航阳著；殷雨涵译</v>
      </c>
      <c r="E607" s="7" t="str">
        <f>"中信出版集团股份有限公司"</f>
        <v>中信出版集团股份有限公司</v>
      </c>
      <c r="F607" s="7" t="str">
        <f>"F20/160"</f>
        <v>F20/160</v>
      </c>
    </row>
    <row r="608" customHeight="1" spans="1:6">
      <c r="A608" s="6">
        <v>607</v>
      </c>
      <c r="B608" s="7" t="str">
        <f>"978-7-5217-2921-4"</f>
        <v>978-7-5217-2921-4</v>
      </c>
      <c r="C608" s="7" t="str">
        <f>"财富的未来：技术变革时代的新经济体系与价值重塑"</f>
        <v>财富的未来：技术变革时代的新经济体系与价值重塑</v>
      </c>
      <c r="D608" s="7" t="str">
        <f>"(日) 佐藤航阳著；殷雨涵译"</f>
        <v>(日) 佐藤航阳著；殷雨涵译</v>
      </c>
      <c r="E608" s="7" t="str">
        <f>"中信出版集团股份有限公司"</f>
        <v>中信出版集团股份有限公司</v>
      </c>
      <c r="F608" s="7" t="str">
        <f>"F20/160"</f>
        <v>F20/160</v>
      </c>
    </row>
    <row r="609" customHeight="1" spans="1:6">
      <c r="A609" s="6">
        <v>608</v>
      </c>
      <c r="B609" s="8" t="s">
        <v>3047</v>
      </c>
      <c r="C609" s="8" t="s">
        <v>3048</v>
      </c>
      <c r="D609" s="8" t="s">
        <v>3049</v>
      </c>
      <c r="E609" s="8" t="s">
        <v>485</v>
      </c>
      <c r="F609" s="8" t="s">
        <v>3050</v>
      </c>
    </row>
    <row r="610" customHeight="1" spans="1:6">
      <c r="A610" s="6">
        <v>609</v>
      </c>
      <c r="B610" s="8" t="s">
        <v>3047</v>
      </c>
      <c r="C610" s="8" t="s">
        <v>3048</v>
      </c>
      <c r="D610" s="8" t="s">
        <v>3049</v>
      </c>
      <c r="E610" s="8" t="s">
        <v>485</v>
      </c>
      <c r="F610" s="8" t="s">
        <v>3050</v>
      </c>
    </row>
    <row r="611" customHeight="1" spans="1:6">
      <c r="A611" s="6">
        <v>610</v>
      </c>
      <c r="B611" s="8" t="s">
        <v>3051</v>
      </c>
      <c r="C611" s="8" t="s">
        <v>3052</v>
      </c>
      <c r="D611" s="8" t="s">
        <v>3053</v>
      </c>
      <c r="E611" s="8" t="s">
        <v>311</v>
      </c>
      <c r="F611" s="8" t="s">
        <v>3054</v>
      </c>
    </row>
    <row r="612" customHeight="1" spans="1:6">
      <c r="A612" s="6">
        <v>611</v>
      </c>
      <c r="B612" s="8" t="s">
        <v>3051</v>
      </c>
      <c r="C612" s="8" t="s">
        <v>3052</v>
      </c>
      <c r="D612" s="8" t="s">
        <v>3053</v>
      </c>
      <c r="E612" s="8" t="s">
        <v>311</v>
      </c>
      <c r="F612" s="8" t="s">
        <v>3054</v>
      </c>
    </row>
    <row r="613" customHeight="1" spans="1:6">
      <c r="A613" s="6">
        <v>612</v>
      </c>
      <c r="B613" s="8" t="s">
        <v>3051</v>
      </c>
      <c r="C613" s="8" t="s">
        <v>3052</v>
      </c>
      <c r="D613" s="8" t="s">
        <v>3053</v>
      </c>
      <c r="E613" s="8" t="s">
        <v>311</v>
      </c>
      <c r="F613" s="8" t="s">
        <v>3054</v>
      </c>
    </row>
    <row r="614" customHeight="1" spans="1:6">
      <c r="A614" s="6">
        <v>613</v>
      </c>
      <c r="B614" s="8" t="s">
        <v>3055</v>
      </c>
      <c r="C614" s="8" t="s">
        <v>3056</v>
      </c>
      <c r="D614" s="8" t="s">
        <v>3057</v>
      </c>
      <c r="E614" s="8" t="s">
        <v>2212</v>
      </c>
      <c r="F614" s="8" t="s">
        <v>3058</v>
      </c>
    </row>
    <row r="615" customHeight="1" spans="1:6">
      <c r="A615" s="6">
        <v>614</v>
      </c>
      <c r="B615" s="8" t="s">
        <v>3055</v>
      </c>
      <c r="C615" s="8" t="s">
        <v>3056</v>
      </c>
      <c r="D615" s="8" t="s">
        <v>3057</v>
      </c>
      <c r="E615" s="8" t="s">
        <v>2212</v>
      </c>
      <c r="F615" s="8" t="s">
        <v>3058</v>
      </c>
    </row>
    <row r="616" customHeight="1" spans="1:6">
      <c r="A616" s="6">
        <v>615</v>
      </c>
      <c r="B616" s="8" t="s">
        <v>3055</v>
      </c>
      <c r="C616" s="8" t="s">
        <v>3056</v>
      </c>
      <c r="D616" s="8" t="s">
        <v>3057</v>
      </c>
      <c r="E616" s="8" t="s">
        <v>2212</v>
      </c>
      <c r="F616" s="8" t="s">
        <v>3058</v>
      </c>
    </row>
    <row r="617" customHeight="1" spans="1:6">
      <c r="A617" s="6">
        <v>616</v>
      </c>
      <c r="B617" s="8" t="s">
        <v>3059</v>
      </c>
      <c r="C617" s="8" t="s">
        <v>3060</v>
      </c>
      <c r="D617" s="8" t="s">
        <v>3061</v>
      </c>
      <c r="E617" s="8" t="s">
        <v>2212</v>
      </c>
      <c r="F617" s="8" t="s">
        <v>3062</v>
      </c>
    </row>
    <row r="618" customHeight="1" spans="1:6">
      <c r="A618" s="6">
        <v>617</v>
      </c>
      <c r="B618" s="8" t="s">
        <v>3059</v>
      </c>
      <c r="C618" s="8" t="s">
        <v>3060</v>
      </c>
      <c r="D618" s="8" t="s">
        <v>3061</v>
      </c>
      <c r="E618" s="8" t="s">
        <v>2212</v>
      </c>
      <c r="F618" s="8" t="s">
        <v>3062</v>
      </c>
    </row>
    <row r="619" customHeight="1" spans="1:6">
      <c r="A619" s="6">
        <v>618</v>
      </c>
      <c r="B619" s="8" t="s">
        <v>3059</v>
      </c>
      <c r="C619" s="8" t="s">
        <v>3060</v>
      </c>
      <c r="D619" s="8" t="s">
        <v>3061</v>
      </c>
      <c r="E619" s="8" t="s">
        <v>2212</v>
      </c>
      <c r="F619" s="8" t="s">
        <v>3062</v>
      </c>
    </row>
    <row r="620" customHeight="1" spans="1:6">
      <c r="A620" s="6">
        <v>619</v>
      </c>
      <c r="B620" s="8" t="s">
        <v>3063</v>
      </c>
      <c r="C620" s="8" t="s">
        <v>3064</v>
      </c>
      <c r="D620" s="8" t="s">
        <v>3065</v>
      </c>
      <c r="E620" s="8" t="s">
        <v>1534</v>
      </c>
      <c r="F620" s="8" t="s">
        <v>3066</v>
      </c>
    </row>
    <row r="621" customHeight="1" spans="1:6">
      <c r="A621" s="6">
        <v>620</v>
      </c>
      <c r="B621" s="8" t="s">
        <v>3063</v>
      </c>
      <c r="C621" s="8" t="s">
        <v>3064</v>
      </c>
      <c r="D621" s="8" t="s">
        <v>3065</v>
      </c>
      <c r="E621" s="8" t="s">
        <v>1534</v>
      </c>
      <c r="F621" s="8" t="s">
        <v>3066</v>
      </c>
    </row>
    <row r="622" customHeight="1" spans="1:6">
      <c r="A622" s="6">
        <v>621</v>
      </c>
      <c r="B622" s="8" t="s">
        <v>3067</v>
      </c>
      <c r="C622" s="8" t="s">
        <v>3068</v>
      </c>
      <c r="D622" s="8" t="s">
        <v>3069</v>
      </c>
      <c r="E622" s="8" t="s">
        <v>288</v>
      </c>
      <c r="F622" s="8" t="s">
        <v>3070</v>
      </c>
    </row>
    <row r="623" customHeight="1" spans="1:6">
      <c r="A623" s="6">
        <v>622</v>
      </c>
      <c r="B623" s="8" t="s">
        <v>3067</v>
      </c>
      <c r="C623" s="8" t="s">
        <v>3068</v>
      </c>
      <c r="D623" s="8" t="s">
        <v>3069</v>
      </c>
      <c r="E623" s="8" t="s">
        <v>288</v>
      </c>
      <c r="F623" s="8" t="s">
        <v>3070</v>
      </c>
    </row>
    <row r="624" customHeight="1" spans="1:6">
      <c r="A624" s="6">
        <v>623</v>
      </c>
      <c r="B624" s="8" t="s">
        <v>3071</v>
      </c>
      <c r="C624" s="8" t="s">
        <v>3072</v>
      </c>
      <c r="D624" s="8" t="s">
        <v>3073</v>
      </c>
      <c r="E624" s="8" t="s">
        <v>2790</v>
      </c>
      <c r="F624" s="8" t="s">
        <v>3074</v>
      </c>
    </row>
    <row r="625" customHeight="1" spans="1:6">
      <c r="A625" s="6">
        <v>624</v>
      </c>
      <c r="B625" s="8" t="s">
        <v>3071</v>
      </c>
      <c r="C625" s="8" t="s">
        <v>3072</v>
      </c>
      <c r="D625" s="8" t="s">
        <v>3073</v>
      </c>
      <c r="E625" s="8" t="s">
        <v>2790</v>
      </c>
      <c r="F625" s="8" t="s">
        <v>3074</v>
      </c>
    </row>
    <row r="626" customHeight="1" spans="1:6">
      <c r="A626" s="6">
        <v>625</v>
      </c>
      <c r="B626" s="8" t="s">
        <v>3075</v>
      </c>
      <c r="C626" s="8" t="s">
        <v>3076</v>
      </c>
      <c r="D626" s="8" t="s">
        <v>3077</v>
      </c>
      <c r="E626" s="8" t="s">
        <v>288</v>
      </c>
      <c r="F626" s="8" t="s">
        <v>3078</v>
      </c>
    </row>
    <row r="627" customHeight="1" spans="1:6">
      <c r="A627" s="6">
        <v>626</v>
      </c>
      <c r="B627" s="8" t="s">
        <v>3075</v>
      </c>
      <c r="C627" s="8" t="s">
        <v>3076</v>
      </c>
      <c r="D627" s="8" t="s">
        <v>3077</v>
      </c>
      <c r="E627" s="8" t="s">
        <v>288</v>
      </c>
      <c r="F627" s="8" t="s">
        <v>3078</v>
      </c>
    </row>
    <row r="628" customHeight="1" spans="1:6">
      <c r="A628" s="6">
        <v>627</v>
      </c>
      <c r="B628" s="8" t="s">
        <v>3075</v>
      </c>
      <c r="C628" s="8" t="s">
        <v>3076</v>
      </c>
      <c r="D628" s="8" t="s">
        <v>3077</v>
      </c>
      <c r="E628" s="8" t="s">
        <v>288</v>
      </c>
      <c r="F628" s="8" t="s">
        <v>3078</v>
      </c>
    </row>
    <row r="629" customHeight="1" spans="1:6">
      <c r="A629" s="6">
        <v>628</v>
      </c>
      <c r="B629" s="8" t="s">
        <v>3079</v>
      </c>
      <c r="C629" s="8" t="s">
        <v>3080</v>
      </c>
      <c r="D629" s="8" t="s">
        <v>3081</v>
      </c>
      <c r="E629" s="8" t="s">
        <v>1667</v>
      </c>
      <c r="F629" s="8" t="s">
        <v>3082</v>
      </c>
    </row>
    <row r="630" customHeight="1" spans="1:6">
      <c r="A630" s="6">
        <v>629</v>
      </c>
      <c r="B630" s="8" t="s">
        <v>3079</v>
      </c>
      <c r="C630" s="8" t="s">
        <v>3080</v>
      </c>
      <c r="D630" s="8" t="s">
        <v>3081</v>
      </c>
      <c r="E630" s="8" t="s">
        <v>1667</v>
      </c>
      <c r="F630" s="8" t="s">
        <v>3082</v>
      </c>
    </row>
    <row r="631" customHeight="1" spans="1:6">
      <c r="A631" s="6">
        <v>630</v>
      </c>
      <c r="B631" s="8" t="s">
        <v>3079</v>
      </c>
      <c r="C631" s="8" t="s">
        <v>3080</v>
      </c>
      <c r="D631" s="8" t="s">
        <v>3081</v>
      </c>
      <c r="E631" s="8" t="s">
        <v>1667</v>
      </c>
      <c r="F631" s="8" t="s">
        <v>3082</v>
      </c>
    </row>
    <row r="632" customHeight="1" spans="1:6">
      <c r="A632" s="6">
        <v>631</v>
      </c>
      <c r="B632" s="8" t="s">
        <v>3083</v>
      </c>
      <c r="C632" s="8" t="s">
        <v>3084</v>
      </c>
      <c r="D632" s="8" t="s">
        <v>3085</v>
      </c>
      <c r="E632" s="8" t="s">
        <v>530</v>
      </c>
      <c r="F632" s="8" t="s">
        <v>3086</v>
      </c>
    </row>
    <row r="633" customHeight="1" spans="1:6">
      <c r="A633" s="6">
        <v>632</v>
      </c>
      <c r="B633" s="8" t="s">
        <v>3083</v>
      </c>
      <c r="C633" s="8" t="s">
        <v>3084</v>
      </c>
      <c r="D633" s="8" t="s">
        <v>3085</v>
      </c>
      <c r="E633" s="8" t="s">
        <v>530</v>
      </c>
      <c r="F633" s="8" t="s">
        <v>3086</v>
      </c>
    </row>
    <row r="634" customHeight="1" spans="1:6">
      <c r="A634" s="6">
        <v>633</v>
      </c>
      <c r="B634" s="8" t="s">
        <v>3087</v>
      </c>
      <c r="C634" s="8" t="s">
        <v>3088</v>
      </c>
      <c r="D634" s="8" t="s">
        <v>3089</v>
      </c>
      <c r="E634" s="8" t="s">
        <v>311</v>
      </c>
      <c r="F634" s="8" t="s">
        <v>3090</v>
      </c>
    </row>
    <row r="635" customHeight="1" spans="1:6">
      <c r="A635" s="6">
        <v>634</v>
      </c>
      <c r="B635" s="8" t="s">
        <v>3087</v>
      </c>
      <c r="C635" s="8" t="s">
        <v>3088</v>
      </c>
      <c r="D635" s="8" t="s">
        <v>3089</v>
      </c>
      <c r="E635" s="8" t="s">
        <v>311</v>
      </c>
      <c r="F635" s="8" t="s">
        <v>3090</v>
      </c>
    </row>
    <row r="636" customHeight="1" spans="1:6">
      <c r="A636" s="6">
        <v>635</v>
      </c>
      <c r="B636" s="8" t="s">
        <v>3087</v>
      </c>
      <c r="C636" s="8" t="s">
        <v>3088</v>
      </c>
      <c r="D636" s="8" t="s">
        <v>3089</v>
      </c>
      <c r="E636" s="8" t="s">
        <v>311</v>
      </c>
      <c r="F636" s="8" t="s">
        <v>3090</v>
      </c>
    </row>
    <row r="637" customHeight="1" spans="1:6">
      <c r="A637" s="6">
        <v>636</v>
      </c>
      <c r="B637" s="8" t="s">
        <v>3091</v>
      </c>
      <c r="C637" s="8" t="s">
        <v>3092</v>
      </c>
      <c r="D637" s="8" t="s">
        <v>3093</v>
      </c>
      <c r="E637" s="8" t="s">
        <v>415</v>
      </c>
      <c r="F637" s="8" t="s">
        <v>3094</v>
      </c>
    </row>
    <row r="638" customHeight="1" spans="1:6">
      <c r="A638" s="6">
        <v>637</v>
      </c>
      <c r="B638" s="8" t="s">
        <v>3091</v>
      </c>
      <c r="C638" s="8" t="s">
        <v>3092</v>
      </c>
      <c r="D638" s="8" t="s">
        <v>3093</v>
      </c>
      <c r="E638" s="8" t="s">
        <v>415</v>
      </c>
      <c r="F638" s="8" t="s">
        <v>3094</v>
      </c>
    </row>
    <row r="639" customHeight="1" spans="1:6">
      <c r="A639" s="6">
        <v>638</v>
      </c>
      <c r="B639" s="8" t="s">
        <v>3095</v>
      </c>
      <c r="C639" s="8" t="s">
        <v>3096</v>
      </c>
      <c r="D639" s="8" t="s">
        <v>3097</v>
      </c>
      <c r="E639" s="8" t="s">
        <v>3098</v>
      </c>
      <c r="F639" s="8" t="s">
        <v>3099</v>
      </c>
    </row>
    <row r="640" customHeight="1" spans="1:6">
      <c r="A640" s="6">
        <v>639</v>
      </c>
      <c r="B640" s="8" t="s">
        <v>3095</v>
      </c>
      <c r="C640" s="8" t="s">
        <v>3096</v>
      </c>
      <c r="D640" s="8" t="s">
        <v>3097</v>
      </c>
      <c r="E640" s="8" t="s">
        <v>3098</v>
      </c>
      <c r="F640" s="8" t="s">
        <v>3099</v>
      </c>
    </row>
    <row r="641" customHeight="1" spans="1:6">
      <c r="A641" s="6">
        <v>640</v>
      </c>
      <c r="B641" s="8" t="s">
        <v>3095</v>
      </c>
      <c r="C641" s="8" t="s">
        <v>3096</v>
      </c>
      <c r="D641" s="8" t="s">
        <v>3097</v>
      </c>
      <c r="E641" s="8" t="s">
        <v>3098</v>
      </c>
      <c r="F641" s="8" t="s">
        <v>3099</v>
      </c>
    </row>
    <row r="642" customHeight="1" spans="1:6">
      <c r="A642" s="6">
        <v>641</v>
      </c>
      <c r="B642" s="8" t="s">
        <v>3100</v>
      </c>
      <c r="C642" s="8" t="s">
        <v>3101</v>
      </c>
      <c r="D642" s="8" t="s">
        <v>3102</v>
      </c>
      <c r="E642" s="8" t="s">
        <v>311</v>
      </c>
      <c r="F642" s="8" t="s">
        <v>3103</v>
      </c>
    </row>
    <row r="643" customHeight="1" spans="1:6">
      <c r="A643" s="6">
        <v>642</v>
      </c>
      <c r="B643" s="8" t="s">
        <v>3100</v>
      </c>
      <c r="C643" s="8" t="s">
        <v>3101</v>
      </c>
      <c r="D643" s="8" t="s">
        <v>3102</v>
      </c>
      <c r="E643" s="8" t="s">
        <v>311</v>
      </c>
      <c r="F643" s="8" t="s">
        <v>3103</v>
      </c>
    </row>
    <row r="644" customHeight="1" spans="1:6">
      <c r="A644" s="6">
        <v>643</v>
      </c>
      <c r="B644" s="8" t="s">
        <v>3100</v>
      </c>
      <c r="C644" s="8" t="s">
        <v>3101</v>
      </c>
      <c r="D644" s="8" t="s">
        <v>3102</v>
      </c>
      <c r="E644" s="8" t="s">
        <v>311</v>
      </c>
      <c r="F644" s="8" t="s">
        <v>3103</v>
      </c>
    </row>
    <row r="645" customHeight="1" spans="1:6">
      <c r="A645" s="6">
        <v>644</v>
      </c>
      <c r="B645" s="8" t="s">
        <v>3104</v>
      </c>
      <c r="C645" s="8" t="s">
        <v>3105</v>
      </c>
      <c r="D645" s="8" t="s">
        <v>3106</v>
      </c>
      <c r="E645" s="8" t="s">
        <v>530</v>
      </c>
      <c r="F645" s="8" t="s">
        <v>3107</v>
      </c>
    </row>
    <row r="646" customHeight="1" spans="1:6">
      <c r="A646" s="6">
        <v>645</v>
      </c>
      <c r="B646" s="8" t="s">
        <v>3104</v>
      </c>
      <c r="C646" s="8" t="s">
        <v>3105</v>
      </c>
      <c r="D646" s="8" t="s">
        <v>3106</v>
      </c>
      <c r="E646" s="8" t="s">
        <v>530</v>
      </c>
      <c r="F646" s="8" t="s">
        <v>3107</v>
      </c>
    </row>
    <row r="647" customHeight="1" spans="1:6">
      <c r="A647" s="6">
        <v>646</v>
      </c>
      <c r="B647" s="7" t="str">
        <f t="shared" ref="B647:B649" si="51">"978-7-5672-3617-2"</f>
        <v>978-7-5672-3617-2</v>
      </c>
      <c r="C647" s="7" t="str">
        <f t="shared" ref="C647:C649" si="52">"会计英语"</f>
        <v>会计英语</v>
      </c>
      <c r="D647" s="7" t="str">
        <f t="shared" ref="D647:D649" si="53">"主编蒋海晨， 黄钟颖"</f>
        <v>主编蒋海晨， 黄钟颖</v>
      </c>
      <c r="E647" s="7" t="str">
        <f t="shared" ref="E647:E649" si="54">"苏州大学出版社"</f>
        <v>苏州大学出版社</v>
      </c>
      <c r="F647" s="7" t="str">
        <f t="shared" ref="F647:F649" si="55">"F23/435"</f>
        <v>F23/435</v>
      </c>
    </row>
    <row r="648" customHeight="1" spans="1:6">
      <c r="A648" s="6">
        <v>647</v>
      </c>
      <c r="B648" s="7" t="str">
        <f t="shared" si="51"/>
        <v>978-7-5672-3617-2</v>
      </c>
      <c r="C648" s="7" t="str">
        <f t="shared" si="52"/>
        <v>会计英语</v>
      </c>
      <c r="D648" s="7" t="str">
        <f t="shared" si="53"/>
        <v>主编蒋海晨， 黄钟颖</v>
      </c>
      <c r="E648" s="7" t="str">
        <f t="shared" si="54"/>
        <v>苏州大学出版社</v>
      </c>
      <c r="F648" s="7" t="str">
        <f t="shared" si="55"/>
        <v>F23/435</v>
      </c>
    </row>
    <row r="649" customHeight="1" spans="1:6">
      <c r="A649" s="6">
        <v>648</v>
      </c>
      <c r="B649" s="7" t="str">
        <f t="shared" si="51"/>
        <v>978-7-5672-3617-2</v>
      </c>
      <c r="C649" s="7" t="str">
        <f t="shared" si="52"/>
        <v>会计英语</v>
      </c>
      <c r="D649" s="7" t="str">
        <f t="shared" si="53"/>
        <v>主编蒋海晨， 黄钟颖</v>
      </c>
      <c r="E649" s="7" t="str">
        <f t="shared" si="54"/>
        <v>苏州大学出版社</v>
      </c>
      <c r="F649" s="7" t="str">
        <f t="shared" si="55"/>
        <v>F23/435</v>
      </c>
    </row>
    <row r="650" customHeight="1" spans="1:6">
      <c r="A650" s="6">
        <v>649</v>
      </c>
      <c r="B650" s="8" t="s">
        <v>3108</v>
      </c>
      <c r="C650" s="8" t="s">
        <v>3109</v>
      </c>
      <c r="D650" s="8" t="s">
        <v>3110</v>
      </c>
      <c r="E650" s="8" t="s">
        <v>890</v>
      </c>
      <c r="F650" s="8" t="s">
        <v>3111</v>
      </c>
    </row>
    <row r="651" customHeight="1" spans="1:6">
      <c r="A651" s="6">
        <v>650</v>
      </c>
      <c r="B651" s="8" t="s">
        <v>3108</v>
      </c>
      <c r="C651" s="8" t="s">
        <v>3109</v>
      </c>
      <c r="D651" s="8" t="s">
        <v>3110</v>
      </c>
      <c r="E651" s="8" t="s">
        <v>890</v>
      </c>
      <c r="F651" s="8" t="s">
        <v>3111</v>
      </c>
    </row>
    <row r="652" customHeight="1" spans="1:6">
      <c r="A652" s="6">
        <v>651</v>
      </c>
      <c r="B652" s="8" t="s">
        <v>3112</v>
      </c>
      <c r="C652" s="8" t="s">
        <v>3113</v>
      </c>
      <c r="D652" s="8" t="s">
        <v>3114</v>
      </c>
      <c r="E652" s="8" t="s">
        <v>1189</v>
      </c>
      <c r="F652" s="8" t="s">
        <v>3115</v>
      </c>
    </row>
    <row r="653" customHeight="1" spans="1:6">
      <c r="A653" s="6">
        <v>652</v>
      </c>
      <c r="B653" s="8" t="s">
        <v>3112</v>
      </c>
      <c r="C653" s="8" t="s">
        <v>3113</v>
      </c>
      <c r="D653" s="8" t="s">
        <v>3114</v>
      </c>
      <c r="E653" s="8" t="s">
        <v>1189</v>
      </c>
      <c r="F653" s="8" t="s">
        <v>3115</v>
      </c>
    </row>
    <row r="654" customHeight="1" spans="1:6">
      <c r="A654" s="6">
        <v>653</v>
      </c>
      <c r="B654" s="8" t="s">
        <v>3112</v>
      </c>
      <c r="C654" s="8" t="s">
        <v>3113</v>
      </c>
      <c r="D654" s="8" t="s">
        <v>3114</v>
      </c>
      <c r="E654" s="8" t="s">
        <v>1189</v>
      </c>
      <c r="F654" s="8" t="s">
        <v>3115</v>
      </c>
    </row>
    <row r="655" customHeight="1" spans="1:6">
      <c r="A655" s="6">
        <v>654</v>
      </c>
      <c r="B655" s="8" t="s">
        <v>3116</v>
      </c>
      <c r="C655" s="8" t="s">
        <v>3117</v>
      </c>
      <c r="D655" s="8" t="s">
        <v>3118</v>
      </c>
      <c r="E655" s="8" t="s">
        <v>2212</v>
      </c>
      <c r="F655" s="8" t="s">
        <v>3119</v>
      </c>
    </row>
    <row r="656" customHeight="1" spans="1:6">
      <c r="A656" s="6">
        <v>655</v>
      </c>
      <c r="B656" s="8" t="s">
        <v>3116</v>
      </c>
      <c r="C656" s="8" t="s">
        <v>3117</v>
      </c>
      <c r="D656" s="8" t="s">
        <v>3118</v>
      </c>
      <c r="E656" s="8" t="s">
        <v>2212</v>
      </c>
      <c r="F656" s="8" t="s">
        <v>3119</v>
      </c>
    </row>
    <row r="657" customHeight="1" spans="1:6">
      <c r="A657" s="6">
        <v>656</v>
      </c>
      <c r="B657" s="8" t="s">
        <v>3116</v>
      </c>
      <c r="C657" s="8" t="s">
        <v>3117</v>
      </c>
      <c r="D657" s="8" t="s">
        <v>3118</v>
      </c>
      <c r="E657" s="8" t="s">
        <v>2212</v>
      </c>
      <c r="F657" s="8" t="s">
        <v>3119</v>
      </c>
    </row>
    <row r="658" customHeight="1" spans="1:6">
      <c r="A658" s="6">
        <v>657</v>
      </c>
      <c r="B658" s="8" t="s">
        <v>3120</v>
      </c>
      <c r="C658" s="8" t="s">
        <v>3121</v>
      </c>
      <c r="D658" s="8" t="s">
        <v>3122</v>
      </c>
      <c r="E658" s="8" t="s">
        <v>2212</v>
      </c>
      <c r="F658" s="8" t="s">
        <v>3123</v>
      </c>
    </row>
    <row r="659" customHeight="1" spans="1:6">
      <c r="A659" s="6">
        <v>658</v>
      </c>
      <c r="B659" s="8" t="s">
        <v>3120</v>
      </c>
      <c r="C659" s="8" t="s">
        <v>3121</v>
      </c>
      <c r="D659" s="8" t="s">
        <v>3122</v>
      </c>
      <c r="E659" s="8" t="s">
        <v>2212</v>
      </c>
      <c r="F659" s="8" t="s">
        <v>3123</v>
      </c>
    </row>
    <row r="660" customHeight="1" spans="1:6">
      <c r="A660" s="6">
        <v>659</v>
      </c>
      <c r="B660" s="8" t="s">
        <v>3124</v>
      </c>
      <c r="C660" s="8" t="s">
        <v>3109</v>
      </c>
      <c r="D660" s="8" t="s">
        <v>3125</v>
      </c>
      <c r="E660" s="8" t="s">
        <v>890</v>
      </c>
      <c r="F660" s="8" t="s">
        <v>3126</v>
      </c>
    </row>
    <row r="661" customHeight="1" spans="1:6">
      <c r="A661" s="6">
        <v>660</v>
      </c>
      <c r="B661" s="8" t="s">
        <v>3124</v>
      </c>
      <c r="C661" s="8" t="s">
        <v>3109</v>
      </c>
      <c r="D661" s="8" t="s">
        <v>3125</v>
      </c>
      <c r="E661" s="8" t="s">
        <v>890</v>
      </c>
      <c r="F661" s="8" t="s">
        <v>3126</v>
      </c>
    </row>
    <row r="662" customHeight="1" spans="1:6">
      <c r="A662" s="6">
        <v>661</v>
      </c>
      <c r="B662" s="8" t="s">
        <v>3127</v>
      </c>
      <c r="C662" s="8" t="s">
        <v>3128</v>
      </c>
      <c r="D662" s="8" t="s">
        <v>3129</v>
      </c>
      <c r="E662" s="8" t="s">
        <v>530</v>
      </c>
      <c r="F662" s="8" t="s">
        <v>3130</v>
      </c>
    </row>
    <row r="663" customHeight="1" spans="1:6">
      <c r="A663" s="6">
        <v>662</v>
      </c>
      <c r="B663" s="8" t="s">
        <v>3127</v>
      </c>
      <c r="C663" s="8" t="s">
        <v>3128</v>
      </c>
      <c r="D663" s="8" t="s">
        <v>3129</v>
      </c>
      <c r="E663" s="8" t="s">
        <v>530</v>
      </c>
      <c r="F663" s="8" t="s">
        <v>3130</v>
      </c>
    </row>
    <row r="664" customHeight="1" spans="1:6">
      <c r="A664" s="6">
        <v>663</v>
      </c>
      <c r="B664" s="8" t="s">
        <v>3127</v>
      </c>
      <c r="C664" s="8" t="s">
        <v>3128</v>
      </c>
      <c r="D664" s="8" t="s">
        <v>3129</v>
      </c>
      <c r="E664" s="8" t="s">
        <v>530</v>
      </c>
      <c r="F664" s="8" t="s">
        <v>3130</v>
      </c>
    </row>
    <row r="665" customHeight="1" spans="1:6">
      <c r="A665" s="6">
        <v>664</v>
      </c>
      <c r="B665" s="8" t="s">
        <v>3131</v>
      </c>
      <c r="C665" s="8" t="s">
        <v>3128</v>
      </c>
      <c r="D665" s="8" t="s">
        <v>3132</v>
      </c>
      <c r="E665" s="8" t="s">
        <v>2212</v>
      </c>
      <c r="F665" s="8" t="s">
        <v>3133</v>
      </c>
    </row>
    <row r="666" customHeight="1" spans="1:6">
      <c r="A666" s="6">
        <v>665</v>
      </c>
      <c r="B666" s="8" t="s">
        <v>3131</v>
      </c>
      <c r="C666" s="8" t="s">
        <v>3128</v>
      </c>
      <c r="D666" s="8" t="s">
        <v>3132</v>
      </c>
      <c r="E666" s="8" t="s">
        <v>2212</v>
      </c>
      <c r="F666" s="8" t="s">
        <v>3133</v>
      </c>
    </row>
    <row r="667" customHeight="1" spans="1:6">
      <c r="A667" s="6">
        <v>666</v>
      </c>
      <c r="B667" s="8" t="s">
        <v>3131</v>
      </c>
      <c r="C667" s="8" t="s">
        <v>3134</v>
      </c>
      <c r="D667" s="8" t="s">
        <v>3132</v>
      </c>
      <c r="E667" s="8" t="s">
        <v>2212</v>
      </c>
      <c r="F667" s="8" t="s">
        <v>3135</v>
      </c>
    </row>
    <row r="668" customHeight="1" spans="1:6">
      <c r="A668" s="6">
        <v>667</v>
      </c>
      <c r="B668" s="8" t="s">
        <v>3131</v>
      </c>
      <c r="C668" s="8" t="s">
        <v>3134</v>
      </c>
      <c r="D668" s="8" t="s">
        <v>3132</v>
      </c>
      <c r="E668" s="8" t="s">
        <v>2212</v>
      </c>
      <c r="F668" s="8" t="s">
        <v>3135</v>
      </c>
    </row>
    <row r="669" customHeight="1" spans="1:6">
      <c r="A669" s="6">
        <v>668</v>
      </c>
      <c r="B669" s="8" t="s">
        <v>3136</v>
      </c>
      <c r="C669" s="8" t="s">
        <v>3137</v>
      </c>
      <c r="D669" s="8" t="s">
        <v>3138</v>
      </c>
      <c r="E669" s="8" t="s">
        <v>710</v>
      </c>
      <c r="F669" s="8" t="s">
        <v>3139</v>
      </c>
    </row>
    <row r="670" customHeight="1" spans="1:6">
      <c r="A670" s="6">
        <v>669</v>
      </c>
      <c r="B670" s="8" t="s">
        <v>3136</v>
      </c>
      <c r="C670" s="8" t="s">
        <v>3137</v>
      </c>
      <c r="D670" s="8" t="s">
        <v>3138</v>
      </c>
      <c r="E670" s="8" t="s">
        <v>710</v>
      </c>
      <c r="F670" s="8" t="s">
        <v>3139</v>
      </c>
    </row>
    <row r="671" customHeight="1" spans="1:6">
      <c r="A671" s="6">
        <v>670</v>
      </c>
      <c r="B671" s="8" t="s">
        <v>3140</v>
      </c>
      <c r="C671" s="8" t="s">
        <v>3141</v>
      </c>
      <c r="D671" s="8" t="s">
        <v>3142</v>
      </c>
      <c r="E671" s="8" t="s">
        <v>1189</v>
      </c>
      <c r="F671" s="8" t="s">
        <v>3143</v>
      </c>
    </row>
    <row r="672" customHeight="1" spans="1:6">
      <c r="A672" s="6">
        <v>671</v>
      </c>
      <c r="B672" s="8" t="s">
        <v>3140</v>
      </c>
      <c r="C672" s="8" t="s">
        <v>3141</v>
      </c>
      <c r="D672" s="8" t="s">
        <v>3142</v>
      </c>
      <c r="E672" s="8" t="s">
        <v>1189</v>
      </c>
      <c r="F672" s="8" t="s">
        <v>3143</v>
      </c>
    </row>
    <row r="673" customHeight="1" spans="1:6">
      <c r="A673" s="6">
        <v>672</v>
      </c>
      <c r="B673" s="8" t="s">
        <v>3140</v>
      </c>
      <c r="C673" s="8" t="s">
        <v>3141</v>
      </c>
      <c r="D673" s="8" t="s">
        <v>3142</v>
      </c>
      <c r="E673" s="8" t="s">
        <v>1189</v>
      </c>
      <c r="F673" s="8" t="s">
        <v>3143</v>
      </c>
    </row>
    <row r="674" customHeight="1" spans="1:6">
      <c r="A674" s="6">
        <v>673</v>
      </c>
      <c r="B674" s="8" t="s">
        <v>3144</v>
      </c>
      <c r="C674" s="8" t="s">
        <v>3128</v>
      </c>
      <c r="D674" s="8" t="s">
        <v>3145</v>
      </c>
      <c r="E674" s="8" t="s">
        <v>3146</v>
      </c>
      <c r="F674" s="8" t="s">
        <v>3147</v>
      </c>
    </row>
    <row r="675" customHeight="1" spans="1:6">
      <c r="A675" s="6">
        <v>674</v>
      </c>
      <c r="B675" s="8" t="s">
        <v>3144</v>
      </c>
      <c r="C675" s="8" t="s">
        <v>3128</v>
      </c>
      <c r="D675" s="8" t="s">
        <v>3145</v>
      </c>
      <c r="E675" s="8" t="s">
        <v>3146</v>
      </c>
      <c r="F675" s="8" t="s">
        <v>3147</v>
      </c>
    </row>
    <row r="676" customHeight="1" spans="1:6">
      <c r="A676" s="6">
        <v>675</v>
      </c>
      <c r="B676" s="8" t="s">
        <v>3144</v>
      </c>
      <c r="C676" s="8" t="s">
        <v>3128</v>
      </c>
      <c r="D676" s="8" t="s">
        <v>3145</v>
      </c>
      <c r="E676" s="8" t="s">
        <v>3146</v>
      </c>
      <c r="F676" s="8" t="s">
        <v>3147</v>
      </c>
    </row>
    <row r="677" customHeight="1" spans="1:6">
      <c r="A677" s="6">
        <v>676</v>
      </c>
      <c r="B677" s="8" t="s">
        <v>3148</v>
      </c>
      <c r="C677" s="8" t="s">
        <v>3149</v>
      </c>
      <c r="D677" s="8" t="s">
        <v>3150</v>
      </c>
      <c r="E677" s="8" t="s">
        <v>2566</v>
      </c>
      <c r="F677" s="8" t="s">
        <v>3151</v>
      </c>
    </row>
    <row r="678" customHeight="1" spans="1:6">
      <c r="A678" s="6">
        <v>677</v>
      </c>
      <c r="B678" s="8" t="s">
        <v>3148</v>
      </c>
      <c r="C678" s="8" t="s">
        <v>3149</v>
      </c>
      <c r="D678" s="8" t="s">
        <v>3150</v>
      </c>
      <c r="E678" s="8" t="s">
        <v>2566</v>
      </c>
      <c r="F678" s="8" t="s">
        <v>3151</v>
      </c>
    </row>
    <row r="679" customHeight="1" spans="1:6">
      <c r="A679" s="6">
        <v>678</v>
      </c>
      <c r="B679" s="8" t="s">
        <v>3152</v>
      </c>
      <c r="C679" s="8" t="s">
        <v>3153</v>
      </c>
      <c r="D679" s="8" t="s">
        <v>3154</v>
      </c>
      <c r="E679" s="8" t="s">
        <v>1189</v>
      </c>
      <c r="F679" s="8" t="s">
        <v>3155</v>
      </c>
    </row>
    <row r="680" customHeight="1" spans="1:6">
      <c r="A680" s="6">
        <v>679</v>
      </c>
      <c r="B680" s="8" t="s">
        <v>3152</v>
      </c>
      <c r="C680" s="8" t="s">
        <v>3153</v>
      </c>
      <c r="D680" s="8" t="s">
        <v>3154</v>
      </c>
      <c r="E680" s="8" t="s">
        <v>1189</v>
      </c>
      <c r="F680" s="8" t="s">
        <v>3155</v>
      </c>
    </row>
    <row r="681" customHeight="1" spans="1:6">
      <c r="A681" s="6">
        <v>680</v>
      </c>
      <c r="B681" s="8" t="s">
        <v>3152</v>
      </c>
      <c r="C681" s="8" t="s">
        <v>3153</v>
      </c>
      <c r="D681" s="8" t="s">
        <v>3154</v>
      </c>
      <c r="E681" s="8" t="s">
        <v>1189</v>
      </c>
      <c r="F681" s="8" t="s">
        <v>3155</v>
      </c>
    </row>
    <row r="682" customHeight="1" spans="1:6">
      <c r="A682" s="6">
        <v>681</v>
      </c>
      <c r="B682" s="8" t="s">
        <v>3156</v>
      </c>
      <c r="C682" s="8" t="s">
        <v>3157</v>
      </c>
      <c r="D682" s="8" t="s">
        <v>3158</v>
      </c>
      <c r="E682" s="8" t="s">
        <v>576</v>
      </c>
      <c r="F682" s="8" t="s">
        <v>3159</v>
      </c>
    </row>
    <row r="683" customHeight="1" spans="1:6">
      <c r="A683" s="6">
        <v>682</v>
      </c>
      <c r="B683" s="8" t="s">
        <v>3156</v>
      </c>
      <c r="C683" s="8" t="s">
        <v>3157</v>
      </c>
      <c r="D683" s="8" t="s">
        <v>3158</v>
      </c>
      <c r="E683" s="8" t="s">
        <v>576</v>
      </c>
      <c r="F683" s="8" t="s">
        <v>3159</v>
      </c>
    </row>
    <row r="684" customHeight="1" spans="1:6">
      <c r="A684" s="6">
        <v>683</v>
      </c>
      <c r="B684" s="8" t="s">
        <v>3156</v>
      </c>
      <c r="C684" s="8" t="s">
        <v>3157</v>
      </c>
      <c r="D684" s="8" t="s">
        <v>3158</v>
      </c>
      <c r="E684" s="8" t="s">
        <v>576</v>
      </c>
      <c r="F684" s="8" t="s">
        <v>3159</v>
      </c>
    </row>
    <row r="685" customHeight="1" spans="1:6">
      <c r="A685" s="6">
        <v>684</v>
      </c>
      <c r="B685" s="8" t="s">
        <v>3160</v>
      </c>
      <c r="C685" s="8" t="s">
        <v>3161</v>
      </c>
      <c r="D685" s="8" t="s">
        <v>3162</v>
      </c>
      <c r="E685" s="8" t="s">
        <v>23</v>
      </c>
      <c r="F685" s="8" t="s">
        <v>3163</v>
      </c>
    </row>
    <row r="686" customHeight="1" spans="1:6">
      <c r="A686" s="6">
        <v>685</v>
      </c>
      <c r="B686" s="8" t="s">
        <v>3160</v>
      </c>
      <c r="C686" s="8" t="s">
        <v>3161</v>
      </c>
      <c r="D686" s="8" t="s">
        <v>3162</v>
      </c>
      <c r="E686" s="8" t="s">
        <v>23</v>
      </c>
      <c r="F686" s="8" t="s">
        <v>3163</v>
      </c>
    </row>
    <row r="687" customHeight="1" spans="1:6">
      <c r="A687" s="6">
        <v>686</v>
      </c>
      <c r="B687" s="8" t="s">
        <v>3160</v>
      </c>
      <c r="C687" s="8" t="s">
        <v>3161</v>
      </c>
      <c r="D687" s="8" t="s">
        <v>3162</v>
      </c>
      <c r="E687" s="8" t="s">
        <v>23</v>
      </c>
      <c r="F687" s="8" t="s">
        <v>3163</v>
      </c>
    </row>
    <row r="688" customHeight="1" spans="1:6">
      <c r="A688" s="6">
        <v>687</v>
      </c>
      <c r="B688" s="7" t="str">
        <f>"978-7-03-066850-9"</f>
        <v>978-7-03-066850-9</v>
      </c>
      <c r="C688" s="7" t="str">
        <f>"当代会计评论．2020年第13卷第4辑 (总第32辑)．volume 13 Number 4 2020"</f>
        <v>当代会计评论．2020年第13卷第4辑 (总第32辑)．volume 13 Number 4 2020</v>
      </c>
      <c r="D688" s="7" t="str">
        <f>"主编刘峰"</f>
        <v>主编刘峰</v>
      </c>
      <c r="E688" s="7" t="str">
        <f>"科学出版社"</f>
        <v>科学出版社</v>
      </c>
      <c r="F688" s="7" t="str">
        <f>"F230/341/32"</f>
        <v>F230/341/32</v>
      </c>
    </row>
    <row r="689" customHeight="1" spans="1:6">
      <c r="A689" s="6">
        <v>688</v>
      </c>
      <c r="B689" s="8" t="s">
        <v>3164</v>
      </c>
      <c r="C689" s="8" t="s">
        <v>3128</v>
      </c>
      <c r="D689" s="8" t="s">
        <v>3165</v>
      </c>
      <c r="E689" s="8" t="s">
        <v>2212</v>
      </c>
      <c r="F689" s="8" t="s">
        <v>3166</v>
      </c>
    </row>
    <row r="690" customHeight="1" spans="1:6">
      <c r="A690" s="6">
        <v>689</v>
      </c>
      <c r="B690" s="8" t="s">
        <v>3164</v>
      </c>
      <c r="C690" s="8" t="s">
        <v>3128</v>
      </c>
      <c r="D690" s="8" t="s">
        <v>3165</v>
      </c>
      <c r="E690" s="8" t="s">
        <v>2212</v>
      </c>
      <c r="F690" s="8" t="s">
        <v>3166</v>
      </c>
    </row>
    <row r="691" customHeight="1" spans="1:6">
      <c r="A691" s="6">
        <v>690</v>
      </c>
      <c r="B691" s="7" t="str">
        <f>"978-7-115-28233-0"</f>
        <v>978-7-115-28233-0</v>
      </c>
      <c r="C691" s="7" t="str">
        <f>"会计学：数字意味着什么：双语教学通用版：bilingual edition"</f>
        <v>会计学：数字意味着什么：双语教学通用版：bilingual edition</v>
      </c>
      <c r="D691" s="7" t="str">
        <f>"(美) 戴维·马歇尔， 韦恩·麦克马纳斯， 丹尼尔·维勒著David H. Marshall， Wayne W. McManus，Daniel F. Viele；于长春， 沈洁译注"</f>
        <v>(美) 戴维·马歇尔， 韦恩·麦克马纳斯， 丹尼尔·维勒著David H. Marshall， Wayne W. McManus，Daniel F. Viele；于长春， 沈洁译注</v>
      </c>
      <c r="E691" s="7" t="str">
        <f>"人民邮电出版社"</f>
        <v>人民邮电出版社</v>
      </c>
      <c r="F691" s="7" t="str">
        <f>"F230/657-3"</f>
        <v>F230/657-3</v>
      </c>
    </row>
    <row r="692" customHeight="1" spans="1:6">
      <c r="A692" s="6">
        <v>691</v>
      </c>
      <c r="B692" s="7" t="str">
        <f>"978-7-115-28233-0"</f>
        <v>978-7-115-28233-0</v>
      </c>
      <c r="C692" s="7" t="str">
        <f>"会计学：数字意味着什么：双语教学通用版：bilingual edition"</f>
        <v>会计学：数字意味着什么：双语教学通用版：bilingual edition</v>
      </c>
      <c r="D692" s="7" t="str">
        <f>"(美) 戴维·马歇尔， 韦恩·麦克马纳斯， 丹尼尔·维勒著David H. Marshall， Wayne W. McManus，Daniel F. Viele；于长春， 沈洁译注"</f>
        <v>(美) 戴维·马歇尔， 韦恩·麦克马纳斯， 丹尼尔·维勒著David H. Marshall， Wayne W. McManus，Daniel F. Viele；于长春， 沈洁译注</v>
      </c>
      <c r="E692" s="7" t="str">
        <f>"人民邮电出版社"</f>
        <v>人民邮电出版社</v>
      </c>
      <c r="F692" s="7" t="str">
        <f>"F230/657-3"</f>
        <v>F230/657-3</v>
      </c>
    </row>
    <row r="693" customHeight="1" spans="1:6">
      <c r="A693" s="6">
        <v>692</v>
      </c>
      <c r="B693" s="8" t="s">
        <v>3167</v>
      </c>
      <c r="C693" s="8" t="s">
        <v>3109</v>
      </c>
      <c r="D693" s="8" t="s">
        <v>3168</v>
      </c>
      <c r="E693" s="8" t="s">
        <v>2161</v>
      </c>
      <c r="F693" s="8" t="s">
        <v>3169</v>
      </c>
    </row>
    <row r="694" customHeight="1" spans="1:6">
      <c r="A694" s="6">
        <v>693</v>
      </c>
      <c r="B694" s="8" t="s">
        <v>3167</v>
      </c>
      <c r="C694" s="8" t="s">
        <v>3109</v>
      </c>
      <c r="D694" s="8" t="s">
        <v>3168</v>
      </c>
      <c r="E694" s="8" t="s">
        <v>2161</v>
      </c>
      <c r="F694" s="8" t="s">
        <v>3169</v>
      </c>
    </row>
    <row r="695" customHeight="1" spans="1:6">
      <c r="A695" s="6">
        <v>694</v>
      </c>
      <c r="B695" s="8" t="s">
        <v>3167</v>
      </c>
      <c r="C695" s="8" t="s">
        <v>3109</v>
      </c>
      <c r="D695" s="8" t="s">
        <v>3168</v>
      </c>
      <c r="E695" s="8" t="s">
        <v>2161</v>
      </c>
      <c r="F695" s="8" t="s">
        <v>3169</v>
      </c>
    </row>
    <row r="696" customHeight="1" spans="1:6">
      <c r="A696" s="6">
        <v>695</v>
      </c>
      <c r="B696" s="8" t="s">
        <v>3170</v>
      </c>
      <c r="C696" s="8" t="s">
        <v>3171</v>
      </c>
      <c r="D696" s="8" t="s">
        <v>3172</v>
      </c>
      <c r="E696" s="8" t="s">
        <v>710</v>
      </c>
      <c r="F696" s="8" t="s">
        <v>3173</v>
      </c>
    </row>
    <row r="697" customHeight="1" spans="1:6">
      <c r="A697" s="6">
        <v>696</v>
      </c>
      <c r="B697" s="8" t="s">
        <v>3170</v>
      </c>
      <c r="C697" s="8" t="s">
        <v>3171</v>
      </c>
      <c r="D697" s="8" t="s">
        <v>3172</v>
      </c>
      <c r="E697" s="8" t="s">
        <v>710</v>
      </c>
      <c r="F697" s="8" t="s">
        <v>3173</v>
      </c>
    </row>
    <row r="698" customHeight="1" spans="1:6">
      <c r="A698" s="6">
        <v>697</v>
      </c>
      <c r="B698" s="7" t="str">
        <f>"978-7-113-27849-6"</f>
        <v>978-7-113-27849-6</v>
      </c>
      <c r="C698" s="7" t="str">
        <f>"一般纳税人会计岗位实操大全：流程+做账+税务处理+财报"</f>
        <v>一般纳税人会计岗位实操大全：流程+做账+税务处理+财报</v>
      </c>
      <c r="D698" s="7" t="str">
        <f>"会计真账实操训练营编著"</f>
        <v>会计真账实操训练营编著</v>
      </c>
      <c r="E698" s="7" t="str">
        <f>"中国铁道出版社有限公司"</f>
        <v>中国铁道出版社有限公司</v>
      </c>
      <c r="F698" s="7" t="str">
        <f>"F230/990"</f>
        <v>F230/990</v>
      </c>
    </row>
    <row r="699" customHeight="1" spans="1:6">
      <c r="A699" s="6">
        <v>698</v>
      </c>
      <c r="B699" s="7" t="str">
        <f>"978-7-113-27849-6"</f>
        <v>978-7-113-27849-6</v>
      </c>
      <c r="C699" s="7" t="str">
        <f>"一般纳税人会计岗位实操大全：流程+做账+税务处理+财报"</f>
        <v>一般纳税人会计岗位实操大全：流程+做账+税务处理+财报</v>
      </c>
      <c r="D699" s="7" t="str">
        <f>"会计真账实操训练营编著"</f>
        <v>会计真账实操训练营编著</v>
      </c>
      <c r="E699" s="7" t="str">
        <f>"中国铁道出版社有限公司"</f>
        <v>中国铁道出版社有限公司</v>
      </c>
      <c r="F699" s="7" t="str">
        <f>"F230/990"</f>
        <v>F230/990</v>
      </c>
    </row>
    <row r="700" customHeight="1" spans="1:6">
      <c r="A700" s="6">
        <v>699</v>
      </c>
      <c r="B700" s="8" t="s">
        <v>3174</v>
      </c>
      <c r="C700" s="8" t="s">
        <v>3137</v>
      </c>
      <c r="D700" s="8" t="s">
        <v>3175</v>
      </c>
      <c r="E700" s="8" t="s">
        <v>1667</v>
      </c>
      <c r="F700" s="8" t="s">
        <v>3176</v>
      </c>
    </row>
    <row r="701" customHeight="1" spans="1:6">
      <c r="A701" s="6">
        <v>700</v>
      </c>
      <c r="B701" s="8" t="s">
        <v>3174</v>
      </c>
      <c r="C701" s="8" t="s">
        <v>3137</v>
      </c>
      <c r="D701" s="8" t="s">
        <v>3175</v>
      </c>
      <c r="E701" s="8" t="s">
        <v>1667</v>
      </c>
      <c r="F701" s="8" t="s">
        <v>3176</v>
      </c>
    </row>
    <row r="702" customHeight="1" spans="1:6">
      <c r="A702" s="6">
        <v>701</v>
      </c>
      <c r="B702" s="8" t="s">
        <v>3177</v>
      </c>
      <c r="C702" s="8" t="s">
        <v>3178</v>
      </c>
      <c r="D702" s="8" t="s">
        <v>3179</v>
      </c>
      <c r="E702" s="8" t="s">
        <v>3180</v>
      </c>
      <c r="F702" s="8" t="s">
        <v>3181</v>
      </c>
    </row>
    <row r="703" customHeight="1" spans="1:6">
      <c r="A703" s="6">
        <v>702</v>
      </c>
      <c r="B703" s="8" t="s">
        <v>3177</v>
      </c>
      <c r="C703" s="8" t="s">
        <v>3178</v>
      </c>
      <c r="D703" s="8" t="s">
        <v>3179</v>
      </c>
      <c r="E703" s="8" t="s">
        <v>3180</v>
      </c>
      <c r="F703" s="8" t="s">
        <v>3181</v>
      </c>
    </row>
    <row r="704" customHeight="1" spans="1:6">
      <c r="A704" s="6">
        <v>703</v>
      </c>
      <c r="B704" s="8" t="s">
        <v>3182</v>
      </c>
      <c r="C704" s="8" t="s">
        <v>3183</v>
      </c>
      <c r="D704" s="8" t="s">
        <v>3184</v>
      </c>
      <c r="E704" s="8" t="s">
        <v>710</v>
      </c>
      <c r="F704" s="8" t="s">
        <v>3185</v>
      </c>
    </row>
    <row r="705" customHeight="1" spans="1:6">
      <c r="A705" s="6">
        <v>704</v>
      </c>
      <c r="B705" s="8" t="s">
        <v>3182</v>
      </c>
      <c r="C705" s="8" t="s">
        <v>3183</v>
      </c>
      <c r="D705" s="8" t="s">
        <v>3184</v>
      </c>
      <c r="E705" s="8" t="s">
        <v>710</v>
      </c>
      <c r="F705" s="8" t="s">
        <v>3185</v>
      </c>
    </row>
    <row r="706" customHeight="1" spans="1:6">
      <c r="A706" s="6">
        <v>705</v>
      </c>
      <c r="B706" s="8" t="s">
        <v>3186</v>
      </c>
      <c r="C706" s="8" t="s">
        <v>3187</v>
      </c>
      <c r="D706" s="8" t="s">
        <v>3188</v>
      </c>
      <c r="E706" s="8" t="s">
        <v>710</v>
      </c>
      <c r="F706" s="8" t="s">
        <v>3189</v>
      </c>
    </row>
    <row r="707" customHeight="1" spans="1:6">
      <c r="A707" s="6">
        <v>706</v>
      </c>
      <c r="B707" s="8" t="s">
        <v>3186</v>
      </c>
      <c r="C707" s="8" t="s">
        <v>3187</v>
      </c>
      <c r="D707" s="8" t="s">
        <v>3188</v>
      </c>
      <c r="E707" s="8" t="s">
        <v>710</v>
      </c>
      <c r="F707" s="8" t="s">
        <v>3189</v>
      </c>
    </row>
    <row r="708" customHeight="1" spans="1:6">
      <c r="A708" s="6">
        <v>707</v>
      </c>
      <c r="B708" s="8" t="s">
        <v>3190</v>
      </c>
      <c r="C708" s="8" t="s">
        <v>3128</v>
      </c>
      <c r="D708" s="8" t="s">
        <v>3191</v>
      </c>
      <c r="E708" s="8" t="s">
        <v>2161</v>
      </c>
      <c r="F708" s="8" t="s">
        <v>3192</v>
      </c>
    </row>
    <row r="709" customHeight="1" spans="1:6">
      <c r="A709" s="6">
        <v>708</v>
      </c>
      <c r="B709" s="8" t="s">
        <v>3190</v>
      </c>
      <c r="C709" s="8" t="s">
        <v>3128</v>
      </c>
      <c r="D709" s="8" t="s">
        <v>3191</v>
      </c>
      <c r="E709" s="8" t="s">
        <v>2161</v>
      </c>
      <c r="F709" s="8" t="s">
        <v>3192</v>
      </c>
    </row>
    <row r="710" customHeight="1" spans="1:6">
      <c r="A710" s="6">
        <v>709</v>
      </c>
      <c r="B710" s="8" t="s">
        <v>3190</v>
      </c>
      <c r="C710" s="8" t="s">
        <v>3128</v>
      </c>
      <c r="D710" s="8" t="s">
        <v>3191</v>
      </c>
      <c r="E710" s="8" t="s">
        <v>2161</v>
      </c>
      <c r="F710" s="8" t="s">
        <v>3192</v>
      </c>
    </row>
    <row r="711" customHeight="1" spans="1:6">
      <c r="A711" s="6">
        <v>710</v>
      </c>
      <c r="B711" s="8" t="s">
        <v>3193</v>
      </c>
      <c r="C711" s="8" t="s">
        <v>3194</v>
      </c>
      <c r="D711" s="8" t="s">
        <v>3195</v>
      </c>
      <c r="E711" s="8" t="s">
        <v>2212</v>
      </c>
      <c r="F711" s="8" t="s">
        <v>3196</v>
      </c>
    </row>
    <row r="712" customHeight="1" spans="1:6">
      <c r="A712" s="6">
        <v>711</v>
      </c>
      <c r="B712" s="8" t="s">
        <v>3193</v>
      </c>
      <c r="C712" s="8" t="s">
        <v>3194</v>
      </c>
      <c r="D712" s="8" t="s">
        <v>3195</v>
      </c>
      <c r="E712" s="8" t="s">
        <v>2212</v>
      </c>
      <c r="F712" s="8" t="s">
        <v>3196</v>
      </c>
    </row>
    <row r="713" customHeight="1" spans="1:6">
      <c r="A713" s="6">
        <v>712</v>
      </c>
      <c r="B713" s="7" t="str">
        <f>"978-7-113-27500-6"</f>
        <v>978-7-113-27500-6</v>
      </c>
      <c r="C713" s="7" t="str">
        <f>"真账实操全图解：会计、出纳、税务、财报一本通"</f>
        <v>真账实操全图解：会计、出纳、税务、财报一本通</v>
      </c>
      <c r="D713" s="7" t="str">
        <f>"朱菲菲编著"</f>
        <v>朱菲菲编著</v>
      </c>
      <c r="E713" s="7" t="str">
        <f>"中国铁道出版社有限公司"</f>
        <v>中国铁道出版社有限公司</v>
      </c>
      <c r="F713" s="7" t="str">
        <f>"F230-64/4"</f>
        <v>F230-64/4</v>
      </c>
    </row>
    <row r="714" customHeight="1" spans="1:6">
      <c r="A714" s="6">
        <v>713</v>
      </c>
      <c r="B714" s="7" t="str">
        <f>"978-7-113-27500-6"</f>
        <v>978-7-113-27500-6</v>
      </c>
      <c r="C714" s="7" t="str">
        <f>"真账实操全图解：会计、出纳、税务、财报一本通"</f>
        <v>真账实操全图解：会计、出纳、税务、财报一本通</v>
      </c>
      <c r="D714" s="7" t="str">
        <f>"朱菲菲编著"</f>
        <v>朱菲菲编著</v>
      </c>
      <c r="E714" s="7" t="str">
        <f>"中国铁道出版社有限公司"</f>
        <v>中国铁道出版社有限公司</v>
      </c>
      <c r="F714" s="7" t="str">
        <f>"F230-64/4"</f>
        <v>F230-64/4</v>
      </c>
    </row>
    <row r="715" customHeight="1" spans="1:6">
      <c r="A715" s="6">
        <v>714</v>
      </c>
      <c r="B715" s="8" t="s">
        <v>3197</v>
      </c>
      <c r="C715" s="8" t="s">
        <v>3198</v>
      </c>
      <c r="D715" s="8" t="s">
        <v>3199</v>
      </c>
      <c r="E715" s="8" t="s">
        <v>710</v>
      </c>
      <c r="F715" s="8" t="s">
        <v>3200</v>
      </c>
    </row>
    <row r="716" customHeight="1" spans="1:6">
      <c r="A716" s="6">
        <v>715</v>
      </c>
      <c r="B716" s="8" t="s">
        <v>3197</v>
      </c>
      <c r="C716" s="8" t="s">
        <v>3198</v>
      </c>
      <c r="D716" s="8" t="s">
        <v>3199</v>
      </c>
      <c r="E716" s="8" t="s">
        <v>710</v>
      </c>
      <c r="F716" s="8" t="s">
        <v>3200</v>
      </c>
    </row>
    <row r="717" customHeight="1" spans="1:6">
      <c r="A717" s="6">
        <v>716</v>
      </c>
      <c r="B717" s="8" t="s">
        <v>3201</v>
      </c>
      <c r="C717" s="8" t="s">
        <v>3202</v>
      </c>
      <c r="D717" s="8" t="s">
        <v>3203</v>
      </c>
      <c r="E717" s="8" t="s">
        <v>311</v>
      </c>
      <c r="F717" s="8" t="s">
        <v>3204</v>
      </c>
    </row>
    <row r="718" customHeight="1" spans="1:6">
      <c r="A718" s="6">
        <v>717</v>
      </c>
      <c r="B718" s="8" t="s">
        <v>3201</v>
      </c>
      <c r="C718" s="8" t="s">
        <v>3202</v>
      </c>
      <c r="D718" s="8" t="s">
        <v>3203</v>
      </c>
      <c r="E718" s="8" t="s">
        <v>311</v>
      </c>
      <c r="F718" s="8" t="s">
        <v>3204</v>
      </c>
    </row>
    <row r="719" customHeight="1" spans="1:6">
      <c r="A719" s="6">
        <v>718</v>
      </c>
      <c r="B719" s="8" t="s">
        <v>3205</v>
      </c>
      <c r="C719" s="8" t="s">
        <v>3206</v>
      </c>
      <c r="D719" s="8" t="s">
        <v>3207</v>
      </c>
      <c r="E719" s="8" t="s">
        <v>530</v>
      </c>
      <c r="F719" s="8" t="s">
        <v>3208</v>
      </c>
    </row>
    <row r="720" customHeight="1" spans="1:6">
      <c r="A720" s="6">
        <v>719</v>
      </c>
      <c r="B720" s="8" t="s">
        <v>3205</v>
      </c>
      <c r="C720" s="8" t="s">
        <v>3206</v>
      </c>
      <c r="D720" s="8" t="s">
        <v>3207</v>
      </c>
      <c r="E720" s="8" t="s">
        <v>530</v>
      </c>
      <c r="F720" s="8" t="s">
        <v>3208</v>
      </c>
    </row>
    <row r="721" customHeight="1" spans="1:6">
      <c r="A721" s="6">
        <v>720</v>
      </c>
      <c r="B721" s="8" t="s">
        <v>3205</v>
      </c>
      <c r="C721" s="8" t="s">
        <v>3206</v>
      </c>
      <c r="D721" s="8" t="s">
        <v>3207</v>
      </c>
      <c r="E721" s="8" t="s">
        <v>530</v>
      </c>
      <c r="F721" s="8" t="s">
        <v>3208</v>
      </c>
    </row>
    <row r="722" customHeight="1" spans="1:6">
      <c r="A722" s="6">
        <v>721</v>
      </c>
      <c r="B722" s="7" t="str">
        <f>"978-7-115-57037-6"</f>
        <v>978-7-115-57037-6</v>
      </c>
      <c r="C722" s="7" t="str">
        <f>"财务报表分析：理论、方法与案例"</f>
        <v>财务报表分析：理论、方法与案例</v>
      </c>
      <c r="D722" s="7" t="str">
        <f>"续芹编著"</f>
        <v>续芹编著</v>
      </c>
      <c r="E722" s="7" t="str">
        <f>"人民邮电出版社"</f>
        <v>人民邮电出版社</v>
      </c>
      <c r="F722" s="7" t="str">
        <f>"F231.5/206"</f>
        <v>F231.5/206</v>
      </c>
    </row>
    <row r="723" customHeight="1" spans="1:6">
      <c r="A723" s="6">
        <v>722</v>
      </c>
      <c r="B723" s="7" t="str">
        <f>"978-7-115-57037-6"</f>
        <v>978-7-115-57037-6</v>
      </c>
      <c r="C723" s="7" t="str">
        <f>"财务报表分析：理论、方法与案例"</f>
        <v>财务报表分析：理论、方法与案例</v>
      </c>
      <c r="D723" s="7" t="str">
        <f>"续芹编著"</f>
        <v>续芹编著</v>
      </c>
      <c r="E723" s="7" t="str">
        <f>"人民邮电出版社"</f>
        <v>人民邮电出版社</v>
      </c>
      <c r="F723" s="7" t="str">
        <f>"F231.5/206"</f>
        <v>F231.5/206</v>
      </c>
    </row>
    <row r="724" customHeight="1" spans="1:6">
      <c r="A724" s="6">
        <v>723</v>
      </c>
      <c r="B724" s="7" t="str">
        <f>"978-7-113-27658-4"</f>
        <v>978-7-113-27658-4</v>
      </c>
      <c r="C724" s="7" t="str">
        <f>"扫雷：读财报做投资"</f>
        <v>扫雷：读财报做投资</v>
      </c>
      <c r="D724" s="7" t="str">
        <f>"蒋豹著"</f>
        <v>蒋豹著</v>
      </c>
      <c r="E724" s="7" t="str">
        <f>"中国铁道出版社有限公司"</f>
        <v>中国铁道出版社有限公司</v>
      </c>
      <c r="F724" s="7" t="str">
        <f>"F231.5/207"</f>
        <v>F231.5/207</v>
      </c>
    </row>
    <row r="725" customHeight="1" spans="1:6">
      <c r="A725" s="6">
        <v>724</v>
      </c>
      <c r="B725" s="7" t="str">
        <f>"978-7-113-27658-4"</f>
        <v>978-7-113-27658-4</v>
      </c>
      <c r="C725" s="7" t="str">
        <f>"扫雷：读财报做投资"</f>
        <v>扫雷：读财报做投资</v>
      </c>
      <c r="D725" s="7" t="str">
        <f>"蒋豹著"</f>
        <v>蒋豹著</v>
      </c>
      <c r="E725" s="7" t="str">
        <f>"中国铁道出版社有限公司"</f>
        <v>中国铁道出版社有限公司</v>
      </c>
      <c r="F725" s="7" t="str">
        <f>"F231.5/207"</f>
        <v>F231.5/207</v>
      </c>
    </row>
    <row r="726" customHeight="1" spans="1:6">
      <c r="A726" s="6">
        <v>725</v>
      </c>
      <c r="B726" s="8" t="s">
        <v>3209</v>
      </c>
      <c r="C726" s="8" t="s">
        <v>3210</v>
      </c>
      <c r="D726" s="8" t="s">
        <v>3211</v>
      </c>
      <c r="E726" s="8" t="s">
        <v>576</v>
      </c>
      <c r="F726" s="8" t="s">
        <v>3212</v>
      </c>
    </row>
    <row r="727" customHeight="1" spans="1:6">
      <c r="A727" s="6">
        <v>726</v>
      </c>
      <c r="B727" s="8" t="s">
        <v>3209</v>
      </c>
      <c r="C727" s="8" t="s">
        <v>3210</v>
      </c>
      <c r="D727" s="8" t="s">
        <v>3211</v>
      </c>
      <c r="E727" s="8" t="s">
        <v>576</v>
      </c>
      <c r="F727" s="8" t="s">
        <v>3212</v>
      </c>
    </row>
    <row r="728" customHeight="1" spans="1:6">
      <c r="A728" s="6">
        <v>727</v>
      </c>
      <c r="B728" s="8" t="s">
        <v>3209</v>
      </c>
      <c r="C728" s="8" t="s">
        <v>3210</v>
      </c>
      <c r="D728" s="8" t="s">
        <v>3211</v>
      </c>
      <c r="E728" s="8" t="s">
        <v>576</v>
      </c>
      <c r="F728" s="8" t="s">
        <v>3212</v>
      </c>
    </row>
    <row r="729" customHeight="1" spans="1:6">
      <c r="A729" s="6">
        <v>728</v>
      </c>
      <c r="B729" s="8" t="s">
        <v>3213</v>
      </c>
      <c r="C729" s="8" t="s">
        <v>3206</v>
      </c>
      <c r="D729" s="8" t="s">
        <v>3214</v>
      </c>
      <c r="E729" s="8" t="s">
        <v>288</v>
      </c>
      <c r="F729" s="8" t="s">
        <v>3215</v>
      </c>
    </row>
    <row r="730" customHeight="1" spans="1:6">
      <c r="A730" s="6">
        <v>729</v>
      </c>
      <c r="B730" s="8" t="s">
        <v>3213</v>
      </c>
      <c r="C730" s="8" t="s">
        <v>3206</v>
      </c>
      <c r="D730" s="8" t="s">
        <v>3214</v>
      </c>
      <c r="E730" s="8" t="s">
        <v>288</v>
      </c>
      <c r="F730" s="8" t="s">
        <v>3215</v>
      </c>
    </row>
    <row r="731" customHeight="1" spans="1:6">
      <c r="A731" s="6">
        <v>730</v>
      </c>
      <c r="B731" s="8" t="s">
        <v>3213</v>
      </c>
      <c r="C731" s="8" t="s">
        <v>3206</v>
      </c>
      <c r="D731" s="8" t="s">
        <v>3214</v>
      </c>
      <c r="E731" s="8" t="s">
        <v>288</v>
      </c>
      <c r="F731" s="8" t="s">
        <v>3215</v>
      </c>
    </row>
    <row r="732" customHeight="1" spans="1:6">
      <c r="A732" s="6">
        <v>731</v>
      </c>
      <c r="B732" s="8" t="s">
        <v>3216</v>
      </c>
      <c r="C732" s="8" t="s">
        <v>3217</v>
      </c>
      <c r="D732" s="8" t="s">
        <v>3218</v>
      </c>
      <c r="E732" s="8" t="s">
        <v>1189</v>
      </c>
      <c r="F732" s="8" t="s">
        <v>3219</v>
      </c>
    </row>
    <row r="733" customHeight="1" spans="1:6">
      <c r="A733" s="6">
        <v>732</v>
      </c>
      <c r="B733" s="8" t="s">
        <v>3216</v>
      </c>
      <c r="C733" s="8" t="s">
        <v>3217</v>
      </c>
      <c r="D733" s="8" t="s">
        <v>3218</v>
      </c>
      <c r="E733" s="8" t="s">
        <v>1189</v>
      </c>
      <c r="F733" s="8" t="s">
        <v>3219</v>
      </c>
    </row>
    <row r="734" customHeight="1" spans="1:6">
      <c r="A734" s="6">
        <v>733</v>
      </c>
      <c r="B734" s="8" t="s">
        <v>3216</v>
      </c>
      <c r="C734" s="8" t="s">
        <v>3217</v>
      </c>
      <c r="D734" s="8" t="s">
        <v>3218</v>
      </c>
      <c r="E734" s="8" t="s">
        <v>1189</v>
      </c>
      <c r="F734" s="8" t="s">
        <v>3219</v>
      </c>
    </row>
    <row r="735" customHeight="1" spans="1:6">
      <c r="A735" s="6">
        <v>734</v>
      </c>
      <c r="B735" s="8" t="s">
        <v>3220</v>
      </c>
      <c r="C735" s="8" t="s">
        <v>3221</v>
      </c>
      <c r="D735" s="8" t="s">
        <v>3222</v>
      </c>
      <c r="E735" s="8" t="s">
        <v>375</v>
      </c>
      <c r="F735" s="8" t="s">
        <v>3223</v>
      </c>
    </row>
    <row r="736" customHeight="1" spans="1:6">
      <c r="A736" s="6">
        <v>735</v>
      </c>
      <c r="B736" s="8" t="s">
        <v>3220</v>
      </c>
      <c r="C736" s="8" t="s">
        <v>3221</v>
      </c>
      <c r="D736" s="8" t="s">
        <v>3222</v>
      </c>
      <c r="E736" s="8" t="s">
        <v>375</v>
      </c>
      <c r="F736" s="8" t="s">
        <v>3223</v>
      </c>
    </row>
    <row r="737" customHeight="1" spans="1:6">
      <c r="A737" s="6">
        <v>736</v>
      </c>
      <c r="B737" s="8" t="s">
        <v>3224</v>
      </c>
      <c r="C737" s="8" t="s">
        <v>3225</v>
      </c>
      <c r="D737" s="8" t="s">
        <v>3226</v>
      </c>
      <c r="E737" s="8" t="s">
        <v>710</v>
      </c>
      <c r="F737" s="8" t="s">
        <v>3227</v>
      </c>
    </row>
    <row r="738" customHeight="1" spans="1:6">
      <c r="A738" s="6">
        <v>737</v>
      </c>
      <c r="B738" s="8" t="s">
        <v>3224</v>
      </c>
      <c r="C738" s="8" t="s">
        <v>3225</v>
      </c>
      <c r="D738" s="8" t="s">
        <v>3226</v>
      </c>
      <c r="E738" s="8" t="s">
        <v>710</v>
      </c>
      <c r="F738" s="8" t="s">
        <v>3227</v>
      </c>
    </row>
    <row r="739" customHeight="1" spans="1:6">
      <c r="A739" s="6">
        <v>738</v>
      </c>
      <c r="B739" s="8" t="s">
        <v>3228</v>
      </c>
      <c r="C739" s="8" t="s">
        <v>3229</v>
      </c>
      <c r="D739" s="8" t="s">
        <v>3230</v>
      </c>
      <c r="E739" s="8" t="s">
        <v>189</v>
      </c>
      <c r="F739" s="8" t="s">
        <v>3231</v>
      </c>
    </row>
    <row r="740" customHeight="1" spans="1:6">
      <c r="A740" s="6">
        <v>739</v>
      </c>
      <c r="B740" s="8" t="s">
        <v>3228</v>
      </c>
      <c r="C740" s="8" t="s">
        <v>3229</v>
      </c>
      <c r="D740" s="8" t="s">
        <v>3230</v>
      </c>
      <c r="E740" s="8" t="s">
        <v>189</v>
      </c>
      <c r="F740" s="8" t="s">
        <v>3231</v>
      </c>
    </row>
    <row r="741" customHeight="1" spans="1:6">
      <c r="A741" s="6">
        <v>740</v>
      </c>
      <c r="B741" s="8" t="s">
        <v>3228</v>
      </c>
      <c r="C741" s="8" t="s">
        <v>3229</v>
      </c>
      <c r="D741" s="8" t="s">
        <v>3230</v>
      </c>
      <c r="E741" s="8" t="s">
        <v>189</v>
      </c>
      <c r="F741" s="8" t="s">
        <v>3231</v>
      </c>
    </row>
    <row r="742" customHeight="1" spans="1:6">
      <c r="A742" s="6">
        <v>741</v>
      </c>
      <c r="B742" s="8" t="s">
        <v>3232</v>
      </c>
      <c r="C742" s="8" t="s">
        <v>3233</v>
      </c>
      <c r="D742" s="8" t="s">
        <v>3234</v>
      </c>
      <c r="E742" s="8" t="s">
        <v>1189</v>
      </c>
      <c r="F742" s="8" t="s">
        <v>3235</v>
      </c>
    </row>
    <row r="743" customHeight="1" spans="1:6">
      <c r="A743" s="6">
        <v>742</v>
      </c>
      <c r="B743" s="8" t="s">
        <v>3232</v>
      </c>
      <c r="C743" s="8" t="s">
        <v>3233</v>
      </c>
      <c r="D743" s="8" t="s">
        <v>3234</v>
      </c>
      <c r="E743" s="8" t="s">
        <v>1189</v>
      </c>
      <c r="F743" s="8" t="s">
        <v>3235</v>
      </c>
    </row>
    <row r="744" customHeight="1" spans="1:6">
      <c r="A744" s="6">
        <v>743</v>
      </c>
      <c r="B744" s="8" t="s">
        <v>3232</v>
      </c>
      <c r="C744" s="8" t="s">
        <v>3233</v>
      </c>
      <c r="D744" s="8" t="s">
        <v>3234</v>
      </c>
      <c r="E744" s="8" t="s">
        <v>1189</v>
      </c>
      <c r="F744" s="8" t="s">
        <v>3235</v>
      </c>
    </row>
    <row r="745" customHeight="1" spans="1:6">
      <c r="A745" s="6">
        <v>744</v>
      </c>
      <c r="B745" s="8" t="s">
        <v>3236</v>
      </c>
      <c r="C745" s="8" t="s">
        <v>3237</v>
      </c>
      <c r="D745" s="8" t="s">
        <v>3238</v>
      </c>
      <c r="E745" s="8" t="s">
        <v>2566</v>
      </c>
      <c r="F745" s="8" t="s">
        <v>3239</v>
      </c>
    </row>
    <row r="746" customHeight="1" spans="1:6">
      <c r="A746" s="6">
        <v>745</v>
      </c>
      <c r="B746" s="8" t="s">
        <v>3236</v>
      </c>
      <c r="C746" s="8" t="s">
        <v>3237</v>
      </c>
      <c r="D746" s="8" t="s">
        <v>3238</v>
      </c>
      <c r="E746" s="8" t="s">
        <v>2566</v>
      </c>
      <c r="F746" s="8" t="s">
        <v>3239</v>
      </c>
    </row>
    <row r="747" customHeight="1" spans="1:6">
      <c r="A747" s="6">
        <v>746</v>
      </c>
      <c r="B747" s="8" t="s">
        <v>3236</v>
      </c>
      <c r="C747" s="8" t="s">
        <v>3237</v>
      </c>
      <c r="D747" s="8" t="s">
        <v>3238</v>
      </c>
      <c r="E747" s="8" t="s">
        <v>2566</v>
      </c>
      <c r="F747" s="8" t="s">
        <v>3239</v>
      </c>
    </row>
    <row r="748" customHeight="1" spans="1:6">
      <c r="A748" s="6">
        <v>747</v>
      </c>
      <c r="B748" s="8" t="s">
        <v>3240</v>
      </c>
      <c r="C748" s="8" t="s">
        <v>3241</v>
      </c>
      <c r="D748" s="8" t="s">
        <v>3242</v>
      </c>
      <c r="E748" s="8" t="s">
        <v>2161</v>
      </c>
      <c r="F748" s="8" t="s">
        <v>3243</v>
      </c>
    </row>
    <row r="749" customHeight="1" spans="1:6">
      <c r="A749" s="6">
        <v>748</v>
      </c>
      <c r="B749" s="8" t="s">
        <v>3240</v>
      </c>
      <c r="C749" s="8" t="s">
        <v>3241</v>
      </c>
      <c r="D749" s="8" t="s">
        <v>3242</v>
      </c>
      <c r="E749" s="8" t="s">
        <v>2161</v>
      </c>
      <c r="F749" s="8" t="s">
        <v>3243</v>
      </c>
    </row>
    <row r="750" customHeight="1" spans="1:6">
      <c r="A750" s="6">
        <v>749</v>
      </c>
      <c r="B750" s="8" t="s">
        <v>3240</v>
      </c>
      <c r="C750" s="8" t="s">
        <v>3241</v>
      </c>
      <c r="D750" s="8" t="s">
        <v>3242</v>
      </c>
      <c r="E750" s="8" t="s">
        <v>2161</v>
      </c>
      <c r="F750" s="8" t="s">
        <v>3243</v>
      </c>
    </row>
    <row r="751" customHeight="1" spans="1:6">
      <c r="A751" s="6">
        <v>750</v>
      </c>
      <c r="B751" s="8" t="s">
        <v>3244</v>
      </c>
      <c r="C751" s="8" t="s">
        <v>3245</v>
      </c>
      <c r="D751" s="8" t="s">
        <v>3246</v>
      </c>
      <c r="E751" s="8" t="s">
        <v>530</v>
      </c>
      <c r="F751" s="8" t="s">
        <v>3247</v>
      </c>
    </row>
    <row r="752" customHeight="1" spans="1:6">
      <c r="A752" s="6">
        <v>751</v>
      </c>
      <c r="B752" s="8" t="s">
        <v>3244</v>
      </c>
      <c r="C752" s="8" t="s">
        <v>3245</v>
      </c>
      <c r="D752" s="8" t="s">
        <v>3246</v>
      </c>
      <c r="E752" s="8" t="s">
        <v>530</v>
      </c>
      <c r="F752" s="8" t="s">
        <v>3247</v>
      </c>
    </row>
    <row r="753" customHeight="1" spans="1:6">
      <c r="A753" s="6">
        <v>752</v>
      </c>
      <c r="B753" s="8" t="s">
        <v>3244</v>
      </c>
      <c r="C753" s="8" t="s">
        <v>3245</v>
      </c>
      <c r="D753" s="8" t="s">
        <v>3246</v>
      </c>
      <c r="E753" s="8" t="s">
        <v>530</v>
      </c>
      <c r="F753" s="8" t="s">
        <v>3247</v>
      </c>
    </row>
    <row r="754" customHeight="1" spans="1:6">
      <c r="A754" s="6">
        <v>753</v>
      </c>
      <c r="B754" s="8" t="s">
        <v>3248</v>
      </c>
      <c r="C754" s="8" t="s">
        <v>3249</v>
      </c>
      <c r="D754" s="8" t="s">
        <v>3250</v>
      </c>
      <c r="E754" s="8" t="s">
        <v>576</v>
      </c>
      <c r="F754" s="8" t="s">
        <v>3251</v>
      </c>
    </row>
    <row r="755" customHeight="1" spans="1:6">
      <c r="A755" s="6">
        <v>754</v>
      </c>
      <c r="B755" s="8" t="s">
        <v>3248</v>
      </c>
      <c r="C755" s="8" t="s">
        <v>3249</v>
      </c>
      <c r="D755" s="8" t="s">
        <v>3250</v>
      </c>
      <c r="E755" s="8" t="s">
        <v>576</v>
      </c>
      <c r="F755" s="8" t="s">
        <v>3251</v>
      </c>
    </row>
    <row r="756" customHeight="1" spans="1:6">
      <c r="A756" s="6">
        <v>755</v>
      </c>
      <c r="B756" s="8" t="s">
        <v>3248</v>
      </c>
      <c r="C756" s="8" t="s">
        <v>3249</v>
      </c>
      <c r="D756" s="8" t="s">
        <v>3250</v>
      </c>
      <c r="E756" s="8" t="s">
        <v>576</v>
      </c>
      <c r="F756" s="8" t="s">
        <v>3251</v>
      </c>
    </row>
    <row r="757" customHeight="1" spans="1:6">
      <c r="A757" s="6">
        <v>756</v>
      </c>
      <c r="B757" s="8" t="s">
        <v>3252</v>
      </c>
      <c r="C757" s="8" t="s">
        <v>3253</v>
      </c>
      <c r="D757" s="8" t="s">
        <v>3254</v>
      </c>
      <c r="E757" s="8" t="s">
        <v>710</v>
      </c>
      <c r="F757" s="8" t="s">
        <v>3255</v>
      </c>
    </row>
    <row r="758" customHeight="1" spans="1:6">
      <c r="A758" s="6">
        <v>757</v>
      </c>
      <c r="B758" s="8" t="s">
        <v>3252</v>
      </c>
      <c r="C758" s="8" t="s">
        <v>3253</v>
      </c>
      <c r="D758" s="8" t="s">
        <v>3254</v>
      </c>
      <c r="E758" s="8" t="s">
        <v>710</v>
      </c>
      <c r="F758" s="8" t="s">
        <v>3255</v>
      </c>
    </row>
    <row r="759" customHeight="1" spans="1:6">
      <c r="A759" s="6">
        <v>758</v>
      </c>
      <c r="B759" s="8" t="s">
        <v>3256</v>
      </c>
      <c r="C759" s="8" t="s">
        <v>3257</v>
      </c>
      <c r="D759" s="8" t="s">
        <v>3258</v>
      </c>
      <c r="E759" s="8" t="s">
        <v>1189</v>
      </c>
      <c r="F759" s="8" t="s">
        <v>3259</v>
      </c>
    </row>
    <row r="760" customHeight="1" spans="1:6">
      <c r="A760" s="6">
        <v>759</v>
      </c>
      <c r="B760" s="8" t="s">
        <v>3256</v>
      </c>
      <c r="C760" s="8" t="s">
        <v>3257</v>
      </c>
      <c r="D760" s="8" t="s">
        <v>3258</v>
      </c>
      <c r="E760" s="8" t="s">
        <v>1189</v>
      </c>
      <c r="F760" s="8" t="s">
        <v>3259</v>
      </c>
    </row>
    <row r="761" customHeight="1" spans="1:6">
      <c r="A761" s="6">
        <v>760</v>
      </c>
      <c r="B761" s="8" t="s">
        <v>3256</v>
      </c>
      <c r="C761" s="8" t="s">
        <v>3257</v>
      </c>
      <c r="D761" s="8" t="s">
        <v>3258</v>
      </c>
      <c r="E761" s="8" t="s">
        <v>1189</v>
      </c>
      <c r="F761" s="8" t="s">
        <v>3259</v>
      </c>
    </row>
    <row r="762" customHeight="1" spans="1:6">
      <c r="A762" s="6">
        <v>761</v>
      </c>
      <c r="B762" s="8" t="s">
        <v>3260</v>
      </c>
      <c r="C762" s="8" t="s">
        <v>3261</v>
      </c>
      <c r="D762" s="8" t="s">
        <v>3262</v>
      </c>
      <c r="E762" s="8" t="s">
        <v>1189</v>
      </c>
      <c r="F762" s="8" t="s">
        <v>3263</v>
      </c>
    </row>
    <row r="763" customHeight="1" spans="1:6">
      <c r="A763" s="6">
        <v>762</v>
      </c>
      <c r="B763" s="8" t="s">
        <v>3260</v>
      </c>
      <c r="C763" s="8" t="s">
        <v>3261</v>
      </c>
      <c r="D763" s="8" t="s">
        <v>3262</v>
      </c>
      <c r="E763" s="8" t="s">
        <v>1189</v>
      </c>
      <c r="F763" s="8" t="s">
        <v>3263</v>
      </c>
    </row>
    <row r="764" customHeight="1" spans="1:6">
      <c r="A764" s="6">
        <v>763</v>
      </c>
      <c r="B764" s="8" t="s">
        <v>3260</v>
      </c>
      <c r="C764" s="8" t="s">
        <v>3261</v>
      </c>
      <c r="D764" s="8" t="s">
        <v>3262</v>
      </c>
      <c r="E764" s="8" t="s">
        <v>1189</v>
      </c>
      <c r="F764" s="8" t="s">
        <v>3263</v>
      </c>
    </row>
    <row r="765" customHeight="1" spans="1:6">
      <c r="A765" s="6">
        <v>764</v>
      </c>
      <c r="B765" s="8" t="s">
        <v>3264</v>
      </c>
      <c r="C765" s="8" t="s">
        <v>3265</v>
      </c>
      <c r="D765" s="8" t="s">
        <v>3266</v>
      </c>
      <c r="E765" s="8" t="s">
        <v>2212</v>
      </c>
      <c r="F765" s="8" t="s">
        <v>3267</v>
      </c>
    </row>
    <row r="766" customHeight="1" spans="1:6">
      <c r="A766" s="6">
        <v>765</v>
      </c>
      <c r="B766" s="8" t="s">
        <v>3264</v>
      </c>
      <c r="C766" s="8" t="s">
        <v>3265</v>
      </c>
      <c r="D766" s="8" t="s">
        <v>3266</v>
      </c>
      <c r="E766" s="8" t="s">
        <v>2212</v>
      </c>
      <c r="F766" s="8" t="s">
        <v>3267</v>
      </c>
    </row>
    <row r="767" customHeight="1" spans="1:6">
      <c r="A767" s="6">
        <v>766</v>
      </c>
      <c r="B767" s="8" t="s">
        <v>3268</v>
      </c>
      <c r="C767" s="8" t="s">
        <v>3269</v>
      </c>
      <c r="D767" s="8" t="s">
        <v>3270</v>
      </c>
      <c r="E767" s="8" t="s">
        <v>710</v>
      </c>
      <c r="F767" s="8" t="s">
        <v>3271</v>
      </c>
    </row>
    <row r="768" customHeight="1" spans="1:6">
      <c r="A768" s="6">
        <v>767</v>
      </c>
      <c r="B768" s="8" t="s">
        <v>3268</v>
      </c>
      <c r="C768" s="8" t="s">
        <v>3269</v>
      </c>
      <c r="D768" s="8" t="s">
        <v>3270</v>
      </c>
      <c r="E768" s="8" t="s">
        <v>710</v>
      </c>
      <c r="F768" s="8" t="s">
        <v>3271</v>
      </c>
    </row>
    <row r="769" customHeight="1" spans="1:6">
      <c r="A769" s="6">
        <v>768</v>
      </c>
      <c r="B769" s="8" t="s">
        <v>3272</v>
      </c>
      <c r="C769" s="8" t="s">
        <v>3273</v>
      </c>
      <c r="D769" s="8" t="s">
        <v>3274</v>
      </c>
      <c r="E769" s="8" t="s">
        <v>530</v>
      </c>
      <c r="F769" s="8" t="s">
        <v>3275</v>
      </c>
    </row>
    <row r="770" customHeight="1" spans="1:6">
      <c r="A770" s="6">
        <v>769</v>
      </c>
      <c r="B770" s="8" t="s">
        <v>3272</v>
      </c>
      <c r="C770" s="8" t="s">
        <v>3273</v>
      </c>
      <c r="D770" s="8" t="s">
        <v>3274</v>
      </c>
      <c r="E770" s="8" t="s">
        <v>530</v>
      </c>
      <c r="F770" s="8" t="s">
        <v>3275</v>
      </c>
    </row>
    <row r="771" customHeight="1" spans="1:6">
      <c r="A771" s="6">
        <v>770</v>
      </c>
      <c r="B771" s="8" t="s">
        <v>3276</v>
      </c>
      <c r="C771" s="8" t="s">
        <v>3277</v>
      </c>
      <c r="D771" s="8" t="s">
        <v>3278</v>
      </c>
      <c r="E771" s="8" t="s">
        <v>2267</v>
      </c>
      <c r="F771" s="8" t="s">
        <v>3279</v>
      </c>
    </row>
    <row r="772" customHeight="1" spans="1:6">
      <c r="A772" s="6">
        <v>771</v>
      </c>
      <c r="B772" s="8" t="s">
        <v>3276</v>
      </c>
      <c r="C772" s="8" t="s">
        <v>3277</v>
      </c>
      <c r="D772" s="8" t="s">
        <v>3278</v>
      </c>
      <c r="E772" s="8" t="s">
        <v>2267</v>
      </c>
      <c r="F772" s="8" t="s">
        <v>3279</v>
      </c>
    </row>
    <row r="773" customHeight="1" spans="1:6">
      <c r="A773" s="6">
        <v>772</v>
      </c>
      <c r="B773" s="8" t="s">
        <v>3280</v>
      </c>
      <c r="C773" s="8" t="s">
        <v>3281</v>
      </c>
      <c r="D773" s="8" t="s">
        <v>3282</v>
      </c>
      <c r="E773" s="8" t="s">
        <v>710</v>
      </c>
      <c r="F773" s="8" t="s">
        <v>3283</v>
      </c>
    </row>
    <row r="774" customHeight="1" spans="1:6">
      <c r="A774" s="6">
        <v>773</v>
      </c>
      <c r="B774" s="8" t="s">
        <v>3280</v>
      </c>
      <c r="C774" s="8" t="s">
        <v>3281</v>
      </c>
      <c r="D774" s="8" t="s">
        <v>3282</v>
      </c>
      <c r="E774" s="8" t="s">
        <v>710</v>
      </c>
      <c r="F774" s="8" t="s">
        <v>3283</v>
      </c>
    </row>
    <row r="775" customHeight="1" spans="1:6">
      <c r="A775" s="6">
        <v>774</v>
      </c>
      <c r="B775" s="8" t="s">
        <v>3284</v>
      </c>
      <c r="C775" s="8" t="s">
        <v>3285</v>
      </c>
      <c r="D775" s="8" t="s">
        <v>3286</v>
      </c>
      <c r="E775" s="8" t="s">
        <v>3180</v>
      </c>
      <c r="F775" s="8" t="s">
        <v>3287</v>
      </c>
    </row>
    <row r="776" customHeight="1" spans="1:6">
      <c r="A776" s="6">
        <v>775</v>
      </c>
      <c r="B776" s="8" t="s">
        <v>3284</v>
      </c>
      <c r="C776" s="8" t="s">
        <v>3285</v>
      </c>
      <c r="D776" s="8" t="s">
        <v>3286</v>
      </c>
      <c r="E776" s="8" t="s">
        <v>3180</v>
      </c>
      <c r="F776" s="8" t="s">
        <v>3287</v>
      </c>
    </row>
    <row r="777" customHeight="1" spans="1:6">
      <c r="A777" s="6">
        <v>776</v>
      </c>
      <c r="B777" s="8" t="s">
        <v>3288</v>
      </c>
      <c r="C777" s="8" t="s">
        <v>3289</v>
      </c>
      <c r="D777" s="8" t="s">
        <v>3290</v>
      </c>
      <c r="E777" s="8" t="s">
        <v>710</v>
      </c>
      <c r="F777" s="8" t="s">
        <v>3291</v>
      </c>
    </row>
    <row r="778" customHeight="1" spans="1:6">
      <c r="A778" s="6">
        <v>777</v>
      </c>
      <c r="B778" s="8" t="s">
        <v>3288</v>
      </c>
      <c r="C778" s="8" t="s">
        <v>3289</v>
      </c>
      <c r="D778" s="8" t="s">
        <v>3290</v>
      </c>
      <c r="E778" s="8" t="s">
        <v>710</v>
      </c>
      <c r="F778" s="8" t="s">
        <v>3291</v>
      </c>
    </row>
    <row r="779" customHeight="1" spans="1:6">
      <c r="A779" s="6">
        <v>778</v>
      </c>
      <c r="B779" s="7" t="str">
        <f t="shared" ref="B779:B781" si="56">"978-7-5504-4789-9"</f>
        <v>978-7-5504-4789-9</v>
      </c>
      <c r="C779" s="7" t="str">
        <f t="shared" ref="C779:C781" si="57">"管理会计"</f>
        <v>管理会计</v>
      </c>
      <c r="D779" s="7" t="str">
        <f t="shared" ref="D779:D781" si="58">"主编张红云， 韩卫华"</f>
        <v>主编张红云， 韩卫华</v>
      </c>
      <c r="E779" s="7" t="str">
        <f t="shared" ref="E779:E781" si="59">"西南财经大学出版社"</f>
        <v>西南财经大学出版社</v>
      </c>
      <c r="F779" s="7" t="str">
        <f t="shared" ref="F779:F781" si="60">"F234.3/230=2D"</f>
        <v>F234.3/230=2D</v>
      </c>
    </row>
    <row r="780" customHeight="1" spans="1:6">
      <c r="A780" s="6">
        <v>779</v>
      </c>
      <c r="B780" s="7" t="str">
        <f t="shared" si="56"/>
        <v>978-7-5504-4789-9</v>
      </c>
      <c r="C780" s="7" t="str">
        <f t="shared" si="57"/>
        <v>管理会计</v>
      </c>
      <c r="D780" s="7" t="str">
        <f t="shared" si="58"/>
        <v>主编张红云， 韩卫华</v>
      </c>
      <c r="E780" s="7" t="str">
        <f t="shared" si="59"/>
        <v>西南财经大学出版社</v>
      </c>
      <c r="F780" s="7" t="str">
        <f t="shared" si="60"/>
        <v>F234.3/230=2D</v>
      </c>
    </row>
    <row r="781" customHeight="1" spans="1:6">
      <c r="A781" s="6">
        <v>780</v>
      </c>
      <c r="B781" s="7" t="str">
        <f t="shared" si="56"/>
        <v>978-7-5504-4789-9</v>
      </c>
      <c r="C781" s="7" t="str">
        <f t="shared" si="57"/>
        <v>管理会计</v>
      </c>
      <c r="D781" s="7" t="str">
        <f t="shared" si="58"/>
        <v>主编张红云， 韩卫华</v>
      </c>
      <c r="E781" s="7" t="str">
        <f t="shared" si="59"/>
        <v>西南财经大学出版社</v>
      </c>
      <c r="F781" s="7" t="str">
        <f t="shared" si="60"/>
        <v>F234.3/230=2D</v>
      </c>
    </row>
    <row r="782" customHeight="1" spans="1:6">
      <c r="A782" s="6">
        <v>781</v>
      </c>
      <c r="B782" s="8" t="s">
        <v>3292</v>
      </c>
      <c r="C782" s="8" t="s">
        <v>3293</v>
      </c>
      <c r="D782" s="8" t="s">
        <v>3294</v>
      </c>
      <c r="E782" s="8" t="s">
        <v>1189</v>
      </c>
      <c r="F782" s="8" t="s">
        <v>3295</v>
      </c>
    </row>
    <row r="783" customHeight="1" spans="1:6">
      <c r="A783" s="6">
        <v>782</v>
      </c>
      <c r="B783" s="8" t="s">
        <v>3292</v>
      </c>
      <c r="C783" s="8" t="s">
        <v>3293</v>
      </c>
      <c r="D783" s="8" t="s">
        <v>3294</v>
      </c>
      <c r="E783" s="8" t="s">
        <v>1189</v>
      </c>
      <c r="F783" s="8" t="s">
        <v>3295</v>
      </c>
    </row>
    <row r="784" customHeight="1" spans="1:6">
      <c r="A784" s="6">
        <v>783</v>
      </c>
      <c r="B784" s="8" t="s">
        <v>3292</v>
      </c>
      <c r="C784" s="8" t="s">
        <v>3293</v>
      </c>
      <c r="D784" s="8" t="s">
        <v>3294</v>
      </c>
      <c r="E784" s="8" t="s">
        <v>1189</v>
      </c>
      <c r="F784" s="8" t="s">
        <v>3295</v>
      </c>
    </row>
    <row r="785" customHeight="1" spans="1:6">
      <c r="A785" s="6">
        <v>784</v>
      </c>
      <c r="B785" s="8" t="s">
        <v>3296</v>
      </c>
      <c r="C785" s="8" t="s">
        <v>3297</v>
      </c>
      <c r="D785" s="8" t="s">
        <v>3298</v>
      </c>
      <c r="E785" s="8" t="s">
        <v>1189</v>
      </c>
      <c r="F785" s="8" t="s">
        <v>3299</v>
      </c>
    </row>
    <row r="786" customHeight="1" spans="1:6">
      <c r="A786" s="6">
        <v>785</v>
      </c>
      <c r="B786" s="8" t="s">
        <v>3296</v>
      </c>
      <c r="C786" s="8" t="s">
        <v>3297</v>
      </c>
      <c r="D786" s="8" t="s">
        <v>3298</v>
      </c>
      <c r="E786" s="8" t="s">
        <v>1189</v>
      </c>
      <c r="F786" s="8" t="s">
        <v>3299</v>
      </c>
    </row>
    <row r="787" customHeight="1" spans="1:6">
      <c r="A787" s="6">
        <v>786</v>
      </c>
      <c r="B787" s="8" t="s">
        <v>3296</v>
      </c>
      <c r="C787" s="8" t="s">
        <v>3297</v>
      </c>
      <c r="D787" s="8" t="s">
        <v>3298</v>
      </c>
      <c r="E787" s="8" t="s">
        <v>1189</v>
      </c>
      <c r="F787" s="8" t="s">
        <v>3299</v>
      </c>
    </row>
    <row r="788" customHeight="1" spans="1:6">
      <c r="A788" s="6">
        <v>787</v>
      </c>
      <c r="B788" s="8" t="s">
        <v>3300</v>
      </c>
      <c r="C788" s="8" t="s">
        <v>3301</v>
      </c>
      <c r="D788" s="8" t="s">
        <v>3302</v>
      </c>
      <c r="E788" s="8" t="s">
        <v>1342</v>
      </c>
      <c r="F788" s="8" t="s">
        <v>3303</v>
      </c>
    </row>
    <row r="789" customHeight="1" spans="1:6">
      <c r="A789" s="6">
        <v>788</v>
      </c>
      <c r="B789" s="8" t="s">
        <v>3300</v>
      </c>
      <c r="C789" s="8" t="s">
        <v>3301</v>
      </c>
      <c r="D789" s="8" t="s">
        <v>3302</v>
      </c>
      <c r="E789" s="8" t="s">
        <v>1342</v>
      </c>
      <c r="F789" s="8" t="s">
        <v>3303</v>
      </c>
    </row>
    <row r="790" customHeight="1" spans="1:6">
      <c r="A790" s="6">
        <v>789</v>
      </c>
      <c r="B790" s="8" t="s">
        <v>3304</v>
      </c>
      <c r="C790" s="8" t="s">
        <v>3305</v>
      </c>
      <c r="D790" s="8" t="s">
        <v>3306</v>
      </c>
      <c r="E790" s="8" t="s">
        <v>710</v>
      </c>
      <c r="F790" s="8" t="s">
        <v>3307</v>
      </c>
    </row>
    <row r="791" customHeight="1" spans="1:6">
      <c r="A791" s="6">
        <v>790</v>
      </c>
      <c r="B791" s="8" t="s">
        <v>3304</v>
      </c>
      <c r="C791" s="8" t="s">
        <v>3305</v>
      </c>
      <c r="D791" s="8" t="s">
        <v>3306</v>
      </c>
      <c r="E791" s="8" t="s">
        <v>710</v>
      </c>
      <c r="F791" s="8" t="s">
        <v>3307</v>
      </c>
    </row>
    <row r="792" customHeight="1" spans="1:6">
      <c r="A792" s="6">
        <v>791</v>
      </c>
      <c r="B792" s="8" t="s">
        <v>3308</v>
      </c>
      <c r="C792" s="8" t="s">
        <v>3301</v>
      </c>
      <c r="D792" s="8" t="s">
        <v>3309</v>
      </c>
      <c r="E792" s="8" t="s">
        <v>311</v>
      </c>
      <c r="F792" s="8" t="s">
        <v>3310</v>
      </c>
    </row>
    <row r="793" customHeight="1" spans="1:6">
      <c r="A793" s="6">
        <v>792</v>
      </c>
      <c r="B793" s="8" t="s">
        <v>3308</v>
      </c>
      <c r="C793" s="8" t="s">
        <v>3301</v>
      </c>
      <c r="D793" s="8" t="s">
        <v>3309</v>
      </c>
      <c r="E793" s="8" t="s">
        <v>311</v>
      </c>
      <c r="F793" s="8" t="s">
        <v>3310</v>
      </c>
    </row>
    <row r="794" customHeight="1" spans="1:6">
      <c r="A794" s="6">
        <v>793</v>
      </c>
      <c r="B794" s="8" t="s">
        <v>3311</v>
      </c>
      <c r="C794" s="8" t="s">
        <v>3312</v>
      </c>
      <c r="D794" s="8" t="s">
        <v>3313</v>
      </c>
      <c r="E794" s="8" t="s">
        <v>216</v>
      </c>
      <c r="F794" s="8" t="s">
        <v>3314</v>
      </c>
    </row>
    <row r="795" customHeight="1" spans="1:6">
      <c r="A795" s="6">
        <v>794</v>
      </c>
      <c r="B795" s="8" t="s">
        <v>3311</v>
      </c>
      <c r="C795" s="8" t="s">
        <v>3312</v>
      </c>
      <c r="D795" s="8" t="s">
        <v>3313</v>
      </c>
      <c r="E795" s="8" t="s">
        <v>216</v>
      </c>
      <c r="F795" s="8" t="s">
        <v>3314</v>
      </c>
    </row>
    <row r="796" customHeight="1" spans="1:6">
      <c r="A796" s="6">
        <v>795</v>
      </c>
      <c r="B796" s="8" t="s">
        <v>3315</v>
      </c>
      <c r="C796" s="8" t="s">
        <v>3316</v>
      </c>
      <c r="D796" s="8" t="s">
        <v>3317</v>
      </c>
      <c r="E796" s="8" t="s">
        <v>2566</v>
      </c>
      <c r="F796" s="8" t="s">
        <v>3318</v>
      </c>
    </row>
    <row r="797" customHeight="1" spans="1:6">
      <c r="A797" s="6">
        <v>796</v>
      </c>
      <c r="B797" s="8" t="s">
        <v>3315</v>
      </c>
      <c r="C797" s="8" t="s">
        <v>3316</v>
      </c>
      <c r="D797" s="8" t="s">
        <v>3317</v>
      </c>
      <c r="E797" s="8" t="s">
        <v>2566</v>
      </c>
      <c r="F797" s="8" t="s">
        <v>3318</v>
      </c>
    </row>
    <row r="798" customHeight="1" spans="1:6">
      <c r="A798" s="6">
        <v>797</v>
      </c>
      <c r="B798" s="8" t="s">
        <v>3315</v>
      </c>
      <c r="C798" s="8" t="s">
        <v>3316</v>
      </c>
      <c r="D798" s="8" t="s">
        <v>3317</v>
      </c>
      <c r="E798" s="8" t="s">
        <v>2566</v>
      </c>
      <c r="F798" s="8" t="s">
        <v>3318</v>
      </c>
    </row>
    <row r="799" customHeight="1" spans="1:6">
      <c r="A799" s="6">
        <v>798</v>
      </c>
      <c r="B799" s="8" t="s">
        <v>3319</v>
      </c>
      <c r="C799" s="8" t="s">
        <v>3320</v>
      </c>
      <c r="D799" s="8" t="s">
        <v>3321</v>
      </c>
      <c r="E799" s="8" t="s">
        <v>256</v>
      </c>
      <c r="F799" s="8" t="s">
        <v>3322</v>
      </c>
    </row>
    <row r="800" customHeight="1" spans="1:6">
      <c r="A800" s="6">
        <v>799</v>
      </c>
      <c r="B800" s="8" t="s">
        <v>3319</v>
      </c>
      <c r="C800" s="8" t="s">
        <v>3320</v>
      </c>
      <c r="D800" s="8" t="s">
        <v>3321</v>
      </c>
      <c r="E800" s="8" t="s">
        <v>256</v>
      </c>
      <c r="F800" s="8" t="s">
        <v>3322</v>
      </c>
    </row>
    <row r="801" customHeight="1" spans="1:6">
      <c r="A801" s="6">
        <v>800</v>
      </c>
      <c r="B801" s="8" t="s">
        <v>3323</v>
      </c>
      <c r="C801" s="8" t="s">
        <v>3316</v>
      </c>
      <c r="D801" s="8" t="s">
        <v>3324</v>
      </c>
      <c r="E801" s="8" t="s">
        <v>710</v>
      </c>
      <c r="F801" s="8" t="s">
        <v>3325</v>
      </c>
    </row>
    <row r="802" customHeight="1" spans="1:6">
      <c r="A802" s="6">
        <v>801</v>
      </c>
      <c r="B802" s="8" t="s">
        <v>3323</v>
      </c>
      <c r="C802" s="8" t="s">
        <v>3316</v>
      </c>
      <c r="D802" s="8" t="s">
        <v>3324</v>
      </c>
      <c r="E802" s="8" t="s">
        <v>710</v>
      </c>
      <c r="F802" s="8" t="s">
        <v>3325</v>
      </c>
    </row>
    <row r="803" customHeight="1" spans="1:6">
      <c r="A803" s="6">
        <v>802</v>
      </c>
      <c r="B803" s="8" t="s">
        <v>3326</v>
      </c>
      <c r="C803" s="8" t="s">
        <v>3327</v>
      </c>
      <c r="D803" s="8" t="s">
        <v>3328</v>
      </c>
      <c r="E803" s="8" t="s">
        <v>197</v>
      </c>
      <c r="F803" s="8" t="s">
        <v>3329</v>
      </c>
    </row>
    <row r="804" customHeight="1" spans="1:6">
      <c r="A804" s="6">
        <v>803</v>
      </c>
      <c r="B804" s="8" t="s">
        <v>3326</v>
      </c>
      <c r="C804" s="8" t="s">
        <v>3327</v>
      </c>
      <c r="D804" s="8" t="s">
        <v>3328</v>
      </c>
      <c r="E804" s="8" t="s">
        <v>197</v>
      </c>
      <c r="F804" s="8" t="s">
        <v>3329</v>
      </c>
    </row>
    <row r="805" customHeight="1" spans="1:6">
      <c r="A805" s="6">
        <v>804</v>
      </c>
      <c r="B805" s="8" t="s">
        <v>3330</v>
      </c>
      <c r="C805" s="8" t="s">
        <v>3331</v>
      </c>
      <c r="D805" s="8" t="s">
        <v>3332</v>
      </c>
      <c r="E805" s="8" t="s">
        <v>576</v>
      </c>
      <c r="F805" s="8" t="s">
        <v>3333</v>
      </c>
    </row>
    <row r="806" customHeight="1" spans="1:6">
      <c r="A806" s="6">
        <v>805</v>
      </c>
      <c r="B806" s="8" t="s">
        <v>3330</v>
      </c>
      <c r="C806" s="8" t="s">
        <v>3331</v>
      </c>
      <c r="D806" s="8" t="s">
        <v>3332</v>
      </c>
      <c r="E806" s="8" t="s">
        <v>576</v>
      </c>
      <c r="F806" s="8" t="s">
        <v>3333</v>
      </c>
    </row>
    <row r="807" customHeight="1" spans="1:6">
      <c r="A807" s="6">
        <v>806</v>
      </c>
      <c r="B807" s="8" t="s">
        <v>3330</v>
      </c>
      <c r="C807" s="8" t="s">
        <v>3331</v>
      </c>
      <c r="D807" s="8" t="s">
        <v>3332</v>
      </c>
      <c r="E807" s="8" t="s">
        <v>576</v>
      </c>
      <c r="F807" s="8" t="s">
        <v>3333</v>
      </c>
    </row>
    <row r="808" customHeight="1" spans="1:6">
      <c r="A808" s="6">
        <v>807</v>
      </c>
      <c r="B808" s="8" t="s">
        <v>3334</v>
      </c>
      <c r="C808" s="8" t="s">
        <v>3335</v>
      </c>
      <c r="D808" s="8" t="s">
        <v>3336</v>
      </c>
      <c r="E808" s="8" t="s">
        <v>576</v>
      </c>
      <c r="F808" s="8" t="s">
        <v>3337</v>
      </c>
    </row>
    <row r="809" customHeight="1" spans="1:6">
      <c r="A809" s="6">
        <v>808</v>
      </c>
      <c r="B809" s="8" t="s">
        <v>3334</v>
      </c>
      <c r="C809" s="8" t="s">
        <v>3335</v>
      </c>
      <c r="D809" s="8" t="s">
        <v>3336</v>
      </c>
      <c r="E809" s="8" t="s">
        <v>576</v>
      </c>
      <c r="F809" s="8" t="s">
        <v>3337</v>
      </c>
    </row>
    <row r="810" customHeight="1" spans="1:6">
      <c r="A810" s="6">
        <v>809</v>
      </c>
      <c r="B810" s="8" t="s">
        <v>3334</v>
      </c>
      <c r="C810" s="8" t="s">
        <v>3335</v>
      </c>
      <c r="D810" s="8" t="s">
        <v>3336</v>
      </c>
      <c r="E810" s="8" t="s">
        <v>576</v>
      </c>
      <c r="F810" s="8" t="s">
        <v>3337</v>
      </c>
    </row>
    <row r="811" customHeight="1" spans="1:6">
      <c r="A811" s="6">
        <v>810</v>
      </c>
      <c r="B811" s="8" t="s">
        <v>3338</v>
      </c>
      <c r="C811" s="8" t="s">
        <v>3339</v>
      </c>
      <c r="D811" s="8" t="s">
        <v>3340</v>
      </c>
      <c r="E811" s="8" t="s">
        <v>576</v>
      </c>
      <c r="F811" s="8" t="s">
        <v>3341</v>
      </c>
    </row>
    <row r="812" customHeight="1" spans="1:6">
      <c r="A812" s="6">
        <v>811</v>
      </c>
      <c r="B812" s="8" t="s">
        <v>3338</v>
      </c>
      <c r="C812" s="8" t="s">
        <v>3339</v>
      </c>
      <c r="D812" s="8" t="s">
        <v>3340</v>
      </c>
      <c r="E812" s="8" t="s">
        <v>576</v>
      </c>
      <c r="F812" s="8" t="s">
        <v>3341</v>
      </c>
    </row>
    <row r="813" customHeight="1" spans="1:6">
      <c r="A813" s="6">
        <v>812</v>
      </c>
      <c r="B813" s="8" t="s">
        <v>3338</v>
      </c>
      <c r="C813" s="8" t="s">
        <v>3339</v>
      </c>
      <c r="D813" s="8" t="s">
        <v>3340</v>
      </c>
      <c r="E813" s="8" t="s">
        <v>576</v>
      </c>
      <c r="F813" s="8" t="s">
        <v>3341</v>
      </c>
    </row>
    <row r="814" customHeight="1" spans="1:6">
      <c r="A814" s="6">
        <v>813</v>
      </c>
      <c r="B814" s="8" t="s">
        <v>3342</v>
      </c>
      <c r="C814" s="8" t="s">
        <v>3343</v>
      </c>
      <c r="D814" s="8" t="s">
        <v>3344</v>
      </c>
      <c r="E814" s="8" t="s">
        <v>2566</v>
      </c>
      <c r="F814" s="8" t="s">
        <v>3345</v>
      </c>
    </row>
    <row r="815" customHeight="1" spans="1:6">
      <c r="A815" s="6">
        <v>814</v>
      </c>
      <c r="B815" s="8" t="s">
        <v>3342</v>
      </c>
      <c r="C815" s="8" t="s">
        <v>3343</v>
      </c>
      <c r="D815" s="8" t="s">
        <v>3344</v>
      </c>
      <c r="E815" s="8" t="s">
        <v>2566</v>
      </c>
      <c r="F815" s="8" t="s">
        <v>3345</v>
      </c>
    </row>
    <row r="816" customHeight="1" spans="1:6">
      <c r="A816" s="6">
        <v>815</v>
      </c>
      <c r="B816" s="8" t="s">
        <v>3346</v>
      </c>
      <c r="C816" s="8" t="s">
        <v>3347</v>
      </c>
      <c r="D816" s="8" t="s">
        <v>3348</v>
      </c>
      <c r="E816" s="8" t="s">
        <v>2267</v>
      </c>
      <c r="F816" s="8" t="s">
        <v>3349</v>
      </c>
    </row>
    <row r="817" customHeight="1" spans="1:6">
      <c r="A817" s="6">
        <v>816</v>
      </c>
      <c r="B817" s="8" t="s">
        <v>3346</v>
      </c>
      <c r="C817" s="8" t="s">
        <v>3347</v>
      </c>
      <c r="D817" s="8" t="s">
        <v>3348</v>
      </c>
      <c r="E817" s="8" t="s">
        <v>2267</v>
      </c>
      <c r="F817" s="8" t="s">
        <v>3349</v>
      </c>
    </row>
    <row r="818" customHeight="1" spans="1:6">
      <c r="A818" s="6">
        <v>817</v>
      </c>
      <c r="B818" s="8" t="s">
        <v>3350</v>
      </c>
      <c r="C818" s="8" t="s">
        <v>3351</v>
      </c>
      <c r="D818" s="8" t="s">
        <v>3352</v>
      </c>
      <c r="E818" s="8" t="s">
        <v>710</v>
      </c>
      <c r="F818" s="8" t="s">
        <v>3353</v>
      </c>
    </row>
    <row r="819" customHeight="1" spans="1:6">
      <c r="A819" s="6">
        <v>818</v>
      </c>
      <c r="B819" s="8" t="s">
        <v>3350</v>
      </c>
      <c r="C819" s="8" t="s">
        <v>3351</v>
      </c>
      <c r="D819" s="8" t="s">
        <v>3352</v>
      </c>
      <c r="E819" s="8" t="s">
        <v>710</v>
      </c>
      <c r="F819" s="8" t="s">
        <v>3353</v>
      </c>
    </row>
    <row r="820" customHeight="1" spans="1:6">
      <c r="A820" s="6">
        <v>819</v>
      </c>
      <c r="B820" s="8" t="s">
        <v>3354</v>
      </c>
      <c r="C820" s="8" t="s">
        <v>3355</v>
      </c>
      <c r="D820" s="8" t="s">
        <v>3356</v>
      </c>
      <c r="E820" s="8" t="s">
        <v>340</v>
      </c>
      <c r="F820" s="8" t="s">
        <v>3357</v>
      </c>
    </row>
    <row r="821" customHeight="1" spans="1:6">
      <c r="A821" s="6">
        <v>820</v>
      </c>
      <c r="B821" s="8" t="s">
        <v>3354</v>
      </c>
      <c r="C821" s="8" t="s">
        <v>3355</v>
      </c>
      <c r="D821" s="8" t="s">
        <v>3356</v>
      </c>
      <c r="E821" s="8" t="s">
        <v>340</v>
      </c>
      <c r="F821" s="8" t="s">
        <v>3357</v>
      </c>
    </row>
    <row r="822" customHeight="1" spans="1:6">
      <c r="A822" s="6">
        <v>821</v>
      </c>
      <c r="B822" s="8" t="s">
        <v>3358</v>
      </c>
      <c r="C822" s="8" t="s">
        <v>3335</v>
      </c>
      <c r="D822" s="8" t="s">
        <v>3359</v>
      </c>
      <c r="E822" s="8" t="s">
        <v>744</v>
      </c>
      <c r="F822" s="8" t="s">
        <v>3360</v>
      </c>
    </row>
    <row r="823" customHeight="1" spans="1:6">
      <c r="A823" s="6">
        <v>822</v>
      </c>
      <c r="B823" s="8" t="s">
        <v>3358</v>
      </c>
      <c r="C823" s="8" t="s">
        <v>3335</v>
      </c>
      <c r="D823" s="8" t="s">
        <v>3359</v>
      </c>
      <c r="E823" s="8" t="s">
        <v>744</v>
      </c>
      <c r="F823" s="8" t="s">
        <v>3360</v>
      </c>
    </row>
    <row r="824" customHeight="1" spans="1:6">
      <c r="A824" s="6">
        <v>823</v>
      </c>
      <c r="B824" s="8" t="s">
        <v>3361</v>
      </c>
      <c r="C824" s="8" t="s">
        <v>3362</v>
      </c>
      <c r="D824" s="8" t="s">
        <v>3363</v>
      </c>
      <c r="E824" s="8" t="s">
        <v>2212</v>
      </c>
      <c r="F824" s="8" t="s">
        <v>3364</v>
      </c>
    </row>
    <row r="825" customHeight="1" spans="1:6">
      <c r="A825" s="6">
        <v>824</v>
      </c>
      <c r="B825" s="8" t="s">
        <v>3361</v>
      </c>
      <c r="C825" s="8" t="s">
        <v>3362</v>
      </c>
      <c r="D825" s="8" t="s">
        <v>3363</v>
      </c>
      <c r="E825" s="8" t="s">
        <v>2212</v>
      </c>
      <c r="F825" s="8" t="s">
        <v>3364</v>
      </c>
    </row>
    <row r="826" customHeight="1" spans="1:6">
      <c r="A826" s="6">
        <v>825</v>
      </c>
      <c r="B826" s="8" t="s">
        <v>3365</v>
      </c>
      <c r="C826" s="8" t="s">
        <v>3366</v>
      </c>
      <c r="D826" s="8" t="s">
        <v>3367</v>
      </c>
      <c r="E826" s="8" t="s">
        <v>189</v>
      </c>
      <c r="F826" s="8" t="s">
        <v>3368</v>
      </c>
    </row>
    <row r="827" customHeight="1" spans="1:6">
      <c r="A827" s="6">
        <v>826</v>
      </c>
      <c r="B827" s="8" t="s">
        <v>3365</v>
      </c>
      <c r="C827" s="8" t="s">
        <v>3366</v>
      </c>
      <c r="D827" s="8" t="s">
        <v>3367</v>
      </c>
      <c r="E827" s="8" t="s">
        <v>189</v>
      </c>
      <c r="F827" s="8" t="s">
        <v>3368</v>
      </c>
    </row>
    <row r="828" customHeight="1" spans="1:6">
      <c r="A828" s="6">
        <v>827</v>
      </c>
      <c r="B828" s="8" t="s">
        <v>3365</v>
      </c>
      <c r="C828" s="8" t="s">
        <v>3366</v>
      </c>
      <c r="D828" s="8" t="s">
        <v>3367</v>
      </c>
      <c r="E828" s="8" t="s">
        <v>189</v>
      </c>
      <c r="F828" s="8" t="s">
        <v>3368</v>
      </c>
    </row>
    <row r="829" customHeight="1" spans="1:6">
      <c r="A829" s="6">
        <v>828</v>
      </c>
      <c r="B829" s="8" t="s">
        <v>3369</v>
      </c>
      <c r="C829" s="8" t="s">
        <v>3335</v>
      </c>
      <c r="D829" s="8" t="s">
        <v>3370</v>
      </c>
      <c r="E829" s="8" t="s">
        <v>3371</v>
      </c>
      <c r="F829" s="8" t="s">
        <v>3372</v>
      </c>
    </row>
    <row r="830" customHeight="1" spans="1:6">
      <c r="A830" s="6">
        <v>829</v>
      </c>
      <c r="B830" s="8" t="s">
        <v>3369</v>
      </c>
      <c r="C830" s="8" t="s">
        <v>3335</v>
      </c>
      <c r="D830" s="8" t="s">
        <v>3370</v>
      </c>
      <c r="E830" s="8" t="s">
        <v>3371</v>
      </c>
      <c r="F830" s="8" t="s">
        <v>3372</v>
      </c>
    </row>
    <row r="831" customHeight="1" spans="1:6">
      <c r="A831" s="6">
        <v>830</v>
      </c>
      <c r="B831" s="8" t="s">
        <v>3369</v>
      </c>
      <c r="C831" s="8" t="s">
        <v>3335</v>
      </c>
      <c r="D831" s="8" t="s">
        <v>3370</v>
      </c>
      <c r="E831" s="8" t="s">
        <v>3371</v>
      </c>
      <c r="F831" s="8" t="s">
        <v>3372</v>
      </c>
    </row>
    <row r="832" customHeight="1" spans="1:6">
      <c r="A832" s="6">
        <v>831</v>
      </c>
      <c r="B832" s="8" t="s">
        <v>3373</v>
      </c>
      <c r="C832" s="8" t="s">
        <v>3374</v>
      </c>
      <c r="D832" s="8" t="s">
        <v>3375</v>
      </c>
      <c r="E832" s="8" t="s">
        <v>311</v>
      </c>
      <c r="F832" s="8" t="s">
        <v>3376</v>
      </c>
    </row>
    <row r="833" customHeight="1" spans="1:6">
      <c r="A833" s="6">
        <v>832</v>
      </c>
      <c r="B833" s="8" t="s">
        <v>3373</v>
      </c>
      <c r="C833" s="8" t="s">
        <v>3374</v>
      </c>
      <c r="D833" s="8" t="s">
        <v>3375</v>
      </c>
      <c r="E833" s="8" t="s">
        <v>311</v>
      </c>
      <c r="F833" s="8" t="s">
        <v>3376</v>
      </c>
    </row>
    <row r="834" customHeight="1" spans="1:6">
      <c r="A834" s="6">
        <v>833</v>
      </c>
      <c r="B834" s="8" t="s">
        <v>3373</v>
      </c>
      <c r="C834" s="8" t="s">
        <v>3374</v>
      </c>
      <c r="D834" s="8" t="s">
        <v>3375</v>
      </c>
      <c r="E834" s="8" t="s">
        <v>311</v>
      </c>
      <c r="F834" s="8" t="s">
        <v>3376</v>
      </c>
    </row>
    <row r="835" customHeight="1" spans="1:6">
      <c r="A835" s="6">
        <v>834</v>
      </c>
      <c r="B835" s="8" t="s">
        <v>3377</v>
      </c>
      <c r="C835" s="8" t="s">
        <v>3378</v>
      </c>
      <c r="D835" s="8" t="s">
        <v>3379</v>
      </c>
      <c r="E835" s="8" t="s">
        <v>1189</v>
      </c>
      <c r="F835" s="8" t="s">
        <v>3380</v>
      </c>
    </row>
    <row r="836" customHeight="1" spans="1:6">
      <c r="A836" s="6">
        <v>835</v>
      </c>
      <c r="B836" s="8" t="s">
        <v>3377</v>
      </c>
      <c r="C836" s="8" t="s">
        <v>3378</v>
      </c>
      <c r="D836" s="8" t="s">
        <v>3379</v>
      </c>
      <c r="E836" s="8" t="s">
        <v>1189</v>
      </c>
      <c r="F836" s="8" t="s">
        <v>3380</v>
      </c>
    </row>
    <row r="837" customHeight="1" spans="1:6">
      <c r="A837" s="6">
        <v>836</v>
      </c>
      <c r="B837" s="8" t="s">
        <v>3377</v>
      </c>
      <c r="C837" s="8" t="s">
        <v>3378</v>
      </c>
      <c r="D837" s="8" t="s">
        <v>3379</v>
      </c>
      <c r="E837" s="8" t="s">
        <v>1189</v>
      </c>
      <c r="F837" s="8" t="s">
        <v>3380</v>
      </c>
    </row>
    <row r="838" customHeight="1" spans="1:6">
      <c r="A838" s="6">
        <v>837</v>
      </c>
      <c r="B838" s="8" t="s">
        <v>3381</v>
      </c>
      <c r="C838" s="8" t="s">
        <v>3382</v>
      </c>
      <c r="D838" s="8" t="s">
        <v>3383</v>
      </c>
      <c r="E838" s="8" t="s">
        <v>1667</v>
      </c>
      <c r="F838" s="8" t="s">
        <v>3384</v>
      </c>
    </row>
    <row r="839" customHeight="1" spans="1:6">
      <c r="A839" s="6">
        <v>838</v>
      </c>
      <c r="B839" s="8" t="s">
        <v>3381</v>
      </c>
      <c r="C839" s="8" t="s">
        <v>3382</v>
      </c>
      <c r="D839" s="8" t="s">
        <v>3383</v>
      </c>
      <c r="E839" s="8" t="s">
        <v>1667</v>
      </c>
      <c r="F839" s="8" t="s">
        <v>3384</v>
      </c>
    </row>
    <row r="840" customHeight="1" spans="1:6">
      <c r="A840" s="6">
        <v>839</v>
      </c>
      <c r="B840" s="8" t="s">
        <v>3385</v>
      </c>
      <c r="C840" s="8" t="s">
        <v>3382</v>
      </c>
      <c r="D840" s="8" t="s">
        <v>3386</v>
      </c>
      <c r="E840" s="8" t="s">
        <v>710</v>
      </c>
      <c r="F840" s="8" t="s">
        <v>3387</v>
      </c>
    </row>
    <row r="841" customHeight="1" spans="1:6">
      <c r="A841" s="6">
        <v>840</v>
      </c>
      <c r="B841" s="8" t="s">
        <v>3385</v>
      </c>
      <c r="C841" s="8" t="s">
        <v>3382</v>
      </c>
      <c r="D841" s="8" t="s">
        <v>3386</v>
      </c>
      <c r="E841" s="8" t="s">
        <v>710</v>
      </c>
      <c r="F841" s="8" t="s">
        <v>3387</v>
      </c>
    </row>
    <row r="842" customHeight="1" spans="1:6">
      <c r="A842" s="6">
        <v>841</v>
      </c>
      <c r="B842" s="8" t="s">
        <v>3388</v>
      </c>
      <c r="C842" s="8" t="s">
        <v>3382</v>
      </c>
      <c r="D842" s="8" t="s">
        <v>3389</v>
      </c>
      <c r="E842" s="8" t="s">
        <v>2161</v>
      </c>
      <c r="F842" s="8" t="s">
        <v>3390</v>
      </c>
    </row>
    <row r="843" customHeight="1" spans="1:6">
      <c r="A843" s="6">
        <v>842</v>
      </c>
      <c r="B843" s="8" t="s">
        <v>3388</v>
      </c>
      <c r="C843" s="8" t="s">
        <v>3382</v>
      </c>
      <c r="D843" s="8" t="s">
        <v>3389</v>
      </c>
      <c r="E843" s="8" t="s">
        <v>2161</v>
      </c>
      <c r="F843" s="8" t="s">
        <v>3390</v>
      </c>
    </row>
    <row r="844" customHeight="1" spans="1:6">
      <c r="A844" s="6">
        <v>843</v>
      </c>
      <c r="B844" s="8" t="s">
        <v>3388</v>
      </c>
      <c r="C844" s="8" t="s">
        <v>3382</v>
      </c>
      <c r="D844" s="8" t="s">
        <v>3389</v>
      </c>
      <c r="E844" s="8" t="s">
        <v>2161</v>
      </c>
      <c r="F844" s="8" t="s">
        <v>3390</v>
      </c>
    </row>
    <row r="845" customHeight="1" spans="1:6">
      <c r="A845" s="6">
        <v>844</v>
      </c>
      <c r="B845" s="8" t="s">
        <v>3391</v>
      </c>
      <c r="C845" s="8" t="s">
        <v>3382</v>
      </c>
      <c r="D845" s="8" t="s">
        <v>3392</v>
      </c>
      <c r="E845" s="8" t="s">
        <v>710</v>
      </c>
      <c r="F845" s="8" t="s">
        <v>3393</v>
      </c>
    </row>
    <row r="846" customHeight="1" spans="1:6">
      <c r="A846" s="6">
        <v>845</v>
      </c>
      <c r="B846" s="8" t="s">
        <v>3391</v>
      </c>
      <c r="C846" s="8" t="s">
        <v>3382</v>
      </c>
      <c r="D846" s="8" t="s">
        <v>3392</v>
      </c>
      <c r="E846" s="8" t="s">
        <v>710</v>
      </c>
      <c r="F846" s="8" t="s">
        <v>3393</v>
      </c>
    </row>
    <row r="847" customHeight="1" spans="1:6">
      <c r="A847" s="6">
        <v>846</v>
      </c>
      <c r="B847" s="7" t="str">
        <f>"978-7-5642-3093-7"</f>
        <v>978-7-5642-3093-7</v>
      </c>
      <c r="C847" s="7" t="str">
        <f>"计算机辅助审计实用教程：鼎信诺审计系统5000专版"</f>
        <v>计算机辅助审计实用教程：鼎信诺审计系统5000专版</v>
      </c>
      <c r="D847" s="7" t="str">
        <f>"马春静主编"</f>
        <v>马春静主编</v>
      </c>
      <c r="E847" s="7" t="str">
        <f>"上海财经大学出版社"</f>
        <v>上海财经大学出版社</v>
      </c>
      <c r="F847" s="7" t="str">
        <f>"F239.1/36=2D"</f>
        <v>F239.1/36=2D</v>
      </c>
    </row>
    <row r="848" customHeight="1" spans="1:6">
      <c r="A848" s="6">
        <v>847</v>
      </c>
      <c r="B848" s="7" t="str">
        <f>"978-7-5642-3093-7"</f>
        <v>978-7-5642-3093-7</v>
      </c>
      <c r="C848" s="7" t="str">
        <f>"计算机辅助审计实用教程：鼎信诺审计系统5000专版"</f>
        <v>计算机辅助审计实用教程：鼎信诺审计系统5000专版</v>
      </c>
      <c r="D848" s="7" t="str">
        <f>"马春静主编"</f>
        <v>马春静主编</v>
      </c>
      <c r="E848" s="7" t="str">
        <f>"上海财经大学出版社"</f>
        <v>上海财经大学出版社</v>
      </c>
      <c r="F848" s="7" t="str">
        <f>"F239.1/36=2D"</f>
        <v>F239.1/36=2D</v>
      </c>
    </row>
    <row r="849" customHeight="1" spans="1:6">
      <c r="A849" s="6">
        <v>848</v>
      </c>
      <c r="B849" s="8" t="s">
        <v>3394</v>
      </c>
      <c r="C849" s="8" t="s">
        <v>3395</v>
      </c>
      <c r="D849" s="8" t="s">
        <v>3396</v>
      </c>
      <c r="E849" s="8" t="s">
        <v>530</v>
      </c>
      <c r="F849" s="8" t="s">
        <v>3397</v>
      </c>
    </row>
    <row r="850" customHeight="1" spans="1:6">
      <c r="A850" s="6">
        <v>849</v>
      </c>
      <c r="B850" s="8" t="s">
        <v>3394</v>
      </c>
      <c r="C850" s="8" t="s">
        <v>3395</v>
      </c>
      <c r="D850" s="8" t="s">
        <v>3396</v>
      </c>
      <c r="E850" s="8" t="s">
        <v>530</v>
      </c>
      <c r="F850" s="8" t="s">
        <v>3397</v>
      </c>
    </row>
    <row r="851" customHeight="1" spans="1:6">
      <c r="A851" s="6">
        <v>850</v>
      </c>
      <c r="B851" s="8" t="s">
        <v>3398</v>
      </c>
      <c r="C851" s="8" t="s">
        <v>3399</v>
      </c>
      <c r="D851" s="8" t="s">
        <v>3400</v>
      </c>
      <c r="E851" s="8" t="s">
        <v>710</v>
      </c>
      <c r="F851" s="8" t="s">
        <v>3401</v>
      </c>
    </row>
    <row r="852" customHeight="1" spans="1:6">
      <c r="A852" s="6">
        <v>851</v>
      </c>
      <c r="B852" s="8" t="s">
        <v>3398</v>
      </c>
      <c r="C852" s="8" t="s">
        <v>3399</v>
      </c>
      <c r="D852" s="8" t="s">
        <v>3400</v>
      </c>
      <c r="E852" s="8" t="s">
        <v>710</v>
      </c>
      <c r="F852" s="8" t="s">
        <v>3401</v>
      </c>
    </row>
    <row r="853" customHeight="1" spans="1:6">
      <c r="A853" s="6">
        <v>852</v>
      </c>
      <c r="B853" s="7" t="str">
        <f>"978-7-5095-9646-3"</f>
        <v>978-7-5095-9646-3</v>
      </c>
      <c r="C853" s="7" t="str">
        <f>"国际注册内部审计师CIA考试应试指南．2：内部审计实务"</f>
        <v>国际注册内部审计师CIA考试应试指南．2：内部审计实务</v>
      </c>
      <c r="D853" s="7" t="str">
        <f t="shared" ref="D853:D856" si="61">"邱银河主编"</f>
        <v>邱银河主编</v>
      </c>
      <c r="E853" s="7" t="str">
        <f t="shared" ref="E853:E856" si="62">"中国财政经济出版社"</f>
        <v>中国财政经济出版社</v>
      </c>
      <c r="F853" s="7" t="str">
        <f>"F239.45/63=D/2"</f>
        <v>F239.45/63=D/2</v>
      </c>
    </row>
    <row r="854" customHeight="1" spans="1:6">
      <c r="A854" s="6">
        <v>853</v>
      </c>
      <c r="B854" s="7" t="str">
        <f>"978-7-5095-9646-3"</f>
        <v>978-7-5095-9646-3</v>
      </c>
      <c r="C854" s="7" t="str">
        <f>"国际注册内部审计师CIA考试应试指南．2：内部审计实务"</f>
        <v>国际注册内部审计师CIA考试应试指南．2：内部审计实务</v>
      </c>
      <c r="D854" s="7" t="str">
        <f t="shared" si="61"/>
        <v>邱银河主编</v>
      </c>
      <c r="E854" s="7" t="str">
        <f t="shared" si="62"/>
        <v>中国财政经济出版社</v>
      </c>
      <c r="F854" s="7" t="str">
        <f>"F239.45/63=D/2"</f>
        <v>F239.45/63=D/2</v>
      </c>
    </row>
    <row r="855" customHeight="1" spans="1:6">
      <c r="A855" s="6">
        <v>854</v>
      </c>
      <c r="B855" s="7" t="str">
        <f>"978-7-5095-9649-4"</f>
        <v>978-7-5095-9649-4</v>
      </c>
      <c r="C855" s="7" t="str">
        <f>"国际注册内部审计师CIA考试应试指南．3：内部审计业务知识"</f>
        <v>国际注册内部审计师CIA考试应试指南．3：内部审计业务知识</v>
      </c>
      <c r="D855" s="7" t="str">
        <f t="shared" si="61"/>
        <v>邱银河主编</v>
      </c>
      <c r="E855" s="7" t="str">
        <f t="shared" si="62"/>
        <v>中国财政经济出版社</v>
      </c>
      <c r="F855" s="7" t="str">
        <f>"F239.45/63=D/3"</f>
        <v>F239.45/63=D/3</v>
      </c>
    </row>
    <row r="856" customHeight="1" spans="1:6">
      <c r="A856" s="6">
        <v>855</v>
      </c>
      <c r="B856" s="7" t="str">
        <f>"978-7-5095-9649-4"</f>
        <v>978-7-5095-9649-4</v>
      </c>
      <c r="C856" s="7" t="str">
        <f>"国际注册内部审计师CIA考试应试指南．3：内部审计业务知识"</f>
        <v>国际注册内部审计师CIA考试应试指南．3：内部审计业务知识</v>
      </c>
      <c r="D856" s="7" t="str">
        <f t="shared" si="61"/>
        <v>邱银河主编</v>
      </c>
      <c r="E856" s="7" t="str">
        <f t="shared" si="62"/>
        <v>中国财政经济出版社</v>
      </c>
      <c r="F856" s="7" t="str">
        <f>"F239.45/63=D/3"</f>
        <v>F239.45/63=D/3</v>
      </c>
    </row>
    <row r="857" customHeight="1" spans="1:6">
      <c r="A857" s="6">
        <v>856</v>
      </c>
      <c r="B857" s="8" t="s">
        <v>3402</v>
      </c>
      <c r="C857" s="8" t="s">
        <v>3403</v>
      </c>
      <c r="D857" s="8" t="s">
        <v>3404</v>
      </c>
      <c r="E857" s="8" t="s">
        <v>3146</v>
      </c>
      <c r="F857" s="8" t="s">
        <v>3405</v>
      </c>
    </row>
    <row r="858" customHeight="1" spans="1:6">
      <c r="A858" s="6">
        <v>857</v>
      </c>
      <c r="B858" s="8" t="s">
        <v>3402</v>
      </c>
      <c r="C858" s="8" t="s">
        <v>3403</v>
      </c>
      <c r="D858" s="8" t="s">
        <v>3404</v>
      </c>
      <c r="E858" s="8" t="s">
        <v>3146</v>
      </c>
      <c r="F858" s="8" t="s">
        <v>3405</v>
      </c>
    </row>
    <row r="859" customHeight="1" spans="1:6">
      <c r="A859" s="6">
        <v>858</v>
      </c>
      <c r="B859" s="8" t="s">
        <v>3406</v>
      </c>
      <c r="C859" s="8" t="s">
        <v>3407</v>
      </c>
      <c r="D859" s="8" t="s">
        <v>3408</v>
      </c>
      <c r="E859" s="8" t="s">
        <v>2212</v>
      </c>
      <c r="F859" s="8" t="s">
        <v>3409</v>
      </c>
    </row>
    <row r="860" customHeight="1" spans="1:6">
      <c r="A860" s="6">
        <v>859</v>
      </c>
      <c r="B860" s="8" t="s">
        <v>3406</v>
      </c>
      <c r="C860" s="8" t="s">
        <v>3407</v>
      </c>
      <c r="D860" s="8" t="s">
        <v>3408</v>
      </c>
      <c r="E860" s="8" t="s">
        <v>2212</v>
      </c>
      <c r="F860" s="8" t="s">
        <v>3409</v>
      </c>
    </row>
    <row r="861" customHeight="1" spans="1:6">
      <c r="A861" s="6">
        <v>860</v>
      </c>
      <c r="B861" s="8" t="s">
        <v>3410</v>
      </c>
      <c r="C861" s="8" t="s">
        <v>3411</v>
      </c>
      <c r="D861" s="8" t="s">
        <v>3412</v>
      </c>
      <c r="E861" s="8" t="s">
        <v>3180</v>
      </c>
      <c r="F861" s="8" t="s">
        <v>3413</v>
      </c>
    </row>
    <row r="862" customHeight="1" spans="1:6">
      <c r="A862" s="6">
        <v>861</v>
      </c>
      <c r="B862" s="8" t="s">
        <v>3410</v>
      </c>
      <c r="C862" s="8" t="s">
        <v>3411</v>
      </c>
      <c r="D862" s="8" t="s">
        <v>3412</v>
      </c>
      <c r="E862" s="8" t="s">
        <v>3180</v>
      </c>
      <c r="F862" s="8" t="s">
        <v>3413</v>
      </c>
    </row>
    <row r="863" customHeight="1" spans="1:6">
      <c r="A863" s="6">
        <v>862</v>
      </c>
      <c r="B863" s="7" t="str">
        <f>"978-7-5223-0333-8"</f>
        <v>978-7-5223-0333-8</v>
      </c>
      <c r="C863" s="7" t="str">
        <f>"审计"</f>
        <v>审计</v>
      </c>
      <c r="D863" s="7" t="str">
        <f>"中国注册会计师协会组织编写"</f>
        <v>中国注册会计师协会组织编写</v>
      </c>
      <c r="E863" s="7" t="str">
        <f>"中国财政经济出版社"</f>
        <v>中国财政经济出版社</v>
      </c>
      <c r="F863" s="7" t="str">
        <f>"F239/63"</f>
        <v>F239/63</v>
      </c>
    </row>
    <row r="864" customHeight="1" spans="1:6">
      <c r="A864" s="6">
        <v>863</v>
      </c>
      <c r="B864" s="7" t="str">
        <f>"978-7-5223-0333-8"</f>
        <v>978-7-5223-0333-8</v>
      </c>
      <c r="C864" s="7" t="str">
        <f>"审计"</f>
        <v>审计</v>
      </c>
      <c r="D864" s="7" t="str">
        <f>"中国注册会计师协会组织编写"</f>
        <v>中国注册会计师协会组织编写</v>
      </c>
      <c r="E864" s="7" t="str">
        <f>"中国财政经济出版社"</f>
        <v>中国财政经济出版社</v>
      </c>
      <c r="F864" s="7" t="str">
        <f>"F239/63"</f>
        <v>F239/63</v>
      </c>
    </row>
    <row r="865" customHeight="1" spans="1:6">
      <c r="A865" s="6">
        <v>864</v>
      </c>
      <c r="B865" s="8" t="s">
        <v>3414</v>
      </c>
      <c r="C865" s="8" t="s">
        <v>3415</v>
      </c>
      <c r="D865" s="8" t="s">
        <v>3416</v>
      </c>
      <c r="E865" s="8" t="s">
        <v>576</v>
      </c>
      <c r="F865" s="8" t="s">
        <v>3417</v>
      </c>
    </row>
    <row r="866" customHeight="1" spans="1:6">
      <c r="A866" s="6">
        <v>865</v>
      </c>
      <c r="B866" s="8" t="s">
        <v>3414</v>
      </c>
      <c r="C866" s="8" t="s">
        <v>3415</v>
      </c>
      <c r="D866" s="8" t="s">
        <v>3416</v>
      </c>
      <c r="E866" s="8" t="s">
        <v>576</v>
      </c>
      <c r="F866" s="8" t="s">
        <v>3417</v>
      </c>
    </row>
    <row r="867" customHeight="1" spans="1:6">
      <c r="A867" s="6">
        <v>866</v>
      </c>
      <c r="B867" s="8" t="s">
        <v>3418</v>
      </c>
      <c r="C867" s="8" t="s">
        <v>3415</v>
      </c>
      <c r="D867" s="8" t="s">
        <v>3419</v>
      </c>
      <c r="E867" s="8" t="s">
        <v>576</v>
      </c>
      <c r="F867" s="8" t="s">
        <v>3420</v>
      </c>
    </row>
    <row r="868" customHeight="1" spans="1:6">
      <c r="A868" s="6">
        <v>867</v>
      </c>
      <c r="B868" s="8" t="s">
        <v>3418</v>
      </c>
      <c r="C868" s="8" t="s">
        <v>3415</v>
      </c>
      <c r="D868" s="8" t="s">
        <v>3419</v>
      </c>
      <c r="E868" s="8" t="s">
        <v>576</v>
      </c>
      <c r="F868" s="8" t="s">
        <v>3420</v>
      </c>
    </row>
    <row r="869" customHeight="1" spans="1:6">
      <c r="A869" s="6">
        <v>868</v>
      </c>
      <c r="B869" s="8" t="s">
        <v>3421</v>
      </c>
      <c r="C869" s="8" t="s">
        <v>3422</v>
      </c>
      <c r="D869" s="8" t="s">
        <v>3423</v>
      </c>
      <c r="E869" s="8" t="s">
        <v>3424</v>
      </c>
      <c r="F869" s="8" t="s">
        <v>3425</v>
      </c>
    </row>
    <row r="870" customHeight="1" spans="1:6">
      <c r="A870" s="6">
        <v>869</v>
      </c>
      <c r="B870" s="8" t="s">
        <v>3421</v>
      </c>
      <c r="C870" s="8" t="s">
        <v>3422</v>
      </c>
      <c r="D870" s="8" t="s">
        <v>3423</v>
      </c>
      <c r="E870" s="8" t="s">
        <v>3424</v>
      </c>
      <c r="F870" s="8" t="s">
        <v>3425</v>
      </c>
    </row>
    <row r="871" customHeight="1" spans="1:6">
      <c r="A871" s="6">
        <v>870</v>
      </c>
      <c r="B871" s="7" t="str">
        <f>"978-7-111-69145-7"</f>
        <v>978-7-111-69145-7</v>
      </c>
      <c r="C871" s="7" t="str">
        <f>"创客社区：构建一座城市的创业生态：building an entrepreneurial ecosystem in your city"</f>
        <v>创客社区：构建一座城市的创业生态：building an entrepreneurial ecosystem in your city</v>
      </c>
      <c r="D871" s="7" t="str">
        <f>"(美) 布拉德·菲尔德著Brad Feld；张鹏译"</f>
        <v>(美) 布拉德·菲尔德著Brad Feld；张鹏译</v>
      </c>
      <c r="E871" s="7" t="str">
        <f>"机械工业出版社"</f>
        <v>机械工业出版社</v>
      </c>
      <c r="F871" s="7" t="str">
        <f>"F241.4/106"</f>
        <v>F241.4/106</v>
      </c>
    </row>
    <row r="872" customHeight="1" spans="1:6">
      <c r="A872" s="6">
        <v>871</v>
      </c>
      <c r="B872" s="7" t="str">
        <f>"978-7-111-69145-7"</f>
        <v>978-7-111-69145-7</v>
      </c>
      <c r="C872" s="7" t="str">
        <f>"创客社区：构建一座城市的创业生态：building an entrepreneurial ecosystem in your city"</f>
        <v>创客社区：构建一座城市的创业生态：building an entrepreneurial ecosystem in your city</v>
      </c>
      <c r="D872" s="7" t="str">
        <f>"(美) 布拉德·菲尔德著Brad Feld；张鹏译"</f>
        <v>(美) 布拉德·菲尔德著Brad Feld；张鹏译</v>
      </c>
      <c r="E872" s="7" t="str">
        <f>"机械工业出版社"</f>
        <v>机械工业出版社</v>
      </c>
      <c r="F872" s="7" t="str">
        <f>"F241.4/106"</f>
        <v>F241.4/106</v>
      </c>
    </row>
    <row r="873" customHeight="1" spans="1:6">
      <c r="A873" s="6">
        <v>872</v>
      </c>
      <c r="B873" s="7" t="str">
        <f>"978-7-113-27603-4"</f>
        <v>978-7-113-27603-4</v>
      </c>
      <c r="C873" s="7" t="str">
        <f>"HR面谈全流程实战：招聘+入职+薪酬+绩效+离职"</f>
        <v>HR面谈全流程实战：招聘+入职+薪酬+绩效+离职</v>
      </c>
      <c r="D873" s="7" t="str">
        <f>"吴悦编著"</f>
        <v>吴悦编著</v>
      </c>
      <c r="E873" s="7" t="str">
        <f t="shared" ref="E873:E876" si="63">"中国铁道出版社有限公司"</f>
        <v>中国铁道出版社有限公司</v>
      </c>
      <c r="F873" s="7" t="str">
        <f>"F243/182"</f>
        <v>F243/182</v>
      </c>
    </row>
    <row r="874" customHeight="1" spans="1:6">
      <c r="A874" s="6">
        <v>873</v>
      </c>
      <c r="B874" s="7" t="str">
        <f>"978-7-113-27603-4"</f>
        <v>978-7-113-27603-4</v>
      </c>
      <c r="C874" s="7" t="str">
        <f>"HR面谈全流程实战：招聘+入职+薪酬+绩效+离职"</f>
        <v>HR面谈全流程实战：招聘+入职+薪酬+绩效+离职</v>
      </c>
      <c r="D874" s="7" t="str">
        <f>"吴悦编著"</f>
        <v>吴悦编著</v>
      </c>
      <c r="E874" s="7" t="str">
        <f t="shared" si="63"/>
        <v>中国铁道出版社有限公司</v>
      </c>
      <c r="F874" s="7" t="str">
        <f>"F243/182"</f>
        <v>F243/182</v>
      </c>
    </row>
    <row r="875" customHeight="1" spans="1:6">
      <c r="A875" s="6">
        <v>874</v>
      </c>
      <c r="B875" s="7" t="str">
        <f>"978-7-113-27622-5"</f>
        <v>978-7-113-27622-5</v>
      </c>
      <c r="C875" s="7" t="str">
        <f>"企业岗位分析和评价实操一本通"</f>
        <v>企业岗位分析和评价实操一本通</v>
      </c>
      <c r="D875" s="7" t="str">
        <f>"王晓均编著"</f>
        <v>王晓均编著</v>
      </c>
      <c r="E875" s="7" t="str">
        <f t="shared" si="63"/>
        <v>中国铁道出版社有限公司</v>
      </c>
      <c r="F875" s="7" t="str">
        <f>"F243/183"</f>
        <v>F243/183</v>
      </c>
    </row>
    <row r="876" customHeight="1" spans="1:6">
      <c r="A876" s="6">
        <v>875</v>
      </c>
      <c r="B876" s="7" t="str">
        <f>"978-7-113-27622-5"</f>
        <v>978-7-113-27622-5</v>
      </c>
      <c r="C876" s="7" t="str">
        <f>"企业岗位分析和评价实操一本通"</f>
        <v>企业岗位分析和评价实操一本通</v>
      </c>
      <c r="D876" s="7" t="str">
        <f>"王晓均编著"</f>
        <v>王晓均编著</v>
      </c>
      <c r="E876" s="7" t="str">
        <f t="shared" si="63"/>
        <v>中国铁道出版社有限公司</v>
      </c>
      <c r="F876" s="7" t="str">
        <f>"F243/183"</f>
        <v>F243/183</v>
      </c>
    </row>
    <row r="877" customHeight="1" spans="1:6">
      <c r="A877" s="6">
        <v>876</v>
      </c>
      <c r="B877" s="7" t="str">
        <f>"978-7-210-09246-9"</f>
        <v>978-7-210-09246-9</v>
      </c>
      <c r="C877" s="7" t="str">
        <f>"人力资源管理实操从入门到精通"</f>
        <v>人力资源管理实操从入门到精通</v>
      </c>
      <c r="D877" s="7" t="str">
        <f>"岳文赫著"</f>
        <v>岳文赫著</v>
      </c>
      <c r="E877" s="7" t="str">
        <f>"江西人民出版社"</f>
        <v>江西人民出版社</v>
      </c>
      <c r="F877" s="7" t="str">
        <f>"F243/184"</f>
        <v>F243/184</v>
      </c>
    </row>
    <row r="878" customHeight="1" spans="1:6">
      <c r="A878" s="6">
        <v>877</v>
      </c>
      <c r="B878" s="7" t="str">
        <f>"978-7-210-09246-9"</f>
        <v>978-7-210-09246-9</v>
      </c>
      <c r="C878" s="7" t="str">
        <f>"人力资源管理实操从入门到精通"</f>
        <v>人力资源管理实操从入门到精通</v>
      </c>
      <c r="D878" s="7" t="str">
        <f>"岳文赫著"</f>
        <v>岳文赫著</v>
      </c>
      <c r="E878" s="7" t="str">
        <f>"江西人民出版社"</f>
        <v>江西人民出版社</v>
      </c>
      <c r="F878" s="7" t="str">
        <f>"F243/184"</f>
        <v>F243/184</v>
      </c>
    </row>
    <row r="879" customHeight="1" spans="1:6">
      <c r="A879" s="6">
        <v>878</v>
      </c>
      <c r="B879" s="7" t="str">
        <f>"978-7-5208-1352-5"</f>
        <v>978-7-5208-1352-5</v>
      </c>
      <c r="C879" s="7" t="str">
        <f>"人力资源管理智慧与实操"</f>
        <v>人力资源管理智慧与实操</v>
      </c>
      <c r="D879" s="7" t="str">
        <f>"蒋莉莉著"</f>
        <v>蒋莉莉著</v>
      </c>
      <c r="E879" s="7" t="str">
        <f>"中国商业出版社"</f>
        <v>中国商业出版社</v>
      </c>
      <c r="F879" s="7" t="str">
        <f>"F243/185"</f>
        <v>F243/185</v>
      </c>
    </row>
    <row r="880" customHeight="1" spans="1:6">
      <c r="A880" s="6">
        <v>879</v>
      </c>
      <c r="B880" s="7" t="str">
        <f>"978-7-5208-1352-5"</f>
        <v>978-7-5208-1352-5</v>
      </c>
      <c r="C880" s="7" t="str">
        <f>"人力资源管理智慧与实操"</f>
        <v>人力资源管理智慧与实操</v>
      </c>
      <c r="D880" s="7" t="str">
        <f>"蒋莉莉著"</f>
        <v>蒋莉莉著</v>
      </c>
      <c r="E880" s="7" t="str">
        <f>"中国商业出版社"</f>
        <v>中国商业出版社</v>
      </c>
      <c r="F880" s="7" t="str">
        <f>"F243/185"</f>
        <v>F243/185</v>
      </c>
    </row>
    <row r="881" customHeight="1" spans="1:6">
      <c r="A881" s="6">
        <v>880</v>
      </c>
      <c r="B881" s="8" t="s">
        <v>3426</v>
      </c>
      <c r="C881" s="8" t="s">
        <v>3427</v>
      </c>
      <c r="D881" s="8" t="s">
        <v>3428</v>
      </c>
      <c r="E881" s="8" t="s">
        <v>1667</v>
      </c>
      <c r="F881" s="8" t="s">
        <v>3429</v>
      </c>
    </row>
    <row r="882" customHeight="1" spans="1:6">
      <c r="A882" s="6">
        <v>881</v>
      </c>
      <c r="B882" s="8" t="s">
        <v>3426</v>
      </c>
      <c r="C882" s="8" t="s">
        <v>3427</v>
      </c>
      <c r="D882" s="8" t="s">
        <v>3428</v>
      </c>
      <c r="E882" s="8" t="s">
        <v>1667</v>
      </c>
      <c r="F882" s="8" t="s">
        <v>3429</v>
      </c>
    </row>
    <row r="883" customHeight="1" spans="1:6">
      <c r="A883" s="6">
        <v>882</v>
      </c>
      <c r="B883" s="8" t="s">
        <v>3430</v>
      </c>
      <c r="C883" s="8" t="s">
        <v>3431</v>
      </c>
      <c r="D883" s="8" t="s">
        <v>3432</v>
      </c>
      <c r="E883" s="8" t="s">
        <v>3180</v>
      </c>
      <c r="F883" s="8" t="s">
        <v>3433</v>
      </c>
    </row>
    <row r="884" customHeight="1" spans="1:6">
      <c r="A884" s="6">
        <v>883</v>
      </c>
      <c r="B884" s="8" t="s">
        <v>3430</v>
      </c>
      <c r="C884" s="8" t="s">
        <v>3431</v>
      </c>
      <c r="D884" s="8" t="s">
        <v>3432</v>
      </c>
      <c r="E884" s="8" t="s">
        <v>3180</v>
      </c>
      <c r="F884" s="8" t="s">
        <v>3433</v>
      </c>
    </row>
    <row r="885" customHeight="1" spans="1:6">
      <c r="A885" s="6">
        <v>884</v>
      </c>
      <c r="B885" s="8" t="s">
        <v>3434</v>
      </c>
      <c r="C885" s="8" t="s">
        <v>3435</v>
      </c>
      <c r="D885" s="8" t="s">
        <v>3436</v>
      </c>
      <c r="E885" s="8" t="s">
        <v>216</v>
      </c>
      <c r="F885" s="8" t="s">
        <v>3437</v>
      </c>
    </row>
    <row r="886" customHeight="1" spans="1:6">
      <c r="A886" s="6">
        <v>885</v>
      </c>
      <c r="B886" s="8" t="s">
        <v>3434</v>
      </c>
      <c r="C886" s="8" t="s">
        <v>3435</v>
      </c>
      <c r="D886" s="8" t="s">
        <v>3436</v>
      </c>
      <c r="E886" s="8" t="s">
        <v>216</v>
      </c>
      <c r="F886" s="8" t="s">
        <v>3437</v>
      </c>
    </row>
    <row r="887" customHeight="1" spans="1:6">
      <c r="A887" s="6">
        <v>886</v>
      </c>
      <c r="B887" s="8" t="s">
        <v>3438</v>
      </c>
      <c r="C887" s="8" t="s">
        <v>3427</v>
      </c>
      <c r="D887" s="8" t="s">
        <v>3439</v>
      </c>
      <c r="E887" s="8" t="s">
        <v>311</v>
      </c>
      <c r="F887" s="8" t="s">
        <v>3440</v>
      </c>
    </row>
    <row r="888" customHeight="1" spans="1:6">
      <c r="A888" s="6">
        <v>887</v>
      </c>
      <c r="B888" s="8" t="s">
        <v>3438</v>
      </c>
      <c r="C888" s="8" t="s">
        <v>3427</v>
      </c>
      <c r="D888" s="8" t="s">
        <v>3439</v>
      </c>
      <c r="E888" s="8" t="s">
        <v>311</v>
      </c>
      <c r="F888" s="8" t="s">
        <v>3440</v>
      </c>
    </row>
    <row r="889" customHeight="1" spans="1:6">
      <c r="A889" s="6">
        <v>888</v>
      </c>
      <c r="B889" s="8" t="s">
        <v>3441</v>
      </c>
      <c r="C889" s="8" t="s">
        <v>3442</v>
      </c>
      <c r="D889" s="8" t="s">
        <v>3443</v>
      </c>
      <c r="E889" s="8" t="s">
        <v>615</v>
      </c>
      <c r="F889" s="8" t="s">
        <v>3444</v>
      </c>
    </row>
    <row r="890" customHeight="1" spans="1:6">
      <c r="A890" s="6">
        <v>889</v>
      </c>
      <c r="B890" s="8" t="s">
        <v>3441</v>
      </c>
      <c r="C890" s="8" t="s">
        <v>3442</v>
      </c>
      <c r="D890" s="8" t="s">
        <v>3443</v>
      </c>
      <c r="E890" s="8" t="s">
        <v>615</v>
      </c>
      <c r="F890" s="8" t="s">
        <v>3444</v>
      </c>
    </row>
    <row r="891" customHeight="1" spans="1:6">
      <c r="A891" s="6">
        <v>890</v>
      </c>
      <c r="B891" s="8" t="s">
        <v>3445</v>
      </c>
      <c r="C891" s="8" t="s">
        <v>3446</v>
      </c>
      <c r="D891" s="8" t="s">
        <v>3447</v>
      </c>
      <c r="E891" s="8" t="s">
        <v>1189</v>
      </c>
      <c r="F891" s="8" t="s">
        <v>3448</v>
      </c>
    </row>
    <row r="892" customHeight="1" spans="1:6">
      <c r="A892" s="6">
        <v>891</v>
      </c>
      <c r="B892" s="8" t="s">
        <v>3445</v>
      </c>
      <c r="C892" s="8" t="s">
        <v>3446</v>
      </c>
      <c r="D892" s="8" t="s">
        <v>3447</v>
      </c>
      <c r="E892" s="8" t="s">
        <v>1189</v>
      </c>
      <c r="F892" s="8" t="s">
        <v>3448</v>
      </c>
    </row>
    <row r="893" customHeight="1" spans="1:6">
      <c r="A893" s="6">
        <v>892</v>
      </c>
      <c r="B893" s="8" t="s">
        <v>3445</v>
      </c>
      <c r="C893" s="8" t="s">
        <v>3446</v>
      </c>
      <c r="D893" s="8" t="s">
        <v>3447</v>
      </c>
      <c r="E893" s="8" t="s">
        <v>1189</v>
      </c>
      <c r="F893" s="8" t="s">
        <v>3448</v>
      </c>
    </row>
    <row r="894" customHeight="1" spans="1:6">
      <c r="A894" s="6">
        <v>893</v>
      </c>
      <c r="B894" s="8" t="s">
        <v>3449</v>
      </c>
      <c r="C894" s="8" t="s">
        <v>3450</v>
      </c>
      <c r="D894" s="8" t="s">
        <v>3451</v>
      </c>
      <c r="E894" s="8" t="s">
        <v>270</v>
      </c>
      <c r="F894" s="8" t="s">
        <v>3452</v>
      </c>
    </row>
    <row r="895" customHeight="1" spans="1:6">
      <c r="A895" s="6">
        <v>894</v>
      </c>
      <c r="B895" s="8" t="s">
        <v>3449</v>
      </c>
      <c r="C895" s="8" t="s">
        <v>3450</v>
      </c>
      <c r="D895" s="8" t="s">
        <v>3451</v>
      </c>
      <c r="E895" s="8" t="s">
        <v>270</v>
      </c>
      <c r="F895" s="8" t="s">
        <v>3452</v>
      </c>
    </row>
    <row r="896" customHeight="1" spans="1:6">
      <c r="A896" s="6">
        <v>895</v>
      </c>
      <c r="B896" s="8" t="s">
        <v>3449</v>
      </c>
      <c r="C896" s="8" t="s">
        <v>3450</v>
      </c>
      <c r="D896" s="8" t="s">
        <v>3451</v>
      </c>
      <c r="E896" s="8" t="s">
        <v>270</v>
      </c>
      <c r="F896" s="8" t="s">
        <v>3452</v>
      </c>
    </row>
    <row r="897" customHeight="1" spans="1:6">
      <c r="A897" s="6">
        <v>896</v>
      </c>
      <c r="B897" s="8" t="s">
        <v>3453</v>
      </c>
      <c r="C897" s="8" t="s">
        <v>3454</v>
      </c>
      <c r="D897" s="8" t="s">
        <v>3455</v>
      </c>
      <c r="E897" s="8" t="s">
        <v>311</v>
      </c>
      <c r="F897" s="8" t="s">
        <v>3456</v>
      </c>
    </row>
    <row r="898" customHeight="1" spans="1:6">
      <c r="A898" s="6">
        <v>897</v>
      </c>
      <c r="B898" s="8" t="s">
        <v>3453</v>
      </c>
      <c r="C898" s="8" t="s">
        <v>3454</v>
      </c>
      <c r="D898" s="8" t="s">
        <v>3455</v>
      </c>
      <c r="E898" s="8" t="s">
        <v>311</v>
      </c>
      <c r="F898" s="8" t="s">
        <v>3456</v>
      </c>
    </row>
    <row r="899" customHeight="1" spans="1:6">
      <c r="A899" s="6">
        <v>898</v>
      </c>
      <c r="B899" s="8" t="s">
        <v>3457</v>
      </c>
      <c r="C899" s="8" t="s">
        <v>3458</v>
      </c>
      <c r="D899" s="8" t="s">
        <v>3436</v>
      </c>
      <c r="E899" s="8" t="s">
        <v>216</v>
      </c>
      <c r="F899" s="8" t="s">
        <v>3459</v>
      </c>
    </row>
    <row r="900" customHeight="1" spans="1:6">
      <c r="A900" s="6">
        <v>899</v>
      </c>
      <c r="B900" s="8" t="s">
        <v>3457</v>
      </c>
      <c r="C900" s="8" t="s">
        <v>3458</v>
      </c>
      <c r="D900" s="8" t="s">
        <v>3436</v>
      </c>
      <c r="E900" s="8" t="s">
        <v>216</v>
      </c>
      <c r="F900" s="8" t="s">
        <v>3459</v>
      </c>
    </row>
    <row r="901" customHeight="1" spans="1:6">
      <c r="A901" s="6">
        <v>900</v>
      </c>
      <c r="B901" s="8" t="s">
        <v>3460</v>
      </c>
      <c r="C901" s="8" t="s">
        <v>3427</v>
      </c>
      <c r="D901" s="8" t="s">
        <v>3461</v>
      </c>
      <c r="E901" s="8" t="s">
        <v>216</v>
      </c>
      <c r="F901" s="8" t="s">
        <v>3462</v>
      </c>
    </row>
    <row r="902" customHeight="1" spans="1:6">
      <c r="A902" s="6">
        <v>901</v>
      </c>
      <c r="B902" s="8" t="s">
        <v>3460</v>
      </c>
      <c r="C902" s="8" t="s">
        <v>3427</v>
      </c>
      <c r="D902" s="8" t="s">
        <v>3461</v>
      </c>
      <c r="E902" s="8" t="s">
        <v>216</v>
      </c>
      <c r="F902" s="8" t="s">
        <v>3462</v>
      </c>
    </row>
    <row r="903" customHeight="1" spans="1:6">
      <c r="A903" s="6">
        <v>902</v>
      </c>
      <c r="B903" s="8" t="s">
        <v>3463</v>
      </c>
      <c r="C903" s="8" t="s">
        <v>3464</v>
      </c>
      <c r="D903" s="8" t="s">
        <v>3465</v>
      </c>
      <c r="E903" s="8" t="s">
        <v>2566</v>
      </c>
      <c r="F903" s="8" t="s">
        <v>3466</v>
      </c>
    </row>
    <row r="904" customHeight="1" spans="1:6">
      <c r="A904" s="6">
        <v>903</v>
      </c>
      <c r="B904" s="8" t="s">
        <v>3463</v>
      </c>
      <c r="C904" s="8" t="s">
        <v>3464</v>
      </c>
      <c r="D904" s="8" t="s">
        <v>3465</v>
      </c>
      <c r="E904" s="8" t="s">
        <v>2566</v>
      </c>
      <c r="F904" s="8" t="s">
        <v>3466</v>
      </c>
    </row>
    <row r="905" customHeight="1" spans="1:6">
      <c r="A905" s="6">
        <v>904</v>
      </c>
      <c r="B905" s="8" t="s">
        <v>3463</v>
      </c>
      <c r="C905" s="8" t="s">
        <v>3464</v>
      </c>
      <c r="D905" s="8" t="s">
        <v>3465</v>
      </c>
      <c r="E905" s="8" t="s">
        <v>2566</v>
      </c>
      <c r="F905" s="8" t="s">
        <v>3466</v>
      </c>
    </row>
    <row r="906" customHeight="1" spans="1:6">
      <c r="A906" s="6">
        <v>905</v>
      </c>
      <c r="B906" s="8" t="s">
        <v>3467</v>
      </c>
      <c r="C906" s="8" t="s">
        <v>3468</v>
      </c>
      <c r="D906" s="8" t="s">
        <v>3469</v>
      </c>
      <c r="E906" s="8" t="s">
        <v>216</v>
      </c>
      <c r="F906" s="8" t="s">
        <v>3470</v>
      </c>
    </row>
    <row r="907" customHeight="1" spans="1:6">
      <c r="A907" s="6">
        <v>906</v>
      </c>
      <c r="B907" s="8" t="s">
        <v>3467</v>
      </c>
      <c r="C907" s="8" t="s">
        <v>3468</v>
      </c>
      <c r="D907" s="8" t="s">
        <v>3469</v>
      </c>
      <c r="E907" s="8" t="s">
        <v>216</v>
      </c>
      <c r="F907" s="8" t="s">
        <v>3470</v>
      </c>
    </row>
    <row r="908" customHeight="1" spans="1:6">
      <c r="A908" s="6">
        <v>907</v>
      </c>
      <c r="B908" s="8" t="s">
        <v>3471</v>
      </c>
      <c r="C908" s="8" t="s">
        <v>3472</v>
      </c>
      <c r="D908" s="8" t="s">
        <v>3473</v>
      </c>
      <c r="E908" s="8" t="s">
        <v>311</v>
      </c>
      <c r="F908" s="8" t="s">
        <v>3474</v>
      </c>
    </row>
    <row r="909" customHeight="1" spans="1:6">
      <c r="A909" s="6">
        <v>908</v>
      </c>
      <c r="B909" s="8" t="s">
        <v>3471</v>
      </c>
      <c r="C909" s="8" t="s">
        <v>3472</v>
      </c>
      <c r="D909" s="8" t="s">
        <v>3473</v>
      </c>
      <c r="E909" s="8" t="s">
        <v>311</v>
      </c>
      <c r="F909" s="8" t="s">
        <v>3474</v>
      </c>
    </row>
    <row r="910" customHeight="1" spans="1:6">
      <c r="A910" s="6">
        <v>909</v>
      </c>
      <c r="B910" s="8" t="s">
        <v>3475</v>
      </c>
      <c r="C910" s="8" t="s">
        <v>3476</v>
      </c>
      <c r="D910" s="8" t="s">
        <v>3477</v>
      </c>
      <c r="E910" s="8" t="s">
        <v>216</v>
      </c>
      <c r="F910" s="8" t="s">
        <v>3478</v>
      </c>
    </row>
    <row r="911" customHeight="1" spans="1:6">
      <c r="A911" s="6">
        <v>910</v>
      </c>
      <c r="B911" s="8" t="s">
        <v>3475</v>
      </c>
      <c r="C911" s="8" t="s">
        <v>3476</v>
      </c>
      <c r="D911" s="8" t="s">
        <v>3477</v>
      </c>
      <c r="E911" s="8" t="s">
        <v>216</v>
      </c>
      <c r="F911" s="8" t="s">
        <v>3478</v>
      </c>
    </row>
    <row r="912" customHeight="1" spans="1:6">
      <c r="A912" s="6">
        <v>911</v>
      </c>
      <c r="B912" s="7" t="str">
        <f>"978-7-5096-7933-3"</f>
        <v>978-7-5096-7933-3</v>
      </c>
      <c r="C912" s="7" t="str">
        <f>"人力资源大数据分析：理论、技术与实践：theory， technology and practice"</f>
        <v>人力资源大数据分析：理论、技术与实践：theory， technology and practice</v>
      </c>
      <c r="D912" s="7" t="str">
        <f>"廉串德， 刘佰明等编著"</f>
        <v>廉串德， 刘佰明等编著</v>
      </c>
      <c r="E912" s="7" t="str">
        <f>"经济管理出版社"</f>
        <v>经济管理出版社</v>
      </c>
      <c r="F912" s="7" t="str">
        <f>"F243-39/5"</f>
        <v>F243-39/5</v>
      </c>
    </row>
    <row r="913" customHeight="1" spans="1:6">
      <c r="A913" s="6">
        <v>912</v>
      </c>
      <c r="B913" s="7" t="str">
        <f>"978-7-5096-7933-3"</f>
        <v>978-7-5096-7933-3</v>
      </c>
      <c r="C913" s="7" t="str">
        <f>"人力资源大数据分析：理论、技术与实践：theory， technology and practice"</f>
        <v>人力资源大数据分析：理论、技术与实践：theory， technology and practice</v>
      </c>
      <c r="D913" s="7" t="str">
        <f>"廉串德， 刘佰明等编著"</f>
        <v>廉串德， 刘佰明等编著</v>
      </c>
      <c r="E913" s="7" t="str">
        <f>"经济管理出版社"</f>
        <v>经济管理出版社</v>
      </c>
      <c r="F913" s="7" t="str">
        <f>"F243-39/5"</f>
        <v>F243-39/5</v>
      </c>
    </row>
    <row r="914" customHeight="1" spans="1:6">
      <c r="A914" s="6">
        <v>913</v>
      </c>
      <c r="B914" s="8" t="s">
        <v>3479</v>
      </c>
      <c r="C914" s="8" t="s">
        <v>3480</v>
      </c>
      <c r="D914" s="8" t="s">
        <v>3481</v>
      </c>
      <c r="E914" s="8" t="s">
        <v>216</v>
      </c>
      <c r="F914" s="8" t="s">
        <v>3482</v>
      </c>
    </row>
    <row r="915" customHeight="1" spans="1:6">
      <c r="A915" s="6">
        <v>914</v>
      </c>
      <c r="B915" s="8" t="s">
        <v>3479</v>
      </c>
      <c r="C915" s="8" t="s">
        <v>3480</v>
      </c>
      <c r="D915" s="8" t="s">
        <v>3481</v>
      </c>
      <c r="E915" s="8" t="s">
        <v>216</v>
      </c>
      <c r="F915" s="8" t="s">
        <v>3482</v>
      </c>
    </row>
    <row r="916" customHeight="1" spans="1:6">
      <c r="A916" s="6">
        <v>915</v>
      </c>
      <c r="B916" s="8" t="s">
        <v>3483</v>
      </c>
      <c r="C916" s="8" t="s">
        <v>3484</v>
      </c>
      <c r="D916" s="8" t="s">
        <v>3485</v>
      </c>
      <c r="E916" s="8" t="s">
        <v>571</v>
      </c>
      <c r="F916" s="8" t="s">
        <v>3486</v>
      </c>
    </row>
    <row r="917" customHeight="1" spans="1:6">
      <c r="A917" s="6">
        <v>916</v>
      </c>
      <c r="B917" s="8" t="s">
        <v>3483</v>
      </c>
      <c r="C917" s="8" t="s">
        <v>3484</v>
      </c>
      <c r="D917" s="8" t="s">
        <v>3485</v>
      </c>
      <c r="E917" s="8" t="s">
        <v>571</v>
      </c>
      <c r="F917" s="8" t="s">
        <v>3486</v>
      </c>
    </row>
    <row r="918" customHeight="1" spans="1:6">
      <c r="A918" s="6">
        <v>917</v>
      </c>
      <c r="B918" s="8" t="s">
        <v>3487</v>
      </c>
      <c r="C918" s="8" t="s">
        <v>3488</v>
      </c>
      <c r="D918" s="8" t="s">
        <v>3489</v>
      </c>
      <c r="E918" s="8" t="s">
        <v>48</v>
      </c>
      <c r="F918" s="8" t="s">
        <v>3490</v>
      </c>
    </row>
    <row r="919" customHeight="1" spans="1:6">
      <c r="A919" s="6">
        <v>918</v>
      </c>
      <c r="B919" s="8" t="s">
        <v>3487</v>
      </c>
      <c r="C919" s="8" t="s">
        <v>3488</v>
      </c>
      <c r="D919" s="8" t="s">
        <v>3489</v>
      </c>
      <c r="E919" s="8" t="s">
        <v>48</v>
      </c>
      <c r="F919" s="8" t="s">
        <v>3490</v>
      </c>
    </row>
    <row r="920" customHeight="1" spans="1:6">
      <c r="A920" s="6">
        <v>919</v>
      </c>
      <c r="B920" s="8" t="s">
        <v>3491</v>
      </c>
      <c r="C920" s="8" t="s">
        <v>3492</v>
      </c>
      <c r="D920" s="8" t="s">
        <v>3493</v>
      </c>
      <c r="E920" s="8" t="s">
        <v>311</v>
      </c>
      <c r="F920" s="8" t="s">
        <v>3494</v>
      </c>
    </row>
    <row r="921" customHeight="1" spans="1:6">
      <c r="A921" s="6">
        <v>920</v>
      </c>
      <c r="B921" s="8" t="s">
        <v>3491</v>
      </c>
      <c r="C921" s="8" t="s">
        <v>3492</v>
      </c>
      <c r="D921" s="8" t="s">
        <v>3493</v>
      </c>
      <c r="E921" s="8" t="s">
        <v>311</v>
      </c>
      <c r="F921" s="8" t="s">
        <v>3494</v>
      </c>
    </row>
    <row r="922" customHeight="1" spans="1:6">
      <c r="A922" s="6">
        <v>921</v>
      </c>
      <c r="B922" s="8" t="s">
        <v>3495</v>
      </c>
      <c r="C922" s="8" t="s">
        <v>3496</v>
      </c>
      <c r="D922" s="8" t="s">
        <v>3497</v>
      </c>
      <c r="E922" s="8" t="s">
        <v>43</v>
      </c>
      <c r="F922" s="8" t="s">
        <v>3498</v>
      </c>
    </row>
    <row r="923" customHeight="1" spans="1:6">
      <c r="A923" s="6">
        <v>922</v>
      </c>
      <c r="B923" s="8" t="s">
        <v>3495</v>
      </c>
      <c r="C923" s="8" t="s">
        <v>3496</v>
      </c>
      <c r="D923" s="8" t="s">
        <v>3497</v>
      </c>
      <c r="E923" s="8" t="s">
        <v>43</v>
      </c>
      <c r="F923" s="8" t="s">
        <v>3498</v>
      </c>
    </row>
    <row r="924" customHeight="1" spans="1:6">
      <c r="A924" s="6">
        <v>923</v>
      </c>
      <c r="B924" s="8" t="s">
        <v>3499</v>
      </c>
      <c r="C924" s="8" t="s">
        <v>3500</v>
      </c>
      <c r="D924" s="8" t="s">
        <v>3501</v>
      </c>
      <c r="E924" s="8" t="s">
        <v>1189</v>
      </c>
      <c r="F924" s="8" t="s">
        <v>3502</v>
      </c>
    </row>
    <row r="925" customHeight="1" spans="1:6">
      <c r="A925" s="6">
        <v>924</v>
      </c>
      <c r="B925" s="8" t="s">
        <v>3499</v>
      </c>
      <c r="C925" s="8" t="s">
        <v>3500</v>
      </c>
      <c r="D925" s="8" t="s">
        <v>3501</v>
      </c>
      <c r="E925" s="8" t="s">
        <v>1189</v>
      </c>
      <c r="F925" s="8" t="s">
        <v>3502</v>
      </c>
    </row>
    <row r="926" customHeight="1" spans="1:6">
      <c r="A926" s="6">
        <v>925</v>
      </c>
      <c r="B926" s="7" t="str">
        <f>"978-7-5046-9092-0"</f>
        <v>978-7-5046-9092-0</v>
      </c>
      <c r="C926" s="7" t="str">
        <f>"全国创新创业典型案例选编"</f>
        <v>全国创新创业典型案例选编</v>
      </c>
      <c r="D926" s="7" t="str">
        <f>"赵立新主编"</f>
        <v>赵立新主编</v>
      </c>
      <c r="E926" s="7" t="str">
        <f>"中国科学技术出版社"</f>
        <v>中国科学技术出版社</v>
      </c>
      <c r="F926" s="7" t="str">
        <f>"F249.214/31"</f>
        <v>F249.214/31</v>
      </c>
    </row>
    <row r="927" customHeight="1" spans="1:6">
      <c r="A927" s="6">
        <v>926</v>
      </c>
      <c r="B927" s="7" t="str">
        <f>"978-7-5046-9092-0"</f>
        <v>978-7-5046-9092-0</v>
      </c>
      <c r="C927" s="7" t="str">
        <f>"全国创新创业典型案例选编"</f>
        <v>全国创新创业典型案例选编</v>
      </c>
      <c r="D927" s="7" t="str">
        <f>"赵立新主编"</f>
        <v>赵立新主编</v>
      </c>
      <c r="E927" s="7" t="str">
        <f>"中国科学技术出版社"</f>
        <v>中国科学技术出版社</v>
      </c>
      <c r="F927" s="7" t="str">
        <f>"F249.214/31"</f>
        <v>F249.214/31</v>
      </c>
    </row>
    <row r="928" customHeight="1" spans="1:6">
      <c r="A928" s="6">
        <v>927</v>
      </c>
      <c r="B928" s="8" t="s">
        <v>3503</v>
      </c>
      <c r="C928" s="8" t="s">
        <v>3504</v>
      </c>
      <c r="D928" s="8" t="s">
        <v>3489</v>
      </c>
      <c r="E928" s="8" t="s">
        <v>48</v>
      </c>
      <c r="F928" s="8" t="s">
        <v>3505</v>
      </c>
    </row>
    <row r="929" customHeight="1" spans="1:6">
      <c r="A929" s="6">
        <v>928</v>
      </c>
      <c r="B929" s="8" t="s">
        <v>3503</v>
      </c>
      <c r="C929" s="8" t="s">
        <v>3504</v>
      </c>
      <c r="D929" s="8" t="s">
        <v>3489</v>
      </c>
      <c r="E929" s="8" t="s">
        <v>48</v>
      </c>
      <c r="F929" s="8" t="s">
        <v>3505</v>
      </c>
    </row>
    <row r="930" customHeight="1" spans="1:6">
      <c r="A930" s="6">
        <v>929</v>
      </c>
      <c r="B930" s="8" t="s">
        <v>3506</v>
      </c>
      <c r="C930" s="8" t="s">
        <v>3507</v>
      </c>
      <c r="D930" s="8" t="s">
        <v>3508</v>
      </c>
      <c r="E930" s="8" t="s">
        <v>33</v>
      </c>
      <c r="F930" s="8" t="s">
        <v>3509</v>
      </c>
    </row>
    <row r="931" customHeight="1" spans="1:6">
      <c r="A931" s="6">
        <v>930</v>
      </c>
      <c r="B931" s="8" t="s">
        <v>3506</v>
      </c>
      <c r="C931" s="8" t="s">
        <v>3507</v>
      </c>
      <c r="D931" s="8" t="s">
        <v>3508</v>
      </c>
      <c r="E931" s="8" t="s">
        <v>33</v>
      </c>
      <c r="F931" s="8" t="s">
        <v>3509</v>
      </c>
    </row>
    <row r="932" customHeight="1" spans="1:6">
      <c r="A932" s="6">
        <v>931</v>
      </c>
      <c r="B932" s="8" t="s">
        <v>2054</v>
      </c>
      <c r="C932" s="8" t="s">
        <v>3510</v>
      </c>
      <c r="D932" s="8" t="s">
        <v>3511</v>
      </c>
      <c r="E932" s="8" t="s">
        <v>2057</v>
      </c>
      <c r="F932" s="8" t="s">
        <v>3512</v>
      </c>
    </row>
    <row r="933" customHeight="1" spans="1:6">
      <c r="A933" s="6">
        <v>932</v>
      </c>
      <c r="B933" s="7" t="str">
        <f>"978-7-01-019362-5"</f>
        <v>978-7-01-019362-5</v>
      </c>
      <c r="C933" s="7" t="str">
        <f>"物流金融与物流企业商业模式创新"</f>
        <v>物流金融与物流企业商业模式创新</v>
      </c>
      <c r="D933" s="7" t="str">
        <f>"李占雷著"</f>
        <v>李占雷著</v>
      </c>
      <c r="E933" s="7" t="str">
        <f>"人民出版社"</f>
        <v>人民出版社</v>
      </c>
      <c r="F933" s="7" t="str">
        <f>"F25/20"</f>
        <v>F25/20</v>
      </c>
    </row>
    <row r="934" customHeight="1" spans="1:6">
      <c r="A934" s="6">
        <v>933</v>
      </c>
      <c r="B934" s="7" t="str">
        <f>"978-7-01-019362-5"</f>
        <v>978-7-01-019362-5</v>
      </c>
      <c r="C934" s="7" t="str">
        <f>"物流金融与物流企业商业模式创新"</f>
        <v>物流金融与物流企业商业模式创新</v>
      </c>
      <c r="D934" s="7" t="str">
        <f>"李占雷著"</f>
        <v>李占雷著</v>
      </c>
      <c r="E934" s="7" t="str">
        <f>"人民出版社"</f>
        <v>人民出版社</v>
      </c>
      <c r="F934" s="7" t="str">
        <f>"F25/20"</f>
        <v>F25/20</v>
      </c>
    </row>
    <row r="935" customHeight="1" spans="1:6">
      <c r="A935" s="6">
        <v>934</v>
      </c>
      <c r="B935" s="8" t="s">
        <v>3513</v>
      </c>
      <c r="C935" s="8" t="s">
        <v>3514</v>
      </c>
      <c r="D935" s="8" t="s">
        <v>3515</v>
      </c>
      <c r="E935" s="8" t="s">
        <v>311</v>
      </c>
      <c r="F935" s="8" t="s">
        <v>3516</v>
      </c>
    </row>
    <row r="936" customHeight="1" spans="1:6">
      <c r="A936" s="6">
        <v>935</v>
      </c>
      <c r="B936" s="8" t="s">
        <v>3513</v>
      </c>
      <c r="C936" s="8" t="s">
        <v>3514</v>
      </c>
      <c r="D936" s="8" t="s">
        <v>3515</v>
      </c>
      <c r="E936" s="8" t="s">
        <v>311</v>
      </c>
      <c r="F936" s="8" t="s">
        <v>3516</v>
      </c>
    </row>
    <row r="937" customHeight="1" spans="1:6">
      <c r="A937" s="6">
        <v>936</v>
      </c>
      <c r="B937" s="7" t="str">
        <f>"978-7-121-42128-0"</f>
        <v>978-7-121-42128-0</v>
      </c>
      <c r="C937" s="7" t="str">
        <f>"大数据在智能物流中的应用"</f>
        <v>大数据在智能物流中的应用</v>
      </c>
      <c r="D937" s="7" t="str">
        <f t="shared" ref="D937:D940" si="64">"李芏巍编著"</f>
        <v>李芏巍编著</v>
      </c>
      <c r="E937" s="7" t="str">
        <f t="shared" ref="E937:E940" si="65">"电子工业出版社"</f>
        <v>电子工业出版社</v>
      </c>
      <c r="F937" s="7" t="str">
        <f>"F252.1/118"</f>
        <v>F252.1/118</v>
      </c>
    </row>
    <row r="938" customHeight="1" spans="1:6">
      <c r="A938" s="6">
        <v>937</v>
      </c>
      <c r="B938" s="7" t="str">
        <f>"978-7-121-42128-0"</f>
        <v>978-7-121-42128-0</v>
      </c>
      <c r="C938" s="7" t="str">
        <f>"大数据在智能物流中的应用"</f>
        <v>大数据在智能物流中的应用</v>
      </c>
      <c r="D938" s="7" t="str">
        <f t="shared" si="64"/>
        <v>李芏巍编著</v>
      </c>
      <c r="E938" s="7" t="str">
        <f t="shared" si="65"/>
        <v>电子工业出版社</v>
      </c>
      <c r="F938" s="7" t="str">
        <f>"F252.1/118"</f>
        <v>F252.1/118</v>
      </c>
    </row>
    <row r="939" customHeight="1" spans="1:6">
      <c r="A939" s="6">
        <v>938</v>
      </c>
      <c r="B939" s="7" t="str">
        <f>"978-7-121-41817-4"</f>
        <v>978-7-121-41817-4</v>
      </c>
      <c r="C939" s="7" t="str">
        <f>"“一带一路”与全球现代供应链"</f>
        <v>“一带一路”与全球现代供应链</v>
      </c>
      <c r="D939" s="7" t="str">
        <f t="shared" si="64"/>
        <v>李芏巍编著</v>
      </c>
      <c r="E939" s="7" t="str">
        <f t="shared" si="65"/>
        <v>电子工业出版社</v>
      </c>
      <c r="F939" s="7" t="str">
        <f>"F252.1/119"</f>
        <v>F252.1/119</v>
      </c>
    </row>
    <row r="940" customHeight="1" spans="1:6">
      <c r="A940" s="6">
        <v>939</v>
      </c>
      <c r="B940" s="7" t="str">
        <f>"978-7-121-41817-4"</f>
        <v>978-7-121-41817-4</v>
      </c>
      <c r="C940" s="7" t="str">
        <f>"“一带一路”与全球现代供应链"</f>
        <v>“一带一路”与全球现代供应链</v>
      </c>
      <c r="D940" s="7" t="str">
        <f t="shared" si="64"/>
        <v>李芏巍编著</v>
      </c>
      <c r="E940" s="7" t="str">
        <f t="shared" si="65"/>
        <v>电子工业出版社</v>
      </c>
      <c r="F940" s="7" t="str">
        <f>"F252.1/119"</f>
        <v>F252.1/119</v>
      </c>
    </row>
    <row r="941" customHeight="1" spans="1:6">
      <c r="A941" s="6">
        <v>940</v>
      </c>
      <c r="B941" s="8" t="s">
        <v>3517</v>
      </c>
      <c r="C941" s="8" t="s">
        <v>3518</v>
      </c>
      <c r="D941" s="8" t="s">
        <v>3519</v>
      </c>
      <c r="E941" s="8" t="s">
        <v>340</v>
      </c>
      <c r="F941" s="8" t="s">
        <v>3520</v>
      </c>
    </row>
    <row r="942" customHeight="1" spans="1:6">
      <c r="A942" s="6">
        <v>941</v>
      </c>
      <c r="B942" s="8" t="s">
        <v>3517</v>
      </c>
      <c r="C942" s="8" t="s">
        <v>3518</v>
      </c>
      <c r="D942" s="8" t="s">
        <v>3519</v>
      </c>
      <c r="E942" s="8" t="s">
        <v>340</v>
      </c>
      <c r="F942" s="8" t="s">
        <v>3520</v>
      </c>
    </row>
    <row r="943" customHeight="1" spans="1:6">
      <c r="A943" s="6">
        <v>942</v>
      </c>
      <c r="B943" s="8" t="s">
        <v>3521</v>
      </c>
      <c r="C943" s="8" t="s">
        <v>3522</v>
      </c>
      <c r="D943" s="8" t="s">
        <v>3523</v>
      </c>
      <c r="E943" s="8" t="s">
        <v>2566</v>
      </c>
      <c r="F943" s="8" t="s">
        <v>3524</v>
      </c>
    </row>
    <row r="944" customHeight="1" spans="1:6">
      <c r="A944" s="6">
        <v>943</v>
      </c>
      <c r="B944" s="8" t="s">
        <v>3521</v>
      </c>
      <c r="C944" s="8" t="s">
        <v>3522</v>
      </c>
      <c r="D944" s="8" t="s">
        <v>3523</v>
      </c>
      <c r="E944" s="8" t="s">
        <v>2566</v>
      </c>
      <c r="F944" s="8" t="s">
        <v>3524</v>
      </c>
    </row>
    <row r="945" customHeight="1" spans="1:6">
      <c r="A945" s="6">
        <v>944</v>
      </c>
      <c r="B945" s="8" t="s">
        <v>3525</v>
      </c>
      <c r="C945" s="8" t="s">
        <v>3526</v>
      </c>
      <c r="D945" s="8" t="s">
        <v>3527</v>
      </c>
      <c r="E945" s="8" t="s">
        <v>530</v>
      </c>
      <c r="F945" s="8" t="s">
        <v>3528</v>
      </c>
    </row>
    <row r="946" customHeight="1" spans="1:6">
      <c r="A946" s="6">
        <v>945</v>
      </c>
      <c r="B946" s="8" t="s">
        <v>3525</v>
      </c>
      <c r="C946" s="8" t="s">
        <v>3526</v>
      </c>
      <c r="D946" s="8" t="s">
        <v>3527</v>
      </c>
      <c r="E946" s="8" t="s">
        <v>530</v>
      </c>
      <c r="F946" s="8" t="s">
        <v>3528</v>
      </c>
    </row>
    <row r="947" customHeight="1" spans="1:6">
      <c r="A947" s="6">
        <v>946</v>
      </c>
      <c r="B947" s="8" t="s">
        <v>3529</v>
      </c>
      <c r="C947" s="8" t="s">
        <v>3530</v>
      </c>
      <c r="D947" s="8" t="s">
        <v>3531</v>
      </c>
      <c r="E947" s="8" t="s">
        <v>311</v>
      </c>
      <c r="F947" s="8" t="s">
        <v>3532</v>
      </c>
    </row>
    <row r="948" customHeight="1" spans="1:6">
      <c r="A948" s="6">
        <v>947</v>
      </c>
      <c r="B948" s="8" t="s">
        <v>3529</v>
      </c>
      <c r="C948" s="8" t="s">
        <v>3530</v>
      </c>
      <c r="D948" s="8" t="s">
        <v>3531</v>
      </c>
      <c r="E948" s="8" t="s">
        <v>311</v>
      </c>
      <c r="F948" s="8" t="s">
        <v>3532</v>
      </c>
    </row>
    <row r="949" customHeight="1" spans="1:6">
      <c r="A949" s="6">
        <v>948</v>
      </c>
      <c r="B949" s="8" t="s">
        <v>3533</v>
      </c>
      <c r="C949" s="8" t="s">
        <v>3534</v>
      </c>
      <c r="D949" s="8" t="s">
        <v>3535</v>
      </c>
      <c r="E949" s="8" t="s">
        <v>675</v>
      </c>
      <c r="F949" s="8" t="s">
        <v>3536</v>
      </c>
    </row>
    <row r="950" customHeight="1" spans="1:6">
      <c r="A950" s="6">
        <v>949</v>
      </c>
      <c r="B950" s="8" t="s">
        <v>3533</v>
      </c>
      <c r="C950" s="8" t="s">
        <v>3534</v>
      </c>
      <c r="D950" s="8" t="s">
        <v>3535</v>
      </c>
      <c r="E950" s="8" t="s">
        <v>675</v>
      </c>
      <c r="F950" s="8" t="s">
        <v>3536</v>
      </c>
    </row>
    <row r="951" customHeight="1" spans="1:6">
      <c r="A951" s="6">
        <v>950</v>
      </c>
      <c r="B951" s="8" t="s">
        <v>3533</v>
      </c>
      <c r="C951" s="8" t="s">
        <v>3534</v>
      </c>
      <c r="D951" s="8" t="s">
        <v>3535</v>
      </c>
      <c r="E951" s="8" t="s">
        <v>675</v>
      </c>
      <c r="F951" s="8" t="s">
        <v>3536</v>
      </c>
    </row>
    <row r="952" customHeight="1" spans="1:6">
      <c r="A952" s="6">
        <v>951</v>
      </c>
      <c r="B952" s="8" t="s">
        <v>3537</v>
      </c>
      <c r="C952" s="8" t="s">
        <v>3538</v>
      </c>
      <c r="D952" s="8" t="s">
        <v>3539</v>
      </c>
      <c r="E952" s="8" t="s">
        <v>530</v>
      </c>
      <c r="F952" s="8" t="s">
        <v>3540</v>
      </c>
    </row>
    <row r="953" customHeight="1" spans="1:6">
      <c r="A953" s="6">
        <v>952</v>
      </c>
      <c r="B953" s="8" t="s">
        <v>3537</v>
      </c>
      <c r="C953" s="8" t="s">
        <v>3538</v>
      </c>
      <c r="D953" s="8" t="s">
        <v>3539</v>
      </c>
      <c r="E953" s="8" t="s">
        <v>530</v>
      </c>
      <c r="F953" s="8" t="s">
        <v>3540</v>
      </c>
    </row>
    <row r="954" customHeight="1" spans="1:6">
      <c r="A954" s="6">
        <v>953</v>
      </c>
      <c r="B954" s="8" t="s">
        <v>3537</v>
      </c>
      <c r="C954" s="8" t="s">
        <v>3538</v>
      </c>
      <c r="D954" s="8" t="s">
        <v>3539</v>
      </c>
      <c r="E954" s="8" t="s">
        <v>530</v>
      </c>
      <c r="F954" s="8" t="s">
        <v>3540</v>
      </c>
    </row>
    <row r="955" customHeight="1" spans="1:6">
      <c r="A955" s="6">
        <v>954</v>
      </c>
      <c r="B955" s="8" t="s">
        <v>3541</v>
      </c>
      <c r="C955" s="8" t="s">
        <v>3542</v>
      </c>
      <c r="D955" s="8" t="s">
        <v>3543</v>
      </c>
      <c r="E955" s="8" t="s">
        <v>311</v>
      </c>
      <c r="F955" s="8" t="s">
        <v>3544</v>
      </c>
    </row>
    <row r="956" customHeight="1" spans="1:6">
      <c r="A956" s="6">
        <v>955</v>
      </c>
      <c r="B956" s="8" t="s">
        <v>3541</v>
      </c>
      <c r="C956" s="8" t="s">
        <v>3542</v>
      </c>
      <c r="D956" s="8" t="s">
        <v>3543</v>
      </c>
      <c r="E956" s="8" t="s">
        <v>311</v>
      </c>
      <c r="F956" s="8" t="s">
        <v>3544</v>
      </c>
    </row>
    <row r="957" customHeight="1" spans="1:6">
      <c r="A957" s="6">
        <v>956</v>
      </c>
      <c r="B957" s="8" t="s">
        <v>3545</v>
      </c>
      <c r="C957" s="8" t="s">
        <v>3546</v>
      </c>
      <c r="D957" s="8" t="s">
        <v>3547</v>
      </c>
      <c r="E957" s="8" t="s">
        <v>311</v>
      </c>
      <c r="F957" s="8" t="s">
        <v>3548</v>
      </c>
    </row>
    <row r="958" customHeight="1" spans="1:6">
      <c r="A958" s="6">
        <v>957</v>
      </c>
      <c r="B958" s="8" t="s">
        <v>3545</v>
      </c>
      <c r="C958" s="8" t="s">
        <v>3546</v>
      </c>
      <c r="D958" s="8" t="s">
        <v>3547</v>
      </c>
      <c r="E958" s="8" t="s">
        <v>311</v>
      </c>
      <c r="F958" s="8" t="s">
        <v>3548</v>
      </c>
    </row>
    <row r="959" customHeight="1" spans="1:6">
      <c r="A959" s="6">
        <v>958</v>
      </c>
      <c r="B959" s="8" t="s">
        <v>3549</v>
      </c>
      <c r="C959" s="8" t="s">
        <v>3550</v>
      </c>
      <c r="D959" s="8" t="s">
        <v>3551</v>
      </c>
      <c r="E959" s="8" t="s">
        <v>311</v>
      </c>
      <c r="F959" s="8" t="s">
        <v>3552</v>
      </c>
    </row>
    <row r="960" customHeight="1" spans="1:6">
      <c r="A960" s="6">
        <v>959</v>
      </c>
      <c r="B960" s="8" t="s">
        <v>3549</v>
      </c>
      <c r="C960" s="8" t="s">
        <v>3550</v>
      </c>
      <c r="D960" s="8" t="s">
        <v>3551</v>
      </c>
      <c r="E960" s="8" t="s">
        <v>311</v>
      </c>
      <c r="F960" s="8" t="s">
        <v>3552</v>
      </c>
    </row>
    <row r="961" customHeight="1" spans="1:6">
      <c r="A961" s="6">
        <v>960</v>
      </c>
      <c r="B961" s="8" t="s">
        <v>3553</v>
      </c>
      <c r="C961" s="8" t="s">
        <v>3554</v>
      </c>
      <c r="D961" s="8" t="s">
        <v>3555</v>
      </c>
      <c r="E961" s="8" t="s">
        <v>3146</v>
      </c>
      <c r="F961" s="8" t="s">
        <v>3556</v>
      </c>
    </row>
    <row r="962" customHeight="1" spans="1:6">
      <c r="A962" s="6">
        <v>961</v>
      </c>
      <c r="B962" s="8" t="s">
        <v>3553</v>
      </c>
      <c r="C962" s="8" t="s">
        <v>3554</v>
      </c>
      <c r="D962" s="8" t="s">
        <v>3555</v>
      </c>
      <c r="E962" s="8" t="s">
        <v>3146</v>
      </c>
      <c r="F962" s="8" t="s">
        <v>3556</v>
      </c>
    </row>
    <row r="963" customHeight="1" spans="1:6">
      <c r="A963" s="6">
        <v>962</v>
      </c>
      <c r="B963" s="8" t="s">
        <v>3557</v>
      </c>
      <c r="C963" s="8" t="s">
        <v>3558</v>
      </c>
      <c r="D963" s="8" t="s">
        <v>3559</v>
      </c>
      <c r="E963" s="8" t="s">
        <v>270</v>
      </c>
      <c r="F963" s="8" t="s">
        <v>3560</v>
      </c>
    </row>
    <row r="964" customHeight="1" spans="1:6">
      <c r="A964" s="6">
        <v>963</v>
      </c>
      <c r="B964" s="8" t="s">
        <v>3557</v>
      </c>
      <c r="C964" s="8" t="s">
        <v>3558</v>
      </c>
      <c r="D964" s="8" t="s">
        <v>3559</v>
      </c>
      <c r="E964" s="8" t="s">
        <v>270</v>
      </c>
      <c r="F964" s="8" t="s">
        <v>3560</v>
      </c>
    </row>
    <row r="965" customHeight="1" spans="1:6">
      <c r="A965" s="6">
        <v>964</v>
      </c>
      <c r="B965" s="8" t="s">
        <v>3557</v>
      </c>
      <c r="C965" s="8" t="s">
        <v>3558</v>
      </c>
      <c r="D965" s="8" t="s">
        <v>3559</v>
      </c>
      <c r="E965" s="8" t="s">
        <v>270</v>
      </c>
      <c r="F965" s="8" t="s">
        <v>3560</v>
      </c>
    </row>
    <row r="966" customHeight="1" spans="1:6">
      <c r="A966" s="6">
        <v>965</v>
      </c>
      <c r="B966" s="8" t="s">
        <v>3561</v>
      </c>
      <c r="C966" s="8" t="s">
        <v>3562</v>
      </c>
      <c r="D966" s="8" t="s">
        <v>3563</v>
      </c>
      <c r="E966" s="8" t="s">
        <v>311</v>
      </c>
      <c r="F966" s="8" t="s">
        <v>3564</v>
      </c>
    </row>
    <row r="967" customHeight="1" spans="1:6">
      <c r="A967" s="6">
        <v>966</v>
      </c>
      <c r="B967" s="8" t="s">
        <v>3561</v>
      </c>
      <c r="C967" s="8" t="s">
        <v>3562</v>
      </c>
      <c r="D967" s="8" t="s">
        <v>3563</v>
      </c>
      <c r="E967" s="8" t="s">
        <v>311</v>
      </c>
      <c r="F967" s="8" t="s">
        <v>3564</v>
      </c>
    </row>
    <row r="968" customHeight="1" spans="1:6">
      <c r="A968" s="6">
        <v>967</v>
      </c>
      <c r="B968" s="8" t="s">
        <v>3565</v>
      </c>
      <c r="C968" s="8" t="s">
        <v>3566</v>
      </c>
      <c r="D968" s="8" t="s">
        <v>3567</v>
      </c>
      <c r="E968" s="8" t="s">
        <v>530</v>
      </c>
      <c r="F968" s="8" t="s">
        <v>3568</v>
      </c>
    </row>
    <row r="969" customHeight="1" spans="1:6">
      <c r="A969" s="6">
        <v>968</v>
      </c>
      <c r="B969" s="8" t="s">
        <v>3565</v>
      </c>
      <c r="C969" s="8" t="s">
        <v>3566</v>
      </c>
      <c r="D969" s="8" t="s">
        <v>3567</v>
      </c>
      <c r="E969" s="8" t="s">
        <v>530</v>
      </c>
      <c r="F969" s="8" t="s">
        <v>3568</v>
      </c>
    </row>
    <row r="970" customHeight="1" spans="1:6">
      <c r="A970" s="6">
        <v>969</v>
      </c>
      <c r="B970" s="8" t="s">
        <v>3569</v>
      </c>
      <c r="C970" s="8" t="s">
        <v>3570</v>
      </c>
      <c r="D970" s="8" t="s">
        <v>3571</v>
      </c>
      <c r="E970" s="8" t="s">
        <v>530</v>
      </c>
      <c r="F970" s="8" t="s">
        <v>3572</v>
      </c>
    </row>
    <row r="971" customHeight="1" spans="1:6">
      <c r="A971" s="6">
        <v>970</v>
      </c>
      <c r="B971" s="8" t="s">
        <v>3569</v>
      </c>
      <c r="C971" s="8" t="s">
        <v>3570</v>
      </c>
      <c r="D971" s="8" t="s">
        <v>3571</v>
      </c>
      <c r="E971" s="8" t="s">
        <v>530</v>
      </c>
      <c r="F971" s="8" t="s">
        <v>3572</v>
      </c>
    </row>
    <row r="972" customHeight="1" spans="1:6">
      <c r="A972" s="6">
        <v>971</v>
      </c>
      <c r="B972" s="8" t="s">
        <v>3573</v>
      </c>
      <c r="C972" s="8" t="s">
        <v>3574</v>
      </c>
      <c r="D972" s="8" t="s">
        <v>3575</v>
      </c>
      <c r="E972" s="8" t="s">
        <v>485</v>
      </c>
      <c r="F972" s="8" t="s">
        <v>3576</v>
      </c>
    </row>
    <row r="973" customHeight="1" spans="1:6">
      <c r="A973" s="6">
        <v>972</v>
      </c>
      <c r="B973" s="8" t="s">
        <v>3573</v>
      </c>
      <c r="C973" s="8" t="s">
        <v>3574</v>
      </c>
      <c r="D973" s="8" t="s">
        <v>3575</v>
      </c>
      <c r="E973" s="8" t="s">
        <v>485</v>
      </c>
      <c r="F973" s="8" t="s">
        <v>3576</v>
      </c>
    </row>
    <row r="974" customHeight="1" spans="1:6">
      <c r="A974" s="6">
        <v>973</v>
      </c>
      <c r="B974" s="8" t="s">
        <v>3577</v>
      </c>
      <c r="C974" s="8" t="s">
        <v>3578</v>
      </c>
      <c r="D974" s="8" t="s">
        <v>3579</v>
      </c>
      <c r="E974" s="8" t="s">
        <v>3146</v>
      </c>
      <c r="F974" s="8" t="s">
        <v>3580</v>
      </c>
    </row>
    <row r="975" customHeight="1" spans="1:6">
      <c r="A975" s="6">
        <v>974</v>
      </c>
      <c r="B975" s="8" t="s">
        <v>3577</v>
      </c>
      <c r="C975" s="8" t="s">
        <v>3578</v>
      </c>
      <c r="D975" s="8" t="s">
        <v>3579</v>
      </c>
      <c r="E975" s="8" t="s">
        <v>3146</v>
      </c>
      <c r="F975" s="8" t="s">
        <v>3580</v>
      </c>
    </row>
    <row r="976" customHeight="1" spans="1:6">
      <c r="A976" s="6">
        <v>975</v>
      </c>
      <c r="B976" s="8" t="s">
        <v>3577</v>
      </c>
      <c r="C976" s="8" t="s">
        <v>3578</v>
      </c>
      <c r="D976" s="8" t="s">
        <v>3579</v>
      </c>
      <c r="E976" s="8" t="s">
        <v>3146</v>
      </c>
      <c r="F976" s="8" t="s">
        <v>3580</v>
      </c>
    </row>
    <row r="977" customHeight="1" spans="1:6">
      <c r="A977" s="6">
        <v>976</v>
      </c>
      <c r="B977" s="8" t="s">
        <v>3581</v>
      </c>
      <c r="C977" s="8" t="s">
        <v>3582</v>
      </c>
      <c r="D977" s="8" t="s">
        <v>3583</v>
      </c>
      <c r="E977" s="8" t="s">
        <v>2358</v>
      </c>
      <c r="F977" s="8" t="s">
        <v>3584</v>
      </c>
    </row>
    <row r="978" customHeight="1" spans="1:6">
      <c r="A978" s="6">
        <v>977</v>
      </c>
      <c r="B978" s="8" t="s">
        <v>3581</v>
      </c>
      <c r="C978" s="8" t="s">
        <v>3582</v>
      </c>
      <c r="D978" s="8" t="s">
        <v>3583</v>
      </c>
      <c r="E978" s="8" t="s">
        <v>2358</v>
      </c>
      <c r="F978" s="8" t="s">
        <v>3584</v>
      </c>
    </row>
    <row r="979" customHeight="1" spans="1:6">
      <c r="A979" s="6">
        <v>978</v>
      </c>
      <c r="B979" s="8" t="s">
        <v>3581</v>
      </c>
      <c r="C979" s="8" t="s">
        <v>3582</v>
      </c>
      <c r="D979" s="8" t="s">
        <v>3583</v>
      </c>
      <c r="E979" s="8" t="s">
        <v>2358</v>
      </c>
      <c r="F979" s="8" t="s">
        <v>3584</v>
      </c>
    </row>
    <row r="980" customHeight="1" spans="1:6">
      <c r="A980" s="6">
        <v>979</v>
      </c>
      <c r="B980" s="7" t="str">
        <f t="shared" ref="B980:B982" si="66">"978-7-313-25360-6"</f>
        <v>978-7-313-25360-6</v>
      </c>
      <c r="C980" s="7" t="str">
        <f t="shared" ref="C980:C982" si="67">"物流系统规划与设计"</f>
        <v>物流系统规划与设计</v>
      </c>
      <c r="D980" s="7" t="str">
        <f t="shared" ref="D980:D982" si="68">"主编刘鹤， 王凌峰"</f>
        <v>主编刘鹤， 王凌峰</v>
      </c>
      <c r="E980" s="7" t="str">
        <f t="shared" ref="E980:E982" si="69">"上海交通大学出版社"</f>
        <v>上海交通大学出版社</v>
      </c>
      <c r="F980" s="7" t="str">
        <f t="shared" ref="F980:F982" si="70">"F252/695=2D"</f>
        <v>F252/695=2D</v>
      </c>
    </row>
    <row r="981" customHeight="1" spans="1:6">
      <c r="A981" s="6">
        <v>980</v>
      </c>
      <c r="B981" s="7" t="str">
        <f t="shared" si="66"/>
        <v>978-7-313-25360-6</v>
      </c>
      <c r="C981" s="7" t="str">
        <f t="shared" si="67"/>
        <v>物流系统规划与设计</v>
      </c>
      <c r="D981" s="7" t="str">
        <f t="shared" si="68"/>
        <v>主编刘鹤， 王凌峰</v>
      </c>
      <c r="E981" s="7" t="str">
        <f t="shared" si="69"/>
        <v>上海交通大学出版社</v>
      </c>
      <c r="F981" s="7" t="str">
        <f t="shared" si="70"/>
        <v>F252/695=2D</v>
      </c>
    </row>
    <row r="982" customHeight="1" spans="1:6">
      <c r="A982" s="6">
        <v>981</v>
      </c>
      <c r="B982" s="7" t="str">
        <f t="shared" si="66"/>
        <v>978-7-313-25360-6</v>
      </c>
      <c r="C982" s="7" t="str">
        <f t="shared" si="67"/>
        <v>物流系统规划与设计</v>
      </c>
      <c r="D982" s="7" t="str">
        <f t="shared" si="68"/>
        <v>主编刘鹤， 王凌峰</v>
      </c>
      <c r="E982" s="7" t="str">
        <f t="shared" si="69"/>
        <v>上海交通大学出版社</v>
      </c>
      <c r="F982" s="7" t="str">
        <f t="shared" si="70"/>
        <v>F252/695=2D</v>
      </c>
    </row>
    <row r="983" customHeight="1" spans="1:6">
      <c r="A983" s="6">
        <v>982</v>
      </c>
      <c r="B983" s="8" t="s">
        <v>3585</v>
      </c>
      <c r="C983" s="8" t="s">
        <v>3586</v>
      </c>
      <c r="D983" s="8" t="s">
        <v>3587</v>
      </c>
      <c r="E983" s="8" t="s">
        <v>1636</v>
      </c>
      <c r="F983" s="8" t="s">
        <v>3588</v>
      </c>
    </row>
    <row r="984" customHeight="1" spans="1:6">
      <c r="A984" s="6">
        <v>983</v>
      </c>
      <c r="B984" s="8" t="s">
        <v>3585</v>
      </c>
      <c r="C984" s="8" t="s">
        <v>3586</v>
      </c>
      <c r="D984" s="8" t="s">
        <v>3587</v>
      </c>
      <c r="E984" s="8" t="s">
        <v>1636</v>
      </c>
      <c r="F984" s="8" t="s">
        <v>3588</v>
      </c>
    </row>
    <row r="985" customHeight="1" spans="1:6">
      <c r="A985" s="6">
        <v>984</v>
      </c>
      <c r="B985" s="8" t="s">
        <v>3585</v>
      </c>
      <c r="C985" s="8" t="s">
        <v>3586</v>
      </c>
      <c r="D985" s="8" t="s">
        <v>3587</v>
      </c>
      <c r="E985" s="8" t="s">
        <v>1636</v>
      </c>
      <c r="F985" s="8" t="s">
        <v>3588</v>
      </c>
    </row>
    <row r="986" customHeight="1" spans="1:6">
      <c r="A986" s="6">
        <v>985</v>
      </c>
      <c r="B986" s="8" t="s">
        <v>3589</v>
      </c>
      <c r="C986" s="8" t="s">
        <v>3590</v>
      </c>
      <c r="D986" s="8" t="s">
        <v>3591</v>
      </c>
      <c r="E986" s="8" t="s">
        <v>530</v>
      </c>
      <c r="F986" s="8" t="s">
        <v>3592</v>
      </c>
    </row>
    <row r="987" customHeight="1" spans="1:6">
      <c r="A987" s="6">
        <v>986</v>
      </c>
      <c r="B987" s="8" t="s">
        <v>3589</v>
      </c>
      <c r="C987" s="8" t="s">
        <v>3590</v>
      </c>
      <c r="D987" s="8" t="s">
        <v>3591</v>
      </c>
      <c r="E987" s="8" t="s">
        <v>530</v>
      </c>
      <c r="F987" s="8" t="s">
        <v>3592</v>
      </c>
    </row>
    <row r="988" customHeight="1" spans="1:6">
      <c r="A988" s="6">
        <v>987</v>
      </c>
      <c r="B988" s="8" t="s">
        <v>3589</v>
      </c>
      <c r="C988" s="8" t="s">
        <v>3590</v>
      </c>
      <c r="D988" s="8" t="s">
        <v>3591</v>
      </c>
      <c r="E988" s="8" t="s">
        <v>530</v>
      </c>
      <c r="F988" s="8" t="s">
        <v>3592</v>
      </c>
    </row>
    <row r="989" customHeight="1" spans="1:6">
      <c r="A989" s="6">
        <v>988</v>
      </c>
      <c r="B989" s="8" t="s">
        <v>3593</v>
      </c>
      <c r="C989" s="8" t="s">
        <v>3594</v>
      </c>
      <c r="D989" s="8" t="s">
        <v>3595</v>
      </c>
      <c r="E989" s="8" t="s">
        <v>1342</v>
      </c>
      <c r="F989" s="8" t="s">
        <v>3596</v>
      </c>
    </row>
    <row r="990" customHeight="1" spans="1:6">
      <c r="A990" s="6">
        <v>989</v>
      </c>
      <c r="B990" s="8" t="s">
        <v>3593</v>
      </c>
      <c r="C990" s="8" t="s">
        <v>3594</v>
      </c>
      <c r="D990" s="8" t="s">
        <v>3595</v>
      </c>
      <c r="E990" s="8" t="s">
        <v>1342</v>
      </c>
      <c r="F990" s="8" t="s">
        <v>3596</v>
      </c>
    </row>
    <row r="991" customHeight="1" spans="1:6">
      <c r="A991" s="6">
        <v>990</v>
      </c>
      <c r="B991" s="7" t="str">
        <f t="shared" ref="B991:B993" si="71">"978-7-313-25081-0"</f>
        <v>978-7-313-25081-0</v>
      </c>
      <c r="C991" s="7" t="str">
        <f t="shared" ref="C991:C993" si="72">"物流信息技术与应用"</f>
        <v>物流信息技术与应用</v>
      </c>
      <c r="D991" s="7" t="str">
        <f t="shared" ref="D991:D993" si="73">"主编王紫君， 黄艺璇， 李源"</f>
        <v>主编王紫君， 黄艺璇， 李源</v>
      </c>
      <c r="E991" s="7" t="str">
        <f t="shared" ref="E991:E993" si="74">"上海交通大学出版社"</f>
        <v>上海交通大学出版社</v>
      </c>
      <c r="F991" s="7" t="str">
        <f t="shared" ref="F991:F993" si="75">"F253.9/78"</f>
        <v>F253.9/78</v>
      </c>
    </row>
    <row r="992" customHeight="1" spans="1:6">
      <c r="A992" s="6">
        <v>991</v>
      </c>
      <c r="B992" s="7" t="str">
        <f t="shared" si="71"/>
        <v>978-7-313-25081-0</v>
      </c>
      <c r="C992" s="7" t="str">
        <f t="shared" si="72"/>
        <v>物流信息技术与应用</v>
      </c>
      <c r="D992" s="7" t="str">
        <f t="shared" si="73"/>
        <v>主编王紫君， 黄艺璇， 李源</v>
      </c>
      <c r="E992" s="7" t="str">
        <f t="shared" si="74"/>
        <v>上海交通大学出版社</v>
      </c>
      <c r="F992" s="7" t="str">
        <f t="shared" si="75"/>
        <v>F253.9/78</v>
      </c>
    </row>
    <row r="993" customHeight="1" spans="1:6">
      <c r="A993" s="6">
        <v>992</v>
      </c>
      <c r="B993" s="7" t="str">
        <f t="shared" si="71"/>
        <v>978-7-313-25081-0</v>
      </c>
      <c r="C993" s="7" t="str">
        <f t="shared" si="72"/>
        <v>物流信息技术与应用</v>
      </c>
      <c r="D993" s="7" t="str">
        <f t="shared" si="73"/>
        <v>主编王紫君， 黄艺璇， 李源</v>
      </c>
      <c r="E993" s="7" t="str">
        <f t="shared" si="74"/>
        <v>上海交通大学出版社</v>
      </c>
      <c r="F993" s="7" t="str">
        <f t="shared" si="75"/>
        <v>F253.9/78</v>
      </c>
    </row>
    <row r="994" customHeight="1" spans="1:6">
      <c r="A994" s="6">
        <v>993</v>
      </c>
      <c r="B994" s="7" t="str">
        <f>"978-7-5504-2517-0"</f>
        <v>978-7-5504-2517-0</v>
      </c>
      <c r="C994" s="7" t="str">
        <f>"农产品物流企业核心竞争力评价与实证研究"</f>
        <v>农产品物流企业核心竞争力评价与实证研究</v>
      </c>
      <c r="D994" s="7" t="str">
        <f>"曹小英著"</f>
        <v>曹小英著</v>
      </c>
      <c r="E994" s="7" t="str">
        <f>"西南财经大学出版社"</f>
        <v>西南财经大学出版社</v>
      </c>
      <c r="F994" s="7" t="str">
        <f>"F253/128"</f>
        <v>F253/128</v>
      </c>
    </row>
    <row r="995" customHeight="1" spans="1:6">
      <c r="A995" s="6">
        <v>994</v>
      </c>
      <c r="B995" s="7" t="str">
        <f>"978-7-5504-2517-0"</f>
        <v>978-7-5504-2517-0</v>
      </c>
      <c r="C995" s="7" t="str">
        <f>"农产品物流企业核心竞争力评价与实证研究"</f>
        <v>农产品物流企业核心竞争力评价与实证研究</v>
      </c>
      <c r="D995" s="7" t="str">
        <f>"曹小英著"</f>
        <v>曹小英著</v>
      </c>
      <c r="E995" s="7" t="str">
        <f>"西南财经大学出版社"</f>
        <v>西南财经大学出版社</v>
      </c>
      <c r="F995" s="7" t="str">
        <f>"F253/128"</f>
        <v>F253/128</v>
      </c>
    </row>
    <row r="996" customHeight="1" spans="1:6">
      <c r="A996" s="6">
        <v>995</v>
      </c>
      <c r="B996" s="8" t="s">
        <v>3597</v>
      </c>
      <c r="C996" s="8" t="s">
        <v>3598</v>
      </c>
      <c r="D996" s="8" t="s">
        <v>3599</v>
      </c>
      <c r="E996" s="8" t="s">
        <v>530</v>
      </c>
      <c r="F996" s="8" t="s">
        <v>3600</v>
      </c>
    </row>
    <row r="997" customHeight="1" spans="1:6">
      <c r="A997" s="6">
        <v>996</v>
      </c>
      <c r="B997" s="8" t="s">
        <v>3597</v>
      </c>
      <c r="C997" s="8" t="s">
        <v>3598</v>
      </c>
      <c r="D997" s="8" t="s">
        <v>3599</v>
      </c>
      <c r="E997" s="8" t="s">
        <v>530</v>
      </c>
      <c r="F997" s="8" t="s">
        <v>3600</v>
      </c>
    </row>
    <row r="998" customHeight="1" spans="1:6">
      <c r="A998" s="6">
        <v>997</v>
      </c>
      <c r="B998" s="8" t="s">
        <v>3601</v>
      </c>
      <c r="C998" s="8" t="s">
        <v>3602</v>
      </c>
      <c r="D998" s="8" t="s">
        <v>3603</v>
      </c>
      <c r="E998" s="8" t="s">
        <v>530</v>
      </c>
      <c r="F998" s="8" t="s">
        <v>3604</v>
      </c>
    </row>
    <row r="999" customHeight="1" spans="1:6">
      <c r="A999" s="6">
        <v>998</v>
      </c>
      <c r="B999" s="8" t="s">
        <v>3601</v>
      </c>
      <c r="C999" s="8" t="s">
        <v>3602</v>
      </c>
      <c r="D999" s="8" t="s">
        <v>3603</v>
      </c>
      <c r="E999" s="8" t="s">
        <v>530</v>
      </c>
      <c r="F999" s="8" t="s">
        <v>3604</v>
      </c>
    </row>
    <row r="1000" customHeight="1" spans="1:6">
      <c r="A1000" s="6">
        <v>999</v>
      </c>
      <c r="B1000" s="8" t="s">
        <v>3605</v>
      </c>
      <c r="C1000" s="8" t="s">
        <v>3606</v>
      </c>
      <c r="D1000" s="8" t="s">
        <v>3607</v>
      </c>
      <c r="E1000" s="8" t="s">
        <v>283</v>
      </c>
      <c r="F1000" s="8" t="s">
        <v>3608</v>
      </c>
    </row>
    <row r="1001" customHeight="1" spans="1:6">
      <c r="A1001" s="6">
        <v>1000</v>
      </c>
      <c r="B1001" s="8" t="s">
        <v>3605</v>
      </c>
      <c r="C1001" s="8" t="s">
        <v>3606</v>
      </c>
      <c r="D1001" s="8" t="s">
        <v>3607</v>
      </c>
      <c r="E1001" s="8" t="s">
        <v>283</v>
      </c>
      <c r="F1001" s="8" t="s">
        <v>3608</v>
      </c>
    </row>
    <row r="1002" customHeight="1" spans="1:6">
      <c r="A1002" s="6">
        <v>1001</v>
      </c>
      <c r="B1002" s="8" t="s">
        <v>3605</v>
      </c>
      <c r="C1002" s="8" t="s">
        <v>3606</v>
      </c>
      <c r="D1002" s="8" t="s">
        <v>3607</v>
      </c>
      <c r="E1002" s="8" t="s">
        <v>283</v>
      </c>
      <c r="F1002" s="8" t="s">
        <v>3608</v>
      </c>
    </row>
    <row r="1003" customHeight="1" spans="1:6">
      <c r="A1003" s="6">
        <v>1002</v>
      </c>
      <c r="B1003" s="8" t="s">
        <v>3609</v>
      </c>
      <c r="C1003" s="8" t="s">
        <v>3610</v>
      </c>
      <c r="D1003" s="8" t="s">
        <v>3611</v>
      </c>
      <c r="E1003" s="8" t="s">
        <v>375</v>
      </c>
      <c r="F1003" s="8" t="s">
        <v>3612</v>
      </c>
    </row>
    <row r="1004" customHeight="1" spans="1:6">
      <c r="A1004" s="6">
        <v>1003</v>
      </c>
      <c r="B1004" s="8" t="s">
        <v>3609</v>
      </c>
      <c r="C1004" s="8" t="s">
        <v>3610</v>
      </c>
      <c r="D1004" s="8" t="s">
        <v>3611</v>
      </c>
      <c r="E1004" s="8" t="s">
        <v>375</v>
      </c>
      <c r="F1004" s="8" t="s">
        <v>3612</v>
      </c>
    </row>
    <row r="1005" customHeight="1" spans="1:6">
      <c r="A1005" s="6">
        <v>1004</v>
      </c>
      <c r="B1005" s="8" t="s">
        <v>3613</v>
      </c>
      <c r="C1005" s="8" t="s">
        <v>3614</v>
      </c>
      <c r="D1005" s="8" t="s">
        <v>3615</v>
      </c>
      <c r="E1005" s="8" t="s">
        <v>415</v>
      </c>
      <c r="F1005" s="8" t="s">
        <v>3616</v>
      </c>
    </row>
    <row r="1006" customHeight="1" spans="1:6">
      <c r="A1006" s="6">
        <v>1005</v>
      </c>
      <c r="B1006" s="8" t="s">
        <v>3613</v>
      </c>
      <c r="C1006" s="8" t="s">
        <v>3614</v>
      </c>
      <c r="D1006" s="8" t="s">
        <v>3615</v>
      </c>
      <c r="E1006" s="8" t="s">
        <v>415</v>
      </c>
      <c r="F1006" s="8" t="s">
        <v>3616</v>
      </c>
    </row>
    <row r="1007" customHeight="1" spans="1:6">
      <c r="A1007" s="6">
        <v>1006</v>
      </c>
      <c r="B1007" s="8" t="s">
        <v>3617</v>
      </c>
      <c r="C1007" s="8" t="s">
        <v>3618</v>
      </c>
      <c r="D1007" s="8" t="s">
        <v>3619</v>
      </c>
      <c r="E1007" s="8" t="s">
        <v>311</v>
      </c>
      <c r="F1007" s="8" t="s">
        <v>3620</v>
      </c>
    </row>
    <row r="1008" customHeight="1" spans="1:6">
      <c r="A1008" s="6">
        <v>1007</v>
      </c>
      <c r="B1008" s="8" t="s">
        <v>3617</v>
      </c>
      <c r="C1008" s="8" t="s">
        <v>3618</v>
      </c>
      <c r="D1008" s="8" t="s">
        <v>3619</v>
      </c>
      <c r="E1008" s="8" t="s">
        <v>311</v>
      </c>
      <c r="F1008" s="8" t="s">
        <v>3620</v>
      </c>
    </row>
    <row r="1009" customHeight="1" spans="1:6">
      <c r="A1009" s="6">
        <v>1008</v>
      </c>
      <c r="B1009" s="8" t="s">
        <v>3617</v>
      </c>
      <c r="C1009" s="8" t="s">
        <v>3618</v>
      </c>
      <c r="D1009" s="8" t="s">
        <v>3619</v>
      </c>
      <c r="E1009" s="8" t="s">
        <v>311</v>
      </c>
      <c r="F1009" s="8" t="s">
        <v>3620</v>
      </c>
    </row>
    <row r="1010" customHeight="1" spans="1:6">
      <c r="A1010" s="6">
        <v>1009</v>
      </c>
      <c r="B1010" s="8" t="s">
        <v>3621</v>
      </c>
      <c r="C1010" s="8" t="s">
        <v>3622</v>
      </c>
      <c r="D1010" s="8" t="s">
        <v>3623</v>
      </c>
      <c r="E1010" s="8" t="s">
        <v>2284</v>
      </c>
      <c r="F1010" s="8" t="s">
        <v>3624</v>
      </c>
    </row>
    <row r="1011" customHeight="1" spans="1:6">
      <c r="A1011" s="6">
        <v>1010</v>
      </c>
      <c r="B1011" s="8" t="s">
        <v>3621</v>
      </c>
      <c r="C1011" s="8" t="s">
        <v>3622</v>
      </c>
      <c r="D1011" s="8" t="s">
        <v>3623</v>
      </c>
      <c r="E1011" s="8" t="s">
        <v>2284</v>
      </c>
      <c r="F1011" s="8" t="s">
        <v>3624</v>
      </c>
    </row>
    <row r="1012" customHeight="1" spans="1:6">
      <c r="A1012" s="6">
        <v>1011</v>
      </c>
      <c r="B1012" s="8" t="s">
        <v>3625</v>
      </c>
      <c r="C1012" s="8" t="s">
        <v>3626</v>
      </c>
      <c r="D1012" s="8" t="s">
        <v>3627</v>
      </c>
      <c r="E1012" s="8" t="s">
        <v>311</v>
      </c>
      <c r="F1012" s="8" t="s">
        <v>3628</v>
      </c>
    </row>
    <row r="1013" customHeight="1" spans="1:6">
      <c r="A1013" s="6">
        <v>1012</v>
      </c>
      <c r="B1013" s="8" t="s">
        <v>3625</v>
      </c>
      <c r="C1013" s="8" t="s">
        <v>3626</v>
      </c>
      <c r="D1013" s="8" t="s">
        <v>3627</v>
      </c>
      <c r="E1013" s="8" t="s">
        <v>311</v>
      </c>
      <c r="F1013" s="8" t="s">
        <v>3628</v>
      </c>
    </row>
    <row r="1014" customHeight="1" spans="1:6">
      <c r="A1014" s="6">
        <v>1013</v>
      </c>
      <c r="B1014" s="8" t="s">
        <v>3629</v>
      </c>
      <c r="C1014" s="8" t="s">
        <v>3630</v>
      </c>
      <c r="D1014" s="8" t="s">
        <v>3631</v>
      </c>
      <c r="E1014" s="8" t="s">
        <v>311</v>
      </c>
      <c r="F1014" s="8" t="s">
        <v>3632</v>
      </c>
    </row>
    <row r="1015" customHeight="1" spans="1:6">
      <c r="A1015" s="6">
        <v>1014</v>
      </c>
      <c r="B1015" s="8" t="s">
        <v>3629</v>
      </c>
      <c r="C1015" s="8" t="s">
        <v>3630</v>
      </c>
      <c r="D1015" s="8" t="s">
        <v>3631</v>
      </c>
      <c r="E1015" s="8" t="s">
        <v>311</v>
      </c>
      <c r="F1015" s="8" t="s">
        <v>3632</v>
      </c>
    </row>
    <row r="1016" customHeight="1" spans="1:6">
      <c r="A1016" s="6">
        <v>1015</v>
      </c>
      <c r="B1016" s="8" t="s">
        <v>3633</v>
      </c>
      <c r="C1016" s="8" t="s">
        <v>3634</v>
      </c>
      <c r="D1016" s="8" t="s">
        <v>3635</v>
      </c>
      <c r="E1016" s="8" t="s">
        <v>311</v>
      </c>
      <c r="F1016" s="8" t="s">
        <v>3636</v>
      </c>
    </row>
    <row r="1017" customHeight="1" spans="1:6">
      <c r="A1017" s="6">
        <v>1016</v>
      </c>
      <c r="B1017" s="8" t="s">
        <v>3633</v>
      </c>
      <c r="C1017" s="8" t="s">
        <v>3634</v>
      </c>
      <c r="D1017" s="8" t="s">
        <v>3635</v>
      </c>
      <c r="E1017" s="8" t="s">
        <v>311</v>
      </c>
      <c r="F1017" s="8" t="s">
        <v>3636</v>
      </c>
    </row>
    <row r="1018" customHeight="1" spans="1:6">
      <c r="A1018" s="6">
        <v>1017</v>
      </c>
      <c r="B1018" s="8" t="s">
        <v>3637</v>
      </c>
      <c r="C1018" s="8" t="s">
        <v>3638</v>
      </c>
      <c r="D1018" s="8" t="s">
        <v>3639</v>
      </c>
      <c r="E1018" s="8" t="s">
        <v>311</v>
      </c>
      <c r="F1018" s="8" t="s">
        <v>3640</v>
      </c>
    </row>
    <row r="1019" customHeight="1" spans="1:6">
      <c r="A1019" s="6">
        <v>1018</v>
      </c>
      <c r="B1019" s="8" t="s">
        <v>3637</v>
      </c>
      <c r="C1019" s="8" t="s">
        <v>3638</v>
      </c>
      <c r="D1019" s="8" t="s">
        <v>3639</v>
      </c>
      <c r="E1019" s="8" t="s">
        <v>311</v>
      </c>
      <c r="F1019" s="8" t="s">
        <v>3640</v>
      </c>
    </row>
    <row r="1020" customHeight="1" spans="1:6">
      <c r="A1020" s="6">
        <v>1019</v>
      </c>
      <c r="B1020" s="8" t="s">
        <v>3641</v>
      </c>
      <c r="C1020" s="8" t="s">
        <v>3642</v>
      </c>
      <c r="D1020" s="8" t="s">
        <v>3643</v>
      </c>
      <c r="E1020" s="8" t="s">
        <v>415</v>
      </c>
      <c r="F1020" s="8" t="s">
        <v>3644</v>
      </c>
    </row>
    <row r="1021" customHeight="1" spans="1:6">
      <c r="A1021" s="6">
        <v>1020</v>
      </c>
      <c r="B1021" s="8" t="s">
        <v>3641</v>
      </c>
      <c r="C1021" s="8" t="s">
        <v>3642</v>
      </c>
      <c r="D1021" s="8" t="s">
        <v>3643</v>
      </c>
      <c r="E1021" s="8" t="s">
        <v>415</v>
      </c>
      <c r="F1021" s="8" t="s">
        <v>3644</v>
      </c>
    </row>
    <row r="1022" customHeight="1" spans="1:6">
      <c r="A1022" s="6">
        <v>1021</v>
      </c>
      <c r="B1022" s="8" t="s">
        <v>3645</v>
      </c>
      <c r="C1022" s="8" t="s">
        <v>3646</v>
      </c>
      <c r="D1022" s="8" t="s">
        <v>3647</v>
      </c>
      <c r="E1022" s="8" t="s">
        <v>311</v>
      </c>
      <c r="F1022" s="8" t="s">
        <v>3648</v>
      </c>
    </row>
    <row r="1023" customHeight="1" spans="1:6">
      <c r="A1023" s="6">
        <v>1022</v>
      </c>
      <c r="B1023" s="8" t="s">
        <v>3645</v>
      </c>
      <c r="C1023" s="8" t="s">
        <v>3646</v>
      </c>
      <c r="D1023" s="8" t="s">
        <v>3647</v>
      </c>
      <c r="E1023" s="8" t="s">
        <v>311</v>
      </c>
      <c r="F1023" s="8" t="s">
        <v>3648</v>
      </c>
    </row>
    <row r="1024" customHeight="1" spans="1:6">
      <c r="A1024" s="6">
        <v>1023</v>
      </c>
      <c r="B1024" s="8" t="s">
        <v>3649</v>
      </c>
      <c r="C1024" s="8" t="s">
        <v>3650</v>
      </c>
      <c r="D1024" s="8" t="s">
        <v>3651</v>
      </c>
      <c r="E1024" s="8" t="s">
        <v>3146</v>
      </c>
      <c r="F1024" s="8" t="s">
        <v>3652</v>
      </c>
    </row>
    <row r="1025" customHeight="1" spans="1:6">
      <c r="A1025" s="6">
        <v>1024</v>
      </c>
      <c r="B1025" s="8" t="s">
        <v>3649</v>
      </c>
      <c r="C1025" s="8" t="s">
        <v>3650</v>
      </c>
      <c r="D1025" s="8" t="s">
        <v>3651</v>
      </c>
      <c r="E1025" s="8" t="s">
        <v>3146</v>
      </c>
      <c r="F1025" s="8" t="s">
        <v>3652</v>
      </c>
    </row>
    <row r="1026" customHeight="1" spans="1:6">
      <c r="A1026" s="6">
        <v>1025</v>
      </c>
      <c r="B1026" s="8" t="s">
        <v>3653</v>
      </c>
      <c r="C1026" s="8" t="s">
        <v>3654</v>
      </c>
      <c r="D1026" s="8" t="s">
        <v>3651</v>
      </c>
      <c r="E1026" s="8" t="s">
        <v>3146</v>
      </c>
      <c r="F1026" s="8" t="s">
        <v>3655</v>
      </c>
    </row>
    <row r="1027" customHeight="1" spans="1:6">
      <c r="A1027" s="6">
        <v>1026</v>
      </c>
      <c r="B1027" s="8" t="s">
        <v>3653</v>
      </c>
      <c r="C1027" s="8" t="s">
        <v>3654</v>
      </c>
      <c r="D1027" s="8" t="s">
        <v>3651</v>
      </c>
      <c r="E1027" s="8" t="s">
        <v>3146</v>
      </c>
      <c r="F1027" s="8" t="s">
        <v>3655</v>
      </c>
    </row>
    <row r="1028" customHeight="1" spans="1:6">
      <c r="A1028" s="6">
        <v>1027</v>
      </c>
      <c r="B1028" s="8" t="s">
        <v>3656</v>
      </c>
      <c r="C1028" s="8" t="s">
        <v>3657</v>
      </c>
      <c r="D1028" s="8" t="s">
        <v>3658</v>
      </c>
      <c r="E1028" s="8" t="s">
        <v>881</v>
      </c>
      <c r="F1028" s="8" t="s">
        <v>3659</v>
      </c>
    </row>
    <row r="1029" customHeight="1" spans="1:6">
      <c r="A1029" s="6">
        <v>1028</v>
      </c>
      <c r="B1029" s="8" t="s">
        <v>3656</v>
      </c>
      <c r="C1029" s="8" t="s">
        <v>3657</v>
      </c>
      <c r="D1029" s="8" t="s">
        <v>3658</v>
      </c>
      <c r="E1029" s="8" t="s">
        <v>881</v>
      </c>
      <c r="F1029" s="8" t="s">
        <v>3659</v>
      </c>
    </row>
    <row r="1030" customHeight="1" spans="1:6">
      <c r="A1030" s="6">
        <v>1029</v>
      </c>
      <c r="B1030" s="8" t="s">
        <v>3660</v>
      </c>
      <c r="C1030" s="8" t="s">
        <v>3661</v>
      </c>
      <c r="D1030" s="8" t="s">
        <v>3662</v>
      </c>
      <c r="E1030" s="8" t="s">
        <v>311</v>
      </c>
      <c r="F1030" s="8" t="s">
        <v>3663</v>
      </c>
    </row>
    <row r="1031" customHeight="1" spans="1:6">
      <c r="A1031" s="6">
        <v>1030</v>
      </c>
      <c r="B1031" s="8" t="s">
        <v>3660</v>
      </c>
      <c r="C1031" s="8" t="s">
        <v>3661</v>
      </c>
      <c r="D1031" s="8" t="s">
        <v>3662</v>
      </c>
      <c r="E1031" s="8" t="s">
        <v>311</v>
      </c>
      <c r="F1031" s="8" t="s">
        <v>3663</v>
      </c>
    </row>
    <row r="1032" customHeight="1" spans="1:6">
      <c r="A1032" s="6">
        <v>1031</v>
      </c>
      <c r="B1032" s="7" t="str">
        <f>"978-7-5096-8153-4"</f>
        <v>978-7-5096-8153-4</v>
      </c>
      <c r="C1032" s="7" t="str">
        <f>"产业集群式转移与产业链跨区域整合"</f>
        <v>产业集群式转移与产业链跨区域整合</v>
      </c>
      <c r="D1032" s="7" t="str">
        <f>"刘友金， 刘天琦著"</f>
        <v>刘友金， 刘天琦著</v>
      </c>
      <c r="E1032" s="7" t="str">
        <f>"经济管理出版社"</f>
        <v>经济管理出版社</v>
      </c>
      <c r="F1032" s="7" t="str">
        <f>"F269.23/12"</f>
        <v>F269.23/12</v>
      </c>
    </row>
    <row r="1033" customHeight="1" spans="1:6">
      <c r="A1033" s="6">
        <v>1032</v>
      </c>
      <c r="B1033" s="7" t="str">
        <f>"978-7-5096-8153-4"</f>
        <v>978-7-5096-8153-4</v>
      </c>
      <c r="C1033" s="7" t="str">
        <f>"产业集群式转移与产业链跨区域整合"</f>
        <v>产业集群式转移与产业链跨区域整合</v>
      </c>
      <c r="D1033" s="7" t="str">
        <f>"刘友金， 刘天琦著"</f>
        <v>刘友金， 刘天琦著</v>
      </c>
      <c r="E1033" s="7" t="str">
        <f>"经济管理出版社"</f>
        <v>经济管理出版社</v>
      </c>
      <c r="F1033" s="7" t="str">
        <f>"F269.23/12"</f>
        <v>F269.23/12</v>
      </c>
    </row>
    <row r="1034" customHeight="1" spans="1:6">
      <c r="A1034" s="6">
        <v>1033</v>
      </c>
      <c r="B1034" s="8" t="s">
        <v>3664</v>
      </c>
      <c r="C1034" s="8" t="s">
        <v>3665</v>
      </c>
      <c r="D1034" s="8" t="s">
        <v>3666</v>
      </c>
      <c r="E1034" s="8" t="s">
        <v>311</v>
      </c>
      <c r="F1034" s="8" t="s">
        <v>3667</v>
      </c>
    </row>
    <row r="1035" customHeight="1" spans="1:6">
      <c r="A1035" s="6">
        <v>1034</v>
      </c>
      <c r="B1035" s="8" t="s">
        <v>3664</v>
      </c>
      <c r="C1035" s="8" t="s">
        <v>3665</v>
      </c>
      <c r="D1035" s="8" t="s">
        <v>3666</v>
      </c>
      <c r="E1035" s="8" t="s">
        <v>311</v>
      </c>
      <c r="F1035" s="8" t="s">
        <v>3667</v>
      </c>
    </row>
    <row r="1036" customHeight="1" spans="1:6">
      <c r="A1036" s="6">
        <v>1035</v>
      </c>
      <c r="B1036" s="8" t="s">
        <v>3664</v>
      </c>
      <c r="C1036" s="8" t="s">
        <v>3665</v>
      </c>
      <c r="D1036" s="8" t="s">
        <v>3666</v>
      </c>
      <c r="E1036" s="8" t="s">
        <v>311</v>
      </c>
      <c r="F1036" s="8" t="s">
        <v>3667</v>
      </c>
    </row>
    <row r="1037" customHeight="1" spans="1:6">
      <c r="A1037" s="6">
        <v>1036</v>
      </c>
      <c r="B1037" s="8" t="s">
        <v>3668</v>
      </c>
      <c r="C1037" s="8" t="s">
        <v>3669</v>
      </c>
      <c r="D1037" s="8" t="s">
        <v>2917</v>
      </c>
      <c r="E1037" s="8" t="s">
        <v>311</v>
      </c>
      <c r="F1037" s="8" t="s">
        <v>3670</v>
      </c>
    </row>
    <row r="1038" customHeight="1" spans="1:6">
      <c r="A1038" s="6">
        <v>1037</v>
      </c>
      <c r="B1038" s="8" t="s">
        <v>3668</v>
      </c>
      <c r="C1038" s="8" t="s">
        <v>3669</v>
      </c>
      <c r="D1038" s="8" t="s">
        <v>2917</v>
      </c>
      <c r="E1038" s="8" t="s">
        <v>311</v>
      </c>
      <c r="F1038" s="8" t="s">
        <v>3670</v>
      </c>
    </row>
    <row r="1039" customHeight="1" spans="1:6">
      <c r="A1039" s="6">
        <v>1038</v>
      </c>
      <c r="B1039" s="7" t="str">
        <f>"978-7-5096-7923-4"</f>
        <v>978-7-5096-7923-4</v>
      </c>
      <c r="C1039" s="7" t="str">
        <f>"中国产业结构转型升级与高质量发展"</f>
        <v>中国产业结构转型升级与高质量发展</v>
      </c>
      <c r="D1039" s="7" t="str">
        <f>"石玉军著"</f>
        <v>石玉军著</v>
      </c>
      <c r="E1039" s="7" t="str">
        <f>"经济管理出版社"</f>
        <v>经济管理出版社</v>
      </c>
      <c r="F1039" s="7" t="str">
        <f>"F269.24/41"</f>
        <v>F269.24/41</v>
      </c>
    </row>
    <row r="1040" customHeight="1" spans="1:6">
      <c r="A1040" s="6">
        <v>1039</v>
      </c>
      <c r="B1040" s="7" t="str">
        <f>"978-7-5096-7923-4"</f>
        <v>978-7-5096-7923-4</v>
      </c>
      <c r="C1040" s="7" t="str">
        <f>"中国产业结构转型升级与高质量发展"</f>
        <v>中国产业结构转型升级与高质量发展</v>
      </c>
      <c r="D1040" s="7" t="str">
        <f>"石玉军著"</f>
        <v>石玉军著</v>
      </c>
      <c r="E1040" s="7" t="str">
        <f>"经济管理出版社"</f>
        <v>经济管理出版社</v>
      </c>
      <c r="F1040" s="7" t="str">
        <f>"F269.24/41"</f>
        <v>F269.24/41</v>
      </c>
    </row>
    <row r="1041" customHeight="1" spans="1:6">
      <c r="A1041" s="6">
        <v>1040</v>
      </c>
      <c r="B1041" s="7" t="str">
        <f>"978-7-308-18880-7"</f>
        <v>978-7-308-18880-7</v>
      </c>
      <c r="C1041" s="7" t="str">
        <f>"数字经济下中国产业转型升级研究"</f>
        <v>数字经济下中国产业转型升级研究</v>
      </c>
      <c r="D1041" s="7" t="str">
        <f>"李晓钟著"</f>
        <v>李晓钟著</v>
      </c>
      <c r="E1041" s="7" t="str">
        <f>"浙江大学出版社"</f>
        <v>浙江大学出版社</v>
      </c>
      <c r="F1041" s="7" t="str">
        <f>"F269.24/42"</f>
        <v>F269.24/42</v>
      </c>
    </row>
    <row r="1042" customHeight="1" spans="1:6">
      <c r="A1042" s="6">
        <v>1041</v>
      </c>
      <c r="B1042" s="7" t="str">
        <f>"978-7-308-18880-7"</f>
        <v>978-7-308-18880-7</v>
      </c>
      <c r="C1042" s="7" t="str">
        <f>"数字经济下中国产业转型升级研究"</f>
        <v>数字经济下中国产业转型升级研究</v>
      </c>
      <c r="D1042" s="7" t="str">
        <f>"李晓钟著"</f>
        <v>李晓钟著</v>
      </c>
      <c r="E1042" s="7" t="str">
        <f>"浙江大学出版社"</f>
        <v>浙江大学出版社</v>
      </c>
      <c r="F1042" s="7" t="str">
        <f>"F269.24/42"</f>
        <v>F269.24/42</v>
      </c>
    </row>
    <row r="1043" customHeight="1" spans="1:6">
      <c r="A1043" s="6">
        <v>1042</v>
      </c>
      <c r="B1043" s="8" t="s">
        <v>3671</v>
      </c>
      <c r="C1043" s="8" t="s">
        <v>3672</v>
      </c>
      <c r="D1043" s="8" t="s">
        <v>3673</v>
      </c>
      <c r="E1043" s="8" t="s">
        <v>1189</v>
      </c>
      <c r="F1043" s="8" t="s">
        <v>3674</v>
      </c>
    </row>
    <row r="1044" customHeight="1" spans="1:6">
      <c r="A1044" s="6">
        <v>1043</v>
      </c>
      <c r="B1044" s="8" t="s">
        <v>3671</v>
      </c>
      <c r="C1044" s="8" t="s">
        <v>3672</v>
      </c>
      <c r="D1044" s="8" t="s">
        <v>3673</v>
      </c>
      <c r="E1044" s="8" t="s">
        <v>1189</v>
      </c>
      <c r="F1044" s="8" t="s">
        <v>3674</v>
      </c>
    </row>
    <row r="1045" customHeight="1" spans="1:6">
      <c r="A1045" s="6">
        <v>1044</v>
      </c>
      <c r="B1045" s="8" t="s">
        <v>3671</v>
      </c>
      <c r="C1045" s="8" t="s">
        <v>3672</v>
      </c>
      <c r="D1045" s="8" t="s">
        <v>3673</v>
      </c>
      <c r="E1045" s="8" t="s">
        <v>1189</v>
      </c>
      <c r="F1045" s="8" t="s">
        <v>3674</v>
      </c>
    </row>
    <row r="1046" customHeight="1" spans="1:6">
      <c r="A1046" s="6">
        <v>1045</v>
      </c>
      <c r="B1046" s="8" t="s">
        <v>3675</v>
      </c>
      <c r="C1046" s="8" t="s">
        <v>3676</v>
      </c>
      <c r="D1046" s="8" t="s">
        <v>3677</v>
      </c>
      <c r="E1046" s="8" t="s">
        <v>311</v>
      </c>
      <c r="F1046" s="8" t="s">
        <v>3678</v>
      </c>
    </row>
    <row r="1047" customHeight="1" spans="1:6">
      <c r="A1047" s="6">
        <v>1046</v>
      </c>
      <c r="B1047" s="8" t="s">
        <v>3675</v>
      </c>
      <c r="C1047" s="8" t="s">
        <v>3676</v>
      </c>
      <c r="D1047" s="8" t="s">
        <v>3677</v>
      </c>
      <c r="E1047" s="8" t="s">
        <v>311</v>
      </c>
      <c r="F1047" s="8" t="s">
        <v>3678</v>
      </c>
    </row>
    <row r="1048" customHeight="1" spans="1:6">
      <c r="A1048" s="6">
        <v>1047</v>
      </c>
      <c r="B1048" s="8" t="s">
        <v>3679</v>
      </c>
      <c r="C1048" s="8" t="s">
        <v>3680</v>
      </c>
      <c r="D1048" s="8" t="s">
        <v>3681</v>
      </c>
      <c r="E1048" s="8" t="s">
        <v>239</v>
      </c>
      <c r="F1048" s="8" t="s">
        <v>3682</v>
      </c>
    </row>
    <row r="1049" customHeight="1" spans="1:6">
      <c r="A1049" s="6">
        <v>1048</v>
      </c>
      <c r="B1049" s="8" t="s">
        <v>3679</v>
      </c>
      <c r="C1049" s="8" t="s">
        <v>3680</v>
      </c>
      <c r="D1049" s="8" t="s">
        <v>3681</v>
      </c>
      <c r="E1049" s="8" t="s">
        <v>239</v>
      </c>
      <c r="F1049" s="8" t="s">
        <v>3682</v>
      </c>
    </row>
    <row r="1050" customHeight="1" spans="1:6">
      <c r="A1050" s="6">
        <v>1049</v>
      </c>
      <c r="B1050" s="8" t="s">
        <v>3679</v>
      </c>
      <c r="C1050" s="8" t="s">
        <v>3680</v>
      </c>
      <c r="D1050" s="8" t="s">
        <v>3681</v>
      </c>
      <c r="E1050" s="8" t="s">
        <v>239</v>
      </c>
      <c r="F1050" s="8" t="s">
        <v>3682</v>
      </c>
    </row>
    <row r="1051" customHeight="1" spans="1:6">
      <c r="A1051" s="6">
        <v>1050</v>
      </c>
      <c r="B1051" s="8" t="s">
        <v>3683</v>
      </c>
      <c r="C1051" s="8" t="s">
        <v>3684</v>
      </c>
      <c r="D1051" s="8" t="s">
        <v>3685</v>
      </c>
      <c r="E1051" s="8" t="s">
        <v>571</v>
      </c>
      <c r="F1051" s="8" t="s">
        <v>3686</v>
      </c>
    </row>
    <row r="1052" customHeight="1" spans="1:6">
      <c r="A1052" s="6">
        <v>1051</v>
      </c>
      <c r="B1052" s="8" t="s">
        <v>3683</v>
      </c>
      <c r="C1052" s="8" t="s">
        <v>3684</v>
      </c>
      <c r="D1052" s="8" t="s">
        <v>3685</v>
      </c>
      <c r="E1052" s="8" t="s">
        <v>571</v>
      </c>
      <c r="F1052" s="8" t="s">
        <v>3686</v>
      </c>
    </row>
    <row r="1053" customHeight="1" spans="1:6">
      <c r="A1053" s="6">
        <v>1052</v>
      </c>
      <c r="B1053" s="8" t="s">
        <v>3687</v>
      </c>
      <c r="C1053" s="8" t="s">
        <v>3688</v>
      </c>
      <c r="D1053" s="8" t="s">
        <v>3689</v>
      </c>
      <c r="E1053" s="8" t="s">
        <v>189</v>
      </c>
      <c r="F1053" s="8" t="s">
        <v>3690</v>
      </c>
    </row>
    <row r="1054" customHeight="1" spans="1:6">
      <c r="A1054" s="6">
        <v>1053</v>
      </c>
      <c r="B1054" s="8" t="s">
        <v>3687</v>
      </c>
      <c r="C1054" s="8" t="s">
        <v>3688</v>
      </c>
      <c r="D1054" s="8" t="s">
        <v>3689</v>
      </c>
      <c r="E1054" s="8" t="s">
        <v>189</v>
      </c>
      <c r="F1054" s="8" t="s">
        <v>3690</v>
      </c>
    </row>
    <row r="1055" customHeight="1" spans="1:6">
      <c r="A1055" s="6">
        <v>1054</v>
      </c>
      <c r="B1055" s="8" t="s">
        <v>3687</v>
      </c>
      <c r="C1055" s="8" t="s">
        <v>3688</v>
      </c>
      <c r="D1055" s="8" t="s">
        <v>3689</v>
      </c>
      <c r="E1055" s="8" t="s">
        <v>189</v>
      </c>
      <c r="F1055" s="8" t="s">
        <v>3690</v>
      </c>
    </row>
    <row r="1056" customHeight="1" spans="1:6">
      <c r="A1056" s="6">
        <v>1055</v>
      </c>
      <c r="B1056" s="8" t="s">
        <v>3691</v>
      </c>
      <c r="C1056" s="8" t="s">
        <v>3692</v>
      </c>
      <c r="D1056" s="8" t="s">
        <v>3693</v>
      </c>
      <c r="E1056" s="8" t="s">
        <v>2418</v>
      </c>
      <c r="F1056" s="8" t="s">
        <v>3694</v>
      </c>
    </row>
    <row r="1057" customHeight="1" spans="1:6">
      <c r="A1057" s="6">
        <v>1056</v>
      </c>
      <c r="B1057" s="8" t="s">
        <v>3691</v>
      </c>
      <c r="C1057" s="8" t="s">
        <v>3692</v>
      </c>
      <c r="D1057" s="8" t="s">
        <v>3693</v>
      </c>
      <c r="E1057" s="8" t="s">
        <v>2418</v>
      </c>
      <c r="F1057" s="8" t="s">
        <v>3694</v>
      </c>
    </row>
    <row r="1058" customHeight="1" spans="1:6">
      <c r="A1058" s="6">
        <v>1057</v>
      </c>
      <c r="B1058" s="8" t="s">
        <v>3691</v>
      </c>
      <c r="C1058" s="8" t="s">
        <v>3692</v>
      </c>
      <c r="D1058" s="8" t="s">
        <v>3693</v>
      </c>
      <c r="E1058" s="8" t="s">
        <v>2418</v>
      </c>
      <c r="F1058" s="8" t="s">
        <v>3694</v>
      </c>
    </row>
    <row r="1059" customHeight="1" spans="1:6">
      <c r="A1059" s="6">
        <v>1058</v>
      </c>
      <c r="B1059" s="8" t="s">
        <v>3695</v>
      </c>
      <c r="C1059" s="8" t="s">
        <v>3696</v>
      </c>
      <c r="D1059" s="8" t="s">
        <v>3697</v>
      </c>
      <c r="E1059" s="8" t="s">
        <v>311</v>
      </c>
      <c r="F1059" s="8" t="s">
        <v>3698</v>
      </c>
    </row>
    <row r="1060" customHeight="1" spans="1:6">
      <c r="A1060" s="6">
        <v>1059</v>
      </c>
      <c r="B1060" s="8" t="s">
        <v>3695</v>
      </c>
      <c r="C1060" s="8" t="s">
        <v>3696</v>
      </c>
      <c r="D1060" s="8" t="s">
        <v>3697</v>
      </c>
      <c r="E1060" s="8" t="s">
        <v>311</v>
      </c>
      <c r="F1060" s="8" t="s">
        <v>3698</v>
      </c>
    </row>
    <row r="1061" customHeight="1" spans="1:6">
      <c r="A1061" s="6">
        <v>1060</v>
      </c>
      <c r="B1061" s="8" t="s">
        <v>3699</v>
      </c>
      <c r="C1061" s="8" t="s">
        <v>3700</v>
      </c>
      <c r="D1061" s="8" t="s">
        <v>3701</v>
      </c>
      <c r="E1061" s="8" t="s">
        <v>415</v>
      </c>
      <c r="F1061" s="8" t="s">
        <v>3702</v>
      </c>
    </row>
    <row r="1062" customHeight="1" spans="1:6">
      <c r="A1062" s="6">
        <v>1061</v>
      </c>
      <c r="B1062" s="8" t="s">
        <v>3699</v>
      </c>
      <c r="C1062" s="8" t="s">
        <v>3700</v>
      </c>
      <c r="D1062" s="8" t="s">
        <v>3701</v>
      </c>
      <c r="E1062" s="8" t="s">
        <v>415</v>
      </c>
      <c r="F1062" s="8" t="s">
        <v>3702</v>
      </c>
    </row>
    <row r="1063" customHeight="1" spans="1:6">
      <c r="A1063" s="6">
        <v>1062</v>
      </c>
      <c r="B1063" s="8" t="s">
        <v>3703</v>
      </c>
      <c r="C1063" s="8" t="s">
        <v>3704</v>
      </c>
      <c r="D1063" s="8" t="s">
        <v>3705</v>
      </c>
      <c r="E1063" s="8" t="s">
        <v>881</v>
      </c>
      <c r="F1063" s="8" t="s">
        <v>3706</v>
      </c>
    </row>
    <row r="1064" customHeight="1" spans="1:6">
      <c r="A1064" s="6">
        <v>1063</v>
      </c>
      <c r="B1064" s="8" t="s">
        <v>3703</v>
      </c>
      <c r="C1064" s="8" t="s">
        <v>3704</v>
      </c>
      <c r="D1064" s="8" t="s">
        <v>3705</v>
      </c>
      <c r="E1064" s="8" t="s">
        <v>881</v>
      </c>
      <c r="F1064" s="8" t="s">
        <v>3706</v>
      </c>
    </row>
    <row r="1065" customHeight="1" spans="1:6">
      <c r="A1065" s="6">
        <v>1064</v>
      </c>
      <c r="B1065" s="8" t="s">
        <v>3707</v>
      </c>
      <c r="C1065" s="8" t="s">
        <v>3708</v>
      </c>
      <c r="D1065" s="8" t="s">
        <v>3709</v>
      </c>
      <c r="E1065" s="8" t="s">
        <v>48</v>
      </c>
      <c r="F1065" s="8" t="s">
        <v>3710</v>
      </c>
    </row>
    <row r="1066" customHeight="1" spans="1:6">
      <c r="A1066" s="6">
        <v>1065</v>
      </c>
      <c r="B1066" s="8" t="s">
        <v>3707</v>
      </c>
      <c r="C1066" s="8" t="s">
        <v>3708</v>
      </c>
      <c r="D1066" s="8" t="s">
        <v>3709</v>
      </c>
      <c r="E1066" s="8" t="s">
        <v>48</v>
      </c>
      <c r="F1066" s="8" t="s">
        <v>3710</v>
      </c>
    </row>
    <row r="1067" customHeight="1" spans="1:6">
      <c r="A1067" s="6">
        <v>1066</v>
      </c>
      <c r="B1067" s="9" t="str">
        <f>"978-7-111-61105-9"</f>
        <v>978-7-111-61105-9</v>
      </c>
      <c r="C1067" s="9" t="str">
        <f>"管理经济学"</f>
        <v>管理经济学</v>
      </c>
      <c r="D1067" s="9" t="str">
        <f>"(美) 詹姆斯 R.麦圭根， R.查尔斯·莫耶， 弗雷德里克 H. B.哈里斯著James R. McGuigan， R. Charles Moyer， Frederick H. deB. Harris；陈宇峰译"</f>
        <v>(美) 詹姆斯 R.麦圭根， R.查尔斯·莫耶， 弗雷德里克 H. B.哈里斯著James R. McGuigan， R. Charles Moyer， Frederick H. deB. Harris；陈宇峰译</v>
      </c>
      <c r="E1067" s="9" t="str">
        <f>"机械工业出版社"</f>
        <v>机械工业出版社</v>
      </c>
      <c r="F1067" s="9" t="str">
        <f>"F270/902-3"</f>
        <v>F270/902-3</v>
      </c>
    </row>
    <row r="1068" customHeight="1" spans="1:6">
      <c r="A1068" s="6">
        <v>1067</v>
      </c>
      <c r="B1068" s="9" t="str">
        <f>"978-7-111-61105-9"</f>
        <v>978-7-111-61105-9</v>
      </c>
      <c r="C1068" s="9" t="str">
        <f>"管理经济学"</f>
        <v>管理经济学</v>
      </c>
      <c r="D1068" s="9" t="str">
        <f>"(美) 詹姆斯 R.麦圭根， R.查尔斯·莫耶， 弗雷德里克 H. B.哈里斯著James R. McGuigan， R. Charles Moyer， Frederick H. deB. Harris；陈宇峰译"</f>
        <v>(美) 詹姆斯 R.麦圭根， R.查尔斯·莫耶， 弗雷德里克 H. B.哈里斯著James R. McGuigan， R. Charles Moyer， Frederick H. deB. Harris；陈宇峰译</v>
      </c>
      <c r="E1068" s="9" t="str">
        <f>"机械工业出版社"</f>
        <v>机械工业出版社</v>
      </c>
      <c r="F1068" s="9" t="str">
        <f>"F270/902-3"</f>
        <v>F270/902-3</v>
      </c>
    </row>
    <row r="1069" customHeight="1" spans="1:6">
      <c r="A1069" s="6">
        <v>1068</v>
      </c>
      <c r="B1069" s="8" t="s">
        <v>3711</v>
      </c>
      <c r="C1069" s="8" t="s">
        <v>3712</v>
      </c>
      <c r="D1069" s="8" t="s">
        <v>3713</v>
      </c>
      <c r="E1069" s="8" t="s">
        <v>197</v>
      </c>
      <c r="F1069" s="8" t="s">
        <v>3714</v>
      </c>
    </row>
    <row r="1070" customHeight="1" spans="1:6">
      <c r="A1070" s="6">
        <v>1069</v>
      </c>
      <c r="B1070" s="8" t="s">
        <v>3711</v>
      </c>
      <c r="C1070" s="8" t="s">
        <v>3712</v>
      </c>
      <c r="D1070" s="8" t="s">
        <v>3713</v>
      </c>
      <c r="E1070" s="8" t="s">
        <v>197</v>
      </c>
      <c r="F1070" s="8" t="s">
        <v>3714</v>
      </c>
    </row>
    <row r="1071" customHeight="1" spans="1:6">
      <c r="A1071" s="6">
        <v>1070</v>
      </c>
      <c r="B1071" s="8" t="s">
        <v>3715</v>
      </c>
      <c r="C1071" s="8" t="s">
        <v>3716</v>
      </c>
      <c r="D1071" s="8" t="s">
        <v>3717</v>
      </c>
      <c r="E1071" s="8" t="s">
        <v>270</v>
      </c>
      <c r="F1071" s="8" t="s">
        <v>3718</v>
      </c>
    </row>
    <row r="1072" customHeight="1" spans="1:6">
      <c r="A1072" s="6">
        <v>1071</v>
      </c>
      <c r="B1072" s="8" t="s">
        <v>3715</v>
      </c>
      <c r="C1072" s="8" t="s">
        <v>3716</v>
      </c>
      <c r="D1072" s="8" t="s">
        <v>3717</v>
      </c>
      <c r="E1072" s="8" t="s">
        <v>270</v>
      </c>
      <c r="F1072" s="8" t="s">
        <v>3718</v>
      </c>
    </row>
    <row r="1073" customHeight="1" spans="1:6">
      <c r="A1073" s="6">
        <v>1072</v>
      </c>
      <c r="B1073" s="8" t="s">
        <v>3719</v>
      </c>
      <c r="C1073" s="8" t="s">
        <v>3720</v>
      </c>
      <c r="D1073" s="8" t="s">
        <v>3721</v>
      </c>
      <c r="E1073" s="8" t="s">
        <v>239</v>
      </c>
      <c r="F1073" s="8" t="s">
        <v>3722</v>
      </c>
    </row>
    <row r="1074" customHeight="1" spans="1:6">
      <c r="A1074" s="6">
        <v>1073</v>
      </c>
      <c r="B1074" s="8" t="s">
        <v>3719</v>
      </c>
      <c r="C1074" s="8" t="s">
        <v>3720</v>
      </c>
      <c r="D1074" s="8" t="s">
        <v>3721</v>
      </c>
      <c r="E1074" s="8" t="s">
        <v>239</v>
      </c>
      <c r="F1074" s="8" t="s">
        <v>3722</v>
      </c>
    </row>
    <row r="1075" customHeight="1" spans="1:6">
      <c r="A1075" s="6">
        <v>1074</v>
      </c>
      <c r="B1075" s="7" t="str">
        <f>"978-7-03-065826-5"</f>
        <v>978-7-03-065826-5</v>
      </c>
      <c r="C1075" s="7" t="str">
        <f>"知识积累与自主创新：企业内生性成长规律研究"</f>
        <v>知识积累与自主创新：企业内生性成长规律研究</v>
      </c>
      <c r="D1075" s="7" t="str">
        <f>"张军著"</f>
        <v>张军著</v>
      </c>
      <c r="E1075" s="7" t="str">
        <f>"科学出版社"</f>
        <v>科学出版社</v>
      </c>
      <c r="F1075" s="7" t="str">
        <f>"F271/108"</f>
        <v>F271/108</v>
      </c>
    </row>
    <row r="1076" customHeight="1" spans="1:6">
      <c r="A1076" s="6">
        <v>1075</v>
      </c>
      <c r="B1076" s="7" t="str">
        <f>"978-7-03-065826-5"</f>
        <v>978-7-03-065826-5</v>
      </c>
      <c r="C1076" s="7" t="str">
        <f>"知识积累与自主创新：企业内生性成长规律研究"</f>
        <v>知识积累与自主创新：企业内生性成长规律研究</v>
      </c>
      <c r="D1076" s="7" t="str">
        <f>"张军著"</f>
        <v>张军著</v>
      </c>
      <c r="E1076" s="7" t="str">
        <f>"科学出版社"</f>
        <v>科学出版社</v>
      </c>
      <c r="F1076" s="7" t="str">
        <f>"F271/108"</f>
        <v>F271/108</v>
      </c>
    </row>
    <row r="1077" customHeight="1" spans="1:6">
      <c r="A1077" s="6">
        <v>1076</v>
      </c>
      <c r="B1077" s="8" t="s">
        <v>3723</v>
      </c>
      <c r="C1077" s="8" t="s">
        <v>3724</v>
      </c>
      <c r="D1077" s="8" t="s">
        <v>3725</v>
      </c>
      <c r="E1077" s="8" t="s">
        <v>311</v>
      </c>
      <c r="F1077" s="8" t="s">
        <v>3726</v>
      </c>
    </row>
    <row r="1078" customHeight="1" spans="1:6">
      <c r="A1078" s="6">
        <v>1077</v>
      </c>
      <c r="B1078" s="8" t="s">
        <v>3723</v>
      </c>
      <c r="C1078" s="8" t="s">
        <v>3724</v>
      </c>
      <c r="D1078" s="8" t="s">
        <v>3725</v>
      </c>
      <c r="E1078" s="8" t="s">
        <v>311</v>
      </c>
      <c r="F1078" s="8" t="s">
        <v>3726</v>
      </c>
    </row>
    <row r="1079" customHeight="1" spans="1:6">
      <c r="A1079" s="6">
        <v>1078</v>
      </c>
      <c r="B1079" s="8" t="s">
        <v>3727</v>
      </c>
      <c r="C1079" s="8" t="s">
        <v>3728</v>
      </c>
      <c r="D1079" s="8" t="s">
        <v>3729</v>
      </c>
      <c r="E1079" s="8" t="s">
        <v>2284</v>
      </c>
      <c r="F1079" s="8" t="s">
        <v>3730</v>
      </c>
    </row>
    <row r="1080" customHeight="1" spans="1:6">
      <c r="A1080" s="6">
        <v>1079</v>
      </c>
      <c r="B1080" s="8" t="s">
        <v>3727</v>
      </c>
      <c r="C1080" s="8" t="s">
        <v>3728</v>
      </c>
      <c r="D1080" s="8" t="s">
        <v>3729</v>
      </c>
      <c r="E1080" s="8" t="s">
        <v>2284</v>
      </c>
      <c r="F1080" s="8" t="s">
        <v>3730</v>
      </c>
    </row>
    <row r="1081" customHeight="1" spans="1:6">
      <c r="A1081" s="6">
        <v>1080</v>
      </c>
      <c r="B1081" s="7" t="str">
        <f t="shared" ref="B1081:B1083" si="76">"978-7-5158-2883-1"</f>
        <v>978-7-5158-2883-1</v>
      </c>
      <c r="C1081" s="7" t="str">
        <f t="shared" ref="C1081:C1083" si="77">"增长新思维：逆势增长的7大系统：7 aspects of contrarian growth"</f>
        <v>增长新思维：逆势增长的7大系统：7 aspects of contrarian growth</v>
      </c>
      <c r="D1081" s="7" t="str">
        <f t="shared" ref="D1081:D1083" si="78">"姜岚昕著"</f>
        <v>姜岚昕著</v>
      </c>
      <c r="E1081" s="7" t="str">
        <f t="shared" ref="E1081:E1083" si="79">"中华工商联合出版社"</f>
        <v>中华工商联合出版社</v>
      </c>
      <c r="F1081" s="7" t="str">
        <f t="shared" ref="F1081:F1083" si="80">"F272.1/101"</f>
        <v>F272.1/101</v>
      </c>
    </row>
    <row r="1082" customHeight="1" spans="1:6">
      <c r="A1082" s="6">
        <v>1081</v>
      </c>
      <c r="B1082" s="7" t="str">
        <f t="shared" si="76"/>
        <v>978-7-5158-2883-1</v>
      </c>
      <c r="C1082" s="7" t="str">
        <f t="shared" si="77"/>
        <v>增长新思维：逆势增长的7大系统：7 aspects of contrarian growth</v>
      </c>
      <c r="D1082" s="7" t="str">
        <f t="shared" si="78"/>
        <v>姜岚昕著</v>
      </c>
      <c r="E1082" s="7" t="str">
        <f t="shared" si="79"/>
        <v>中华工商联合出版社</v>
      </c>
      <c r="F1082" s="7" t="str">
        <f t="shared" si="80"/>
        <v>F272.1/101</v>
      </c>
    </row>
    <row r="1083" customHeight="1" spans="1:6">
      <c r="A1083" s="6">
        <v>1082</v>
      </c>
      <c r="B1083" s="7" t="str">
        <f t="shared" si="76"/>
        <v>978-7-5158-2883-1</v>
      </c>
      <c r="C1083" s="7" t="str">
        <f t="shared" si="77"/>
        <v>增长新思维：逆势增长的7大系统：7 aspects of contrarian growth</v>
      </c>
      <c r="D1083" s="7" t="str">
        <f t="shared" si="78"/>
        <v>姜岚昕著</v>
      </c>
      <c r="E1083" s="7" t="str">
        <f t="shared" si="79"/>
        <v>中华工商联合出版社</v>
      </c>
      <c r="F1083" s="7" t="str">
        <f t="shared" si="80"/>
        <v>F272.1/101</v>
      </c>
    </row>
    <row r="1084" customHeight="1" spans="1:6">
      <c r="A1084" s="6">
        <v>1083</v>
      </c>
      <c r="B1084" s="7" t="str">
        <f t="shared" ref="B1084:B1086" si="81">"978-7-5142-3459-6"</f>
        <v>978-7-5142-3459-6</v>
      </c>
      <c r="C1084" s="7" t="str">
        <f t="shared" ref="C1084:C1086" si="82">"图解战略：一本书读懂3000年战略史"</f>
        <v>图解战略：一本书读懂3000年战略史</v>
      </c>
      <c r="D1084" s="7" t="str">
        <f t="shared" ref="D1084:D1086" si="83">"(日) 铃木博毅著；(日) 泷丽绘；周素， 陈广琪译"</f>
        <v>(日) 铃木博毅著；(日) 泷丽绘；周素， 陈广琪译</v>
      </c>
      <c r="E1084" s="7" t="str">
        <f t="shared" ref="E1084:E1086" si="84">"文化发展出版社"</f>
        <v>文化发展出版社</v>
      </c>
      <c r="F1084" s="7" t="str">
        <f t="shared" ref="F1084:F1086" si="85">"F272.1/102"</f>
        <v>F272.1/102</v>
      </c>
    </row>
    <row r="1085" customHeight="1" spans="1:6">
      <c r="A1085" s="6">
        <v>1084</v>
      </c>
      <c r="B1085" s="7" t="str">
        <f t="shared" si="81"/>
        <v>978-7-5142-3459-6</v>
      </c>
      <c r="C1085" s="7" t="str">
        <f t="shared" si="82"/>
        <v>图解战略：一本书读懂3000年战略史</v>
      </c>
      <c r="D1085" s="7" t="str">
        <f t="shared" si="83"/>
        <v>(日) 铃木博毅著；(日) 泷丽绘；周素， 陈广琪译</v>
      </c>
      <c r="E1085" s="7" t="str">
        <f t="shared" si="84"/>
        <v>文化发展出版社</v>
      </c>
      <c r="F1085" s="7" t="str">
        <f t="shared" si="85"/>
        <v>F272.1/102</v>
      </c>
    </row>
    <row r="1086" customHeight="1" spans="1:6">
      <c r="A1086" s="6">
        <v>1085</v>
      </c>
      <c r="B1086" s="7" t="str">
        <f t="shared" si="81"/>
        <v>978-7-5142-3459-6</v>
      </c>
      <c r="C1086" s="7" t="str">
        <f t="shared" si="82"/>
        <v>图解战略：一本书读懂3000年战略史</v>
      </c>
      <c r="D1086" s="7" t="str">
        <f t="shared" si="83"/>
        <v>(日) 铃木博毅著；(日) 泷丽绘；周素， 陈广琪译</v>
      </c>
      <c r="E1086" s="7" t="str">
        <f t="shared" si="84"/>
        <v>文化发展出版社</v>
      </c>
      <c r="F1086" s="7" t="str">
        <f t="shared" si="85"/>
        <v>F272.1/102</v>
      </c>
    </row>
    <row r="1087" customHeight="1" spans="1:6">
      <c r="A1087" s="6">
        <v>1086</v>
      </c>
      <c r="B1087" s="8" t="s">
        <v>3731</v>
      </c>
      <c r="C1087" s="8" t="s">
        <v>3732</v>
      </c>
      <c r="D1087" s="8" t="s">
        <v>3733</v>
      </c>
      <c r="E1087" s="8" t="s">
        <v>1667</v>
      </c>
      <c r="F1087" s="8" t="s">
        <v>3734</v>
      </c>
    </row>
    <row r="1088" customHeight="1" spans="1:6">
      <c r="A1088" s="6">
        <v>1087</v>
      </c>
      <c r="B1088" s="8" t="s">
        <v>3731</v>
      </c>
      <c r="C1088" s="8" t="s">
        <v>3732</v>
      </c>
      <c r="D1088" s="8" t="s">
        <v>3733</v>
      </c>
      <c r="E1088" s="8" t="s">
        <v>1667</v>
      </c>
      <c r="F1088" s="8" t="s">
        <v>3734</v>
      </c>
    </row>
    <row r="1089" customHeight="1" spans="1:6">
      <c r="A1089" s="6">
        <v>1088</v>
      </c>
      <c r="B1089" s="8" t="s">
        <v>3731</v>
      </c>
      <c r="C1089" s="8" t="s">
        <v>3732</v>
      </c>
      <c r="D1089" s="8" t="s">
        <v>3733</v>
      </c>
      <c r="E1089" s="8" t="s">
        <v>1667</v>
      </c>
      <c r="F1089" s="8" t="s">
        <v>3734</v>
      </c>
    </row>
    <row r="1090" customHeight="1" spans="1:6">
      <c r="A1090" s="6">
        <v>1089</v>
      </c>
      <c r="B1090" s="8" t="s">
        <v>3735</v>
      </c>
      <c r="C1090" s="8" t="s">
        <v>3736</v>
      </c>
      <c r="D1090" s="8" t="s">
        <v>3737</v>
      </c>
      <c r="E1090" s="8" t="s">
        <v>275</v>
      </c>
      <c r="F1090" s="8" t="s">
        <v>3738</v>
      </c>
    </row>
    <row r="1091" customHeight="1" spans="1:6">
      <c r="A1091" s="6">
        <v>1090</v>
      </c>
      <c r="B1091" s="8" t="s">
        <v>3735</v>
      </c>
      <c r="C1091" s="8" t="s">
        <v>3736</v>
      </c>
      <c r="D1091" s="8" t="s">
        <v>3737</v>
      </c>
      <c r="E1091" s="8" t="s">
        <v>275</v>
      </c>
      <c r="F1091" s="8" t="s">
        <v>3738</v>
      </c>
    </row>
    <row r="1092" customHeight="1" spans="1:6">
      <c r="A1092" s="6">
        <v>1091</v>
      </c>
      <c r="B1092" s="8" t="s">
        <v>3735</v>
      </c>
      <c r="C1092" s="8" t="s">
        <v>3736</v>
      </c>
      <c r="D1092" s="8" t="s">
        <v>3737</v>
      </c>
      <c r="E1092" s="8" t="s">
        <v>275</v>
      </c>
      <c r="F1092" s="8" t="s">
        <v>3738</v>
      </c>
    </row>
    <row r="1093" customHeight="1" spans="1:6">
      <c r="A1093" s="6">
        <v>1092</v>
      </c>
      <c r="B1093" s="8" t="s">
        <v>3739</v>
      </c>
      <c r="C1093" s="8" t="s">
        <v>3740</v>
      </c>
      <c r="D1093" s="8" t="s">
        <v>3741</v>
      </c>
      <c r="E1093" s="8" t="s">
        <v>375</v>
      </c>
      <c r="F1093" s="8" t="s">
        <v>3742</v>
      </c>
    </row>
    <row r="1094" customHeight="1" spans="1:6">
      <c r="A1094" s="6">
        <v>1093</v>
      </c>
      <c r="B1094" s="8" t="s">
        <v>3739</v>
      </c>
      <c r="C1094" s="8" t="s">
        <v>3740</v>
      </c>
      <c r="D1094" s="8" t="s">
        <v>3741</v>
      </c>
      <c r="E1094" s="8" t="s">
        <v>375</v>
      </c>
      <c r="F1094" s="8" t="s">
        <v>3742</v>
      </c>
    </row>
    <row r="1095" customHeight="1" spans="1:6">
      <c r="A1095" s="6">
        <v>1094</v>
      </c>
      <c r="B1095" s="8" t="s">
        <v>3743</v>
      </c>
      <c r="C1095" s="8" t="s">
        <v>3744</v>
      </c>
      <c r="D1095" s="8" t="s">
        <v>3745</v>
      </c>
      <c r="E1095" s="8" t="s">
        <v>2566</v>
      </c>
      <c r="F1095" s="8" t="s">
        <v>3746</v>
      </c>
    </row>
    <row r="1096" customHeight="1" spans="1:6">
      <c r="A1096" s="6">
        <v>1095</v>
      </c>
      <c r="B1096" s="8" t="s">
        <v>3743</v>
      </c>
      <c r="C1096" s="8" t="s">
        <v>3744</v>
      </c>
      <c r="D1096" s="8" t="s">
        <v>3745</v>
      </c>
      <c r="E1096" s="8" t="s">
        <v>2566</v>
      </c>
      <c r="F1096" s="8" t="s">
        <v>3746</v>
      </c>
    </row>
    <row r="1097" customHeight="1" spans="1:6">
      <c r="A1097" s="6">
        <v>1096</v>
      </c>
      <c r="B1097" s="8" t="s">
        <v>3747</v>
      </c>
      <c r="C1097" s="8" t="s">
        <v>3748</v>
      </c>
      <c r="D1097" s="8" t="s">
        <v>3749</v>
      </c>
      <c r="E1097" s="8" t="s">
        <v>311</v>
      </c>
      <c r="F1097" s="8" t="s">
        <v>3750</v>
      </c>
    </row>
    <row r="1098" customHeight="1" spans="1:6">
      <c r="A1098" s="6">
        <v>1097</v>
      </c>
      <c r="B1098" s="8" t="s">
        <v>3747</v>
      </c>
      <c r="C1098" s="8" t="s">
        <v>3748</v>
      </c>
      <c r="D1098" s="8" t="s">
        <v>3749</v>
      </c>
      <c r="E1098" s="8" t="s">
        <v>311</v>
      </c>
      <c r="F1098" s="8" t="s">
        <v>3750</v>
      </c>
    </row>
    <row r="1099" customHeight="1" spans="1:6">
      <c r="A1099" s="6">
        <v>1098</v>
      </c>
      <c r="B1099" s="8" t="s">
        <v>3751</v>
      </c>
      <c r="C1099" s="8" t="s">
        <v>3752</v>
      </c>
      <c r="D1099" s="8" t="s">
        <v>3753</v>
      </c>
      <c r="E1099" s="8" t="s">
        <v>2161</v>
      </c>
      <c r="F1099" s="8" t="s">
        <v>3754</v>
      </c>
    </row>
    <row r="1100" customHeight="1" spans="1:6">
      <c r="A1100" s="6">
        <v>1099</v>
      </c>
      <c r="B1100" s="8" t="s">
        <v>3751</v>
      </c>
      <c r="C1100" s="8" t="s">
        <v>3752</v>
      </c>
      <c r="D1100" s="8" t="s">
        <v>3753</v>
      </c>
      <c r="E1100" s="8" t="s">
        <v>2161</v>
      </c>
      <c r="F1100" s="8" t="s">
        <v>3754</v>
      </c>
    </row>
    <row r="1101" customHeight="1" spans="1:6">
      <c r="A1101" s="6">
        <v>1100</v>
      </c>
      <c r="B1101" s="7" t="str">
        <f>"978-7-121-40931-8"</f>
        <v>978-7-121-40931-8</v>
      </c>
      <c r="C1101" s="7" t="str">
        <f>"数智驱动新增长"</f>
        <v>数智驱动新增长</v>
      </c>
      <c r="D1101" s="7" t="str">
        <f>"新商业学院主编；肖利华 ... 等著"</f>
        <v>新商业学院主编；肖利华 ... 等著</v>
      </c>
      <c r="E1101" s="7" t="str">
        <f>"电子工业出版社"</f>
        <v>电子工业出版社</v>
      </c>
      <c r="F1101" s="7" t="str">
        <f>"F272.3/242"</f>
        <v>F272.3/242</v>
      </c>
    </row>
    <row r="1102" customHeight="1" spans="1:6">
      <c r="A1102" s="6">
        <v>1101</v>
      </c>
      <c r="B1102" s="7" t="str">
        <f>"978-7-121-40931-8"</f>
        <v>978-7-121-40931-8</v>
      </c>
      <c r="C1102" s="7" t="str">
        <f>"数智驱动新增长"</f>
        <v>数智驱动新增长</v>
      </c>
      <c r="D1102" s="7" t="str">
        <f>"新商业学院主编；肖利华 ... 等著"</f>
        <v>新商业学院主编；肖利华 ... 等著</v>
      </c>
      <c r="E1102" s="7" t="str">
        <f>"电子工业出版社"</f>
        <v>电子工业出版社</v>
      </c>
      <c r="F1102" s="7" t="str">
        <f>"F272.3/242"</f>
        <v>F272.3/242</v>
      </c>
    </row>
    <row r="1103" customHeight="1" spans="1:6">
      <c r="A1103" s="6">
        <v>1102</v>
      </c>
      <c r="B1103" s="7" t="str">
        <f>"978-7-5217-3224-5"</f>
        <v>978-7-5217-3224-5</v>
      </c>
      <c r="C1103" s="7" t="str">
        <f>"赢利：未来10年的经营能力"</f>
        <v>赢利：未来10年的经营能力</v>
      </c>
      <c r="D1103" s="7" t="str">
        <f>"李践著"</f>
        <v>李践著</v>
      </c>
      <c r="E1103" s="7" t="str">
        <f>"中信出版集团"</f>
        <v>中信出版集团</v>
      </c>
      <c r="F1103" s="7" t="str">
        <f>"F272.3/243"</f>
        <v>F272.3/243</v>
      </c>
    </row>
    <row r="1104" customHeight="1" spans="1:6">
      <c r="A1104" s="6">
        <v>1103</v>
      </c>
      <c r="B1104" s="7" t="str">
        <f>"978-7-5217-3224-5"</f>
        <v>978-7-5217-3224-5</v>
      </c>
      <c r="C1104" s="7" t="str">
        <f>"赢利：未来10年的经营能力"</f>
        <v>赢利：未来10年的经营能力</v>
      </c>
      <c r="D1104" s="7" t="str">
        <f>"李践著"</f>
        <v>李践著</v>
      </c>
      <c r="E1104" s="7" t="str">
        <f>"中信出版集团"</f>
        <v>中信出版集团</v>
      </c>
      <c r="F1104" s="7" t="str">
        <f>"F272.3/243"</f>
        <v>F272.3/243</v>
      </c>
    </row>
    <row r="1105" customHeight="1" spans="1:6">
      <c r="A1105" s="6">
        <v>1104</v>
      </c>
      <c r="B1105" s="8" t="s">
        <v>3755</v>
      </c>
      <c r="C1105" s="8" t="s">
        <v>3756</v>
      </c>
      <c r="D1105" s="8" t="s">
        <v>3757</v>
      </c>
      <c r="E1105" s="8" t="s">
        <v>571</v>
      </c>
      <c r="F1105" s="8" t="s">
        <v>3758</v>
      </c>
    </row>
    <row r="1106" customHeight="1" spans="1:6">
      <c r="A1106" s="6">
        <v>1105</v>
      </c>
      <c r="B1106" s="8" t="s">
        <v>3755</v>
      </c>
      <c r="C1106" s="8" t="s">
        <v>3756</v>
      </c>
      <c r="D1106" s="8" t="s">
        <v>3757</v>
      </c>
      <c r="E1106" s="8" t="s">
        <v>571</v>
      </c>
      <c r="F1106" s="8" t="s">
        <v>3758</v>
      </c>
    </row>
    <row r="1107" customHeight="1" spans="1:6">
      <c r="A1107" s="6">
        <v>1106</v>
      </c>
      <c r="B1107" s="8" t="s">
        <v>3759</v>
      </c>
      <c r="C1107" s="8" t="s">
        <v>3760</v>
      </c>
      <c r="D1107" s="8" t="s">
        <v>3761</v>
      </c>
      <c r="E1107" s="8" t="s">
        <v>1189</v>
      </c>
      <c r="F1107" s="8" t="s">
        <v>3762</v>
      </c>
    </row>
    <row r="1108" customHeight="1" spans="1:6">
      <c r="A1108" s="6">
        <v>1107</v>
      </c>
      <c r="B1108" s="8" t="s">
        <v>3759</v>
      </c>
      <c r="C1108" s="8" t="s">
        <v>3760</v>
      </c>
      <c r="D1108" s="8" t="s">
        <v>3761</v>
      </c>
      <c r="E1108" s="8" t="s">
        <v>1189</v>
      </c>
      <c r="F1108" s="8" t="s">
        <v>3762</v>
      </c>
    </row>
    <row r="1109" customHeight="1" spans="1:6">
      <c r="A1109" s="6">
        <v>1108</v>
      </c>
      <c r="B1109" s="8" t="s">
        <v>3759</v>
      </c>
      <c r="C1109" s="8" t="s">
        <v>3760</v>
      </c>
      <c r="D1109" s="8" t="s">
        <v>3761</v>
      </c>
      <c r="E1109" s="8" t="s">
        <v>1189</v>
      </c>
      <c r="F1109" s="8" t="s">
        <v>3762</v>
      </c>
    </row>
    <row r="1110" customHeight="1" spans="1:6">
      <c r="A1110" s="6">
        <v>1109</v>
      </c>
      <c r="B1110" s="8" t="s">
        <v>3763</v>
      </c>
      <c r="C1110" s="8" t="s">
        <v>3764</v>
      </c>
      <c r="D1110" s="8" t="s">
        <v>3765</v>
      </c>
      <c r="E1110" s="8" t="s">
        <v>1189</v>
      </c>
      <c r="F1110" s="8" t="s">
        <v>3766</v>
      </c>
    </row>
    <row r="1111" customHeight="1" spans="1:6">
      <c r="A1111" s="6">
        <v>1110</v>
      </c>
      <c r="B1111" s="8" t="s">
        <v>3763</v>
      </c>
      <c r="C1111" s="8" t="s">
        <v>3764</v>
      </c>
      <c r="D1111" s="8" t="s">
        <v>3765</v>
      </c>
      <c r="E1111" s="8" t="s">
        <v>1189</v>
      </c>
      <c r="F1111" s="8" t="s">
        <v>3766</v>
      </c>
    </row>
    <row r="1112" customHeight="1" spans="1:6">
      <c r="A1112" s="6">
        <v>1111</v>
      </c>
      <c r="B1112" s="8" t="s">
        <v>3763</v>
      </c>
      <c r="C1112" s="8" t="s">
        <v>3764</v>
      </c>
      <c r="D1112" s="8" t="s">
        <v>3765</v>
      </c>
      <c r="E1112" s="8" t="s">
        <v>1189</v>
      </c>
      <c r="F1112" s="8" t="s">
        <v>3766</v>
      </c>
    </row>
    <row r="1113" customHeight="1" spans="1:6">
      <c r="A1113" s="6">
        <v>1112</v>
      </c>
      <c r="B1113" s="8" t="s">
        <v>3767</v>
      </c>
      <c r="C1113" s="8" t="s">
        <v>3768</v>
      </c>
      <c r="D1113" s="8" t="s">
        <v>3769</v>
      </c>
      <c r="E1113" s="8" t="s">
        <v>1189</v>
      </c>
      <c r="F1113" s="8" t="s">
        <v>3770</v>
      </c>
    </row>
    <row r="1114" customHeight="1" spans="1:6">
      <c r="A1114" s="6">
        <v>1113</v>
      </c>
      <c r="B1114" s="8" t="s">
        <v>3767</v>
      </c>
      <c r="C1114" s="8" t="s">
        <v>3768</v>
      </c>
      <c r="D1114" s="8" t="s">
        <v>3769</v>
      </c>
      <c r="E1114" s="8" t="s">
        <v>1189</v>
      </c>
      <c r="F1114" s="8" t="s">
        <v>3770</v>
      </c>
    </row>
    <row r="1115" customHeight="1" spans="1:6">
      <c r="A1115" s="6">
        <v>1114</v>
      </c>
      <c r="B1115" s="8" t="s">
        <v>3767</v>
      </c>
      <c r="C1115" s="8" t="s">
        <v>3768</v>
      </c>
      <c r="D1115" s="8" t="s">
        <v>3769</v>
      </c>
      <c r="E1115" s="8" t="s">
        <v>1189</v>
      </c>
      <c r="F1115" s="8" t="s">
        <v>3770</v>
      </c>
    </row>
    <row r="1116" customHeight="1" spans="1:6">
      <c r="A1116" s="6">
        <v>1115</v>
      </c>
      <c r="B1116" s="7" t="str">
        <f>"978-7-113-27575-4"</f>
        <v>978-7-113-27575-4</v>
      </c>
      <c r="C1116" s="7" t="str">
        <f>"企业绩效精细化管理实操一本通"</f>
        <v>企业绩效精细化管理实操一本通</v>
      </c>
      <c r="D1116" s="7" t="str">
        <f>"杨光瑶编著"</f>
        <v>杨光瑶编著</v>
      </c>
      <c r="E1116" s="7" t="str">
        <f>"中国铁道出版社有限公司"</f>
        <v>中国铁道出版社有限公司</v>
      </c>
      <c r="F1116" s="7" t="str">
        <f>"F272.5/73"</f>
        <v>F272.5/73</v>
      </c>
    </row>
    <row r="1117" customHeight="1" spans="1:6">
      <c r="A1117" s="6">
        <v>1116</v>
      </c>
      <c r="B1117" s="7" t="str">
        <f>"978-7-113-27575-4"</f>
        <v>978-7-113-27575-4</v>
      </c>
      <c r="C1117" s="7" t="str">
        <f>"企业绩效精细化管理实操一本通"</f>
        <v>企业绩效精细化管理实操一本通</v>
      </c>
      <c r="D1117" s="7" t="str">
        <f>"杨光瑶编著"</f>
        <v>杨光瑶编著</v>
      </c>
      <c r="E1117" s="7" t="str">
        <f>"中国铁道出版社有限公司"</f>
        <v>中国铁道出版社有限公司</v>
      </c>
      <c r="F1117" s="7" t="str">
        <f>"F272.5/73"</f>
        <v>F272.5/73</v>
      </c>
    </row>
    <row r="1118" customHeight="1" spans="1:6">
      <c r="A1118" s="6">
        <v>1117</v>
      </c>
      <c r="B1118" s="7" t="str">
        <f>"978-7-5217-2783-8"</f>
        <v>978-7-5217-2783-8</v>
      </c>
      <c r="C1118" s="7" t="str">
        <f>"数字化引擎"</f>
        <v>数字化引擎</v>
      </c>
      <c r="D1118" s="7" t="str">
        <f>"龙典， 赵昌明， 付圣强著"</f>
        <v>龙典， 赵昌明， 付圣强著</v>
      </c>
      <c r="E1118" s="7" t="str">
        <f>"中信出版集团股份有限公司"</f>
        <v>中信出版集团股份有限公司</v>
      </c>
      <c r="F1118" s="7" t="str">
        <f>"F272.7/158"</f>
        <v>F272.7/158</v>
      </c>
    </row>
    <row r="1119" customHeight="1" spans="1:6">
      <c r="A1119" s="6">
        <v>1118</v>
      </c>
      <c r="B1119" s="7" t="str">
        <f>"978-7-5217-2783-8"</f>
        <v>978-7-5217-2783-8</v>
      </c>
      <c r="C1119" s="7" t="str">
        <f>"数字化引擎"</f>
        <v>数字化引擎</v>
      </c>
      <c r="D1119" s="7" t="str">
        <f>"龙典， 赵昌明， 付圣强著"</f>
        <v>龙典， 赵昌明， 付圣强著</v>
      </c>
      <c r="E1119" s="7" t="str">
        <f>"中信出版集团股份有限公司"</f>
        <v>中信出版集团股份有限公司</v>
      </c>
      <c r="F1119" s="7" t="str">
        <f>"F272.7/158"</f>
        <v>F272.7/158</v>
      </c>
    </row>
    <row r="1120" customHeight="1" spans="1:6">
      <c r="A1120" s="6">
        <v>1119</v>
      </c>
      <c r="B1120" s="7" t="str">
        <f>"978-7-121-41665-1"</f>
        <v>978-7-121-41665-1</v>
      </c>
      <c r="C1120" s="7" t="str">
        <f>"大数据实践之路：数据中台+数据分析+产品应用"</f>
        <v>大数据实践之路：数据中台+数据分析+产品应用</v>
      </c>
      <c r="D1120" s="7" t="str">
        <f>"林泽丰等著"</f>
        <v>林泽丰等著</v>
      </c>
      <c r="E1120" s="7" t="str">
        <f>"电子工业出版社"</f>
        <v>电子工业出版社</v>
      </c>
      <c r="F1120" s="7" t="str">
        <f>"F272.7/159"</f>
        <v>F272.7/159</v>
      </c>
    </row>
    <row r="1121" customHeight="1" spans="1:6">
      <c r="A1121" s="6">
        <v>1120</v>
      </c>
      <c r="B1121" s="7" t="str">
        <f>"978-7-121-41665-1"</f>
        <v>978-7-121-41665-1</v>
      </c>
      <c r="C1121" s="7" t="str">
        <f>"大数据实践之路：数据中台+数据分析+产品应用"</f>
        <v>大数据实践之路：数据中台+数据分析+产品应用</v>
      </c>
      <c r="D1121" s="7" t="str">
        <f>"林泽丰等著"</f>
        <v>林泽丰等著</v>
      </c>
      <c r="E1121" s="7" t="str">
        <f>"电子工业出版社"</f>
        <v>电子工业出版社</v>
      </c>
      <c r="F1121" s="7" t="str">
        <f>"F272.7/159"</f>
        <v>F272.7/159</v>
      </c>
    </row>
    <row r="1122" customHeight="1" spans="1:6">
      <c r="A1122" s="6">
        <v>1121</v>
      </c>
      <c r="B1122" s="7" t="str">
        <f>"978-7-5596-5058-0"</f>
        <v>978-7-5596-5058-0</v>
      </c>
      <c r="C1122" s="7" t="str">
        <f>"数循环：数字化转型的核心布局"</f>
        <v>数循环：数字化转型的核心布局</v>
      </c>
      <c r="D1122" s="7" t="str">
        <f>"车品觉著"</f>
        <v>车品觉著</v>
      </c>
      <c r="E1122" s="7" t="str">
        <f>"北京联合出版公司"</f>
        <v>北京联合出版公司</v>
      </c>
      <c r="F1122" s="7" t="str">
        <f>"F272.7/160"</f>
        <v>F272.7/160</v>
      </c>
    </row>
    <row r="1123" customHeight="1" spans="1:6">
      <c r="A1123" s="6">
        <v>1122</v>
      </c>
      <c r="B1123" s="7" t="str">
        <f>"978-7-5596-5058-0"</f>
        <v>978-7-5596-5058-0</v>
      </c>
      <c r="C1123" s="7" t="str">
        <f>"数循环：数字化转型的核心布局"</f>
        <v>数循环：数字化转型的核心布局</v>
      </c>
      <c r="D1123" s="7" t="str">
        <f>"车品觉著"</f>
        <v>车品觉著</v>
      </c>
      <c r="E1123" s="7" t="str">
        <f>"北京联合出版公司"</f>
        <v>北京联合出版公司</v>
      </c>
      <c r="F1123" s="7" t="str">
        <f>"F272.7/160"</f>
        <v>F272.7/160</v>
      </c>
    </row>
    <row r="1124" customHeight="1" spans="1:6">
      <c r="A1124" s="6">
        <v>1123</v>
      </c>
      <c r="B1124" s="8" t="s">
        <v>3771</v>
      </c>
      <c r="C1124" s="8" t="s">
        <v>3772</v>
      </c>
      <c r="D1124" s="8" t="s">
        <v>3773</v>
      </c>
      <c r="E1124" s="8" t="s">
        <v>311</v>
      </c>
      <c r="F1124" s="8" t="s">
        <v>3774</v>
      </c>
    </row>
    <row r="1125" customHeight="1" spans="1:6">
      <c r="A1125" s="6">
        <v>1124</v>
      </c>
      <c r="B1125" s="8" t="s">
        <v>3771</v>
      </c>
      <c r="C1125" s="8" t="s">
        <v>3772</v>
      </c>
      <c r="D1125" s="8" t="s">
        <v>3773</v>
      </c>
      <c r="E1125" s="8" t="s">
        <v>311</v>
      </c>
      <c r="F1125" s="8" t="s">
        <v>3774</v>
      </c>
    </row>
    <row r="1126" customHeight="1" spans="1:6">
      <c r="A1126" s="6">
        <v>1125</v>
      </c>
      <c r="B1126" s="8" t="s">
        <v>3775</v>
      </c>
      <c r="C1126" s="8" t="s">
        <v>3776</v>
      </c>
      <c r="D1126" s="8" t="s">
        <v>3777</v>
      </c>
      <c r="E1126" s="8" t="s">
        <v>256</v>
      </c>
      <c r="F1126" s="8" t="s">
        <v>3778</v>
      </c>
    </row>
    <row r="1127" customHeight="1" spans="1:6">
      <c r="A1127" s="6">
        <v>1126</v>
      </c>
      <c r="B1127" s="8" t="s">
        <v>3775</v>
      </c>
      <c r="C1127" s="8" t="s">
        <v>3776</v>
      </c>
      <c r="D1127" s="8" t="s">
        <v>3777</v>
      </c>
      <c r="E1127" s="8" t="s">
        <v>256</v>
      </c>
      <c r="F1127" s="8" t="s">
        <v>3778</v>
      </c>
    </row>
    <row r="1128" customHeight="1" spans="1:6">
      <c r="A1128" s="6">
        <v>1127</v>
      </c>
      <c r="B1128" s="8" t="s">
        <v>3775</v>
      </c>
      <c r="C1128" s="8" t="s">
        <v>3776</v>
      </c>
      <c r="D1128" s="8" t="s">
        <v>3777</v>
      </c>
      <c r="E1128" s="8" t="s">
        <v>256</v>
      </c>
      <c r="F1128" s="8" t="s">
        <v>3778</v>
      </c>
    </row>
    <row r="1129" customHeight="1" spans="1:6">
      <c r="A1129" s="6">
        <v>1128</v>
      </c>
      <c r="B1129" s="8" t="s">
        <v>3779</v>
      </c>
      <c r="C1129" s="8" t="s">
        <v>3780</v>
      </c>
      <c r="D1129" s="8" t="s">
        <v>3781</v>
      </c>
      <c r="E1129" s="8" t="s">
        <v>256</v>
      </c>
      <c r="F1129" s="8" t="s">
        <v>3782</v>
      </c>
    </row>
    <row r="1130" customHeight="1" spans="1:6">
      <c r="A1130" s="6">
        <v>1129</v>
      </c>
      <c r="B1130" s="8" t="s">
        <v>3779</v>
      </c>
      <c r="C1130" s="8" t="s">
        <v>3780</v>
      </c>
      <c r="D1130" s="8" t="s">
        <v>3781</v>
      </c>
      <c r="E1130" s="8" t="s">
        <v>256</v>
      </c>
      <c r="F1130" s="8" t="s">
        <v>3782</v>
      </c>
    </row>
    <row r="1131" customHeight="1" spans="1:6">
      <c r="A1131" s="6">
        <v>1130</v>
      </c>
      <c r="B1131" s="8" t="s">
        <v>3783</v>
      </c>
      <c r="C1131" s="8" t="s">
        <v>3784</v>
      </c>
      <c r="D1131" s="8" t="s">
        <v>3785</v>
      </c>
      <c r="E1131" s="8" t="s">
        <v>256</v>
      </c>
      <c r="F1131" s="8" t="s">
        <v>3786</v>
      </c>
    </row>
    <row r="1132" customHeight="1" spans="1:6">
      <c r="A1132" s="6">
        <v>1131</v>
      </c>
      <c r="B1132" s="8" t="s">
        <v>3783</v>
      </c>
      <c r="C1132" s="8" t="s">
        <v>3784</v>
      </c>
      <c r="D1132" s="8" t="s">
        <v>3785</v>
      </c>
      <c r="E1132" s="8" t="s">
        <v>256</v>
      </c>
      <c r="F1132" s="8" t="s">
        <v>3786</v>
      </c>
    </row>
    <row r="1133" customHeight="1" spans="1:6">
      <c r="A1133" s="6">
        <v>1132</v>
      </c>
      <c r="B1133" s="8" t="s">
        <v>3787</v>
      </c>
      <c r="C1133" s="8" t="s">
        <v>3788</v>
      </c>
      <c r="D1133" s="8" t="s">
        <v>3789</v>
      </c>
      <c r="E1133" s="8" t="s">
        <v>530</v>
      </c>
      <c r="F1133" s="8" t="s">
        <v>3790</v>
      </c>
    </row>
    <row r="1134" customHeight="1" spans="1:6">
      <c r="A1134" s="6">
        <v>1133</v>
      </c>
      <c r="B1134" s="8" t="s">
        <v>3787</v>
      </c>
      <c r="C1134" s="8" t="s">
        <v>3788</v>
      </c>
      <c r="D1134" s="8" t="s">
        <v>3789</v>
      </c>
      <c r="E1134" s="8" t="s">
        <v>530</v>
      </c>
      <c r="F1134" s="8" t="s">
        <v>3790</v>
      </c>
    </row>
    <row r="1135" customHeight="1" spans="1:6">
      <c r="A1135" s="6">
        <v>1134</v>
      </c>
      <c r="B1135" s="7" t="str">
        <f>"978-7-5207-2324-4"</f>
        <v>978-7-5207-2324-4</v>
      </c>
      <c r="C1135" s="7" t="str">
        <f>"用会议激发团队效能．视觉化共识"</f>
        <v>用会议激发团队效能．视觉化共识</v>
      </c>
      <c r="D1135" s="7" t="str">
        <f>"(日) 堀公俊， 加藤彰著；张欢译"</f>
        <v>(日) 堀公俊， 加藤彰著；张欢译</v>
      </c>
      <c r="E1135" s="7" t="str">
        <f t="shared" ref="E1135:E1142" si="86">"东方出版社"</f>
        <v>东方出版社</v>
      </c>
      <c r="F1135" s="7" t="str">
        <f>"F272.9/555/1"</f>
        <v>F272.9/555/1</v>
      </c>
    </row>
    <row r="1136" customHeight="1" spans="1:6">
      <c r="A1136" s="6">
        <v>1135</v>
      </c>
      <c r="B1136" s="7" t="str">
        <f>"978-7-5207-2324-4"</f>
        <v>978-7-5207-2324-4</v>
      </c>
      <c r="C1136" s="7" t="str">
        <f>"用会议激发团队效能．视觉化共识"</f>
        <v>用会议激发团队效能．视觉化共识</v>
      </c>
      <c r="D1136" s="7" t="str">
        <f>"(日) 堀公俊， 加藤彰著；张欢译"</f>
        <v>(日) 堀公俊， 加藤彰著；张欢译</v>
      </c>
      <c r="E1136" s="7" t="str">
        <f t="shared" si="86"/>
        <v>东方出版社</v>
      </c>
      <c r="F1136" s="7" t="str">
        <f>"F272.9/555/1"</f>
        <v>F272.9/555/1</v>
      </c>
    </row>
    <row r="1137" customHeight="1" spans="1:6">
      <c r="A1137" s="6">
        <v>1136</v>
      </c>
      <c r="B1137" s="7" t="str">
        <f>"978-7-5207-2311-4"</f>
        <v>978-7-5207-2311-4</v>
      </c>
      <c r="C1137" s="7" t="str">
        <f>"用会议激发团队效能．说服的逻辑"</f>
        <v>用会议激发团队效能．说服的逻辑</v>
      </c>
      <c r="D1137" s="7" t="str">
        <f>"(日) 堀公俊， 加藤彰著；刘波译"</f>
        <v>(日) 堀公俊， 加藤彰著；刘波译</v>
      </c>
      <c r="E1137" s="7" t="str">
        <f t="shared" si="86"/>
        <v>东方出版社</v>
      </c>
      <c r="F1137" s="7" t="str">
        <f>"F272.9/555/2"</f>
        <v>F272.9/555/2</v>
      </c>
    </row>
    <row r="1138" customHeight="1" spans="1:6">
      <c r="A1138" s="6">
        <v>1137</v>
      </c>
      <c r="B1138" s="7" t="str">
        <f>"978-7-5207-2311-4"</f>
        <v>978-7-5207-2311-4</v>
      </c>
      <c r="C1138" s="7" t="str">
        <f>"用会议激发团队效能．说服的逻辑"</f>
        <v>用会议激发团队效能．说服的逻辑</v>
      </c>
      <c r="D1138" s="7" t="str">
        <f>"(日) 堀公俊， 加藤彰著；刘波译"</f>
        <v>(日) 堀公俊， 加藤彰著；刘波译</v>
      </c>
      <c r="E1138" s="7" t="str">
        <f t="shared" si="86"/>
        <v>东方出版社</v>
      </c>
      <c r="F1138" s="7" t="str">
        <f>"F272.9/555/2"</f>
        <v>F272.9/555/2</v>
      </c>
    </row>
    <row r="1139" customHeight="1" spans="1:6">
      <c r="A1139" s="6">
        <v>1138</v>
      </c>
      <c r="B1139" s="7" t="str">
        <f>"978-7-5207-2322-0"</f>
        <v>978-7-5207-2322-0</v>
      </c>
      <c r="C1139" s="7" t="str">
        <f>"用会议激发团队效能．场域设计"</f>
        <v>用会议激发团队效能．场域设计</v>
      </c>
      <c r="D1139" s="7" t="str">
        <f>"(日) 堀公俊， 加藤彰著；袁媛译"</f>
        <v>(日) 堀公俊， 加藤彰著；袁媛译</v>
      </c>
      <c r="E1139" s="7" t="str">
        <f t="shared" si="86"/>
        <v>东方出版社</v>
      </c>
      <c r="F1139" s="7" t="str">
        <f>"F272.9/555/3"</f>
        <v>F272.9/555/3</v>
      </c>
    </row>
    <row r="1140" customHeight="1" spans="1:6">
      <c r="A1140" s="6">
        <v>1139</v>
      </c>
      <c r="B1140" s="7" t="str">
        <f>"978-7-5207-2322-0"</f>
        <v>978-7-5207-2322-0</v>
      </c>
      <c r="C1140" s="7" t="str">
        <f>"用会议激发团队效能．场域设计"</f>
        <v>用会议激发团队效能．场域设计</v>
      </c>
      <c r="D1140" s="7" t="str">
        <f>"(日) 堀公俊， 加藤彰著；袁媛译"</f>
        <v>(日) 堀公俊， 加藤彰著；袁媛译</v>
      </c>
      <c r="E1140" s="7" t="str">
        <f t="shared" si="86"/>
        <v>东方出版社</v>
      </c>
      <c r="F1140" s="7" t="str">
        <f>"F272.9/555/3"</f>
        <v>F272.9/555/3</v>
      </c>
    </row>
    <row r="1141" customHeight="1" spans="1:6">
      <c r="A1141" s="6">
        <v>1140</v>
      </c>
      <c r="B1141" s="7" t="str">
        <f>"978-7-5207-2323-7"</f>
        <v>978-7-5207-2323-7</v>
      </c>
      <c r="C1141" s="7" t="str">
        <f>"用会议激发团队效能．打磨团队"</f>
        <v>用会议激发团队效能．打磨团队</v>
      </c>
      <c r="D1141" s="7" t="str">
        <f>"(日) 堀公俊， 加藤彰， 加留部贵行著；高超译"</f>
        <v>(日) 堀公俊， 加藤彰， 加留部贵行著；高超译</v>
      </c>
      <c r="E1141" s="7" t="str">
        <f t="shared" si="86"/>
        <v>东方出版社</v>
      </c>
      <c r="F1141" s="7" t="str">
        <f>"F272.9/555/4"</f>
        <v>F272.9/555/4</v>
      </c>
    </row>
    <row r="1142" customHeight="1" spans="1:6">
      <c r="A1142" s="6">
        <v>1141</v>
      </c>
      <c r="B1142" s="7" t="str">
        <f>"978-7-5207-2323-7"</f>
        <v>978-7-5207-2323-7</v>
      </c>
      <c r="C1142" s="7" t="str">
        <f>"用会议激发团队效能．打磨团队"</f>
        <v>用会议激发团队效能．打磨团队</v>
      </c>
      <c r="D1142" s="7" t="str">
        <f>"(日) 堀公俊， 加藤彰， 加留部贵行著；高超译"</f>
        <v>(日) 堀公俊， 加藤彰， 加留部贵行著；高超译</v>
      </c>
      <c r="E1142" s="7" t="str">
        <f t="shared" si="86"/>
        <v>东方出版社</v>
      </c>
      <c r="F1142" s="7" t="str">
        <f>"F272.9/555/4"</f>
        <v>F272.9/555/4</v>
      </c>
    </row>
    <row r="1143" customHeight="1" spans="1:6">
      <c r="A1143" s="6">
        <v>1142</v>
      </c>
      <c r="B1143" s="8" t="s">
        <v>3791</v>
      </c>
      <c r="C1143" s="8" t="s">
        <v>3792</v>
      </c>
      <c r="D1143" s="8" t="s">
        <v>3793</v>
      </c>
      <c r="E1143" s="8" t="s">
        <v>350</v>
      </c>
      <c r="F1143" s="8" t="s">
        <v>3794</v>
      </c>
    </row>
    <row r="1144" customHeight="1" spans="1:6">
      <c r="A1144" s="6">
        <v>1143</v>
      </c>
      <c r="B1144" s="8" t="s">
        <v>3791</v>
      </c>
      <c r="C1144" s="8" t="s">
        <v>3792</v>
      </c>
      <c r="D1144" s="8" t="s">
        <v>3793</v>
      </c>
      <c r="E1144" s="8" t="s">
        <v>350</v>
      </c>
      <c r="F1144" s="8" t="s">
        <v>3794</v>
      </c>
    </row>
    <row r="1145" customHeight="1" spans="1:6">
      <c r="A1145" s="6">
        <v>1144</v>
      </c>
      <c r="B1145" s="8" t="s">
        <v>3791</v>
      </c>
      <c r="C1145" s="8" t="s">
        <v>3795</v>
      </c>
      <c r="D1145" s="8" t="s">
        <v>3793</v>
      </c>
      <c r="E1145" s="8" t="s">
        <v>350</v>
      </c>
      <c r="F1145" s="8" t="s">
        <v>3796</v>
      </c>
    </row>
    <row r="1146" customHeight="1" spans="1:6">
      <c r="A1146" s="6">
        <v>1145</v>
      </c>
      <c r="B1146" s="8" t="s">
        <v>3791</v>
      </c>
      <c r="C1146" s="8" t="s">
        <v>3795</v>
      </c>
      <c r="D1146" s="8" t="s">
        <v>3793</v>
      </c>
      <c r="E1146" s="8" t="s">
        <v>350</v>
      </c>
      <c r="F1146" s="8" t="s">
        <v>3796</v>
      </c>
    </row>
    <row r="1147" customHeight="1" spans="1:6">
      <c r="A1147" s="6">
        <v>1146</v>
      </c>
      <c r="B1147" s="8" t="s">
        <v>3791</v>
      </c>
      <c r="C1147" s="8" t="s">
        <v>3797</v>
      </c>
      <c r="D1147" s="8" t="s">
        <v>3793</v>
      </c>
      <c r="E1147" s="8" t="s">
        <v>350</v>
      </c>
      <c r="F1147" s="8" t="s">
        <v>3798</v>
      </c>
    </row>
    <row r="1148" customHeight="1" spans="1:6">
      <c r="A1148" s="6">
        <v>1147</v>
      </c>
      <c r="B1148" s="8" t="s">
        <v>3791</v>
      </c>
      <c r="C1148" s="8" t="s">
        <v>3797</v>
      </c>
      <c r="D1148" s="8" t="s">
        <v>3793</v>
      </c>
      <c r="E1148" s="8" t="s">
        <v>350</v>
      </c>
      <c r="F1148" s="8" t="s">
        <v>3798</v>
      </c>
    </row>
    <row r="1149" customHeight="1" spans="1:6">
      <c r="A1149" s="6">
        <v>1148</v>
      </c>
      <c r="B1149" s="8" t="s">
        <v>3799</v>
      </c>
      <c r="C1149" s="8" t="s">
        <v>3800</v>
      </c>
      <c r="D1149" s="8" t="s">
        <v>3801</v>
      </c>
      <c r="E1149" s="8" t="s">
        <v>189</v>
      </c>
      <c r="F1149" s="8" t="s">
        <v>3802</v>
      </c>
    </row>
    <row r="1150" customHeight="1" spans="1:6">
      <c r="A1150" s="6">
        <v>1149</v>
      </c>
      <c r="B1150" s="8" t="s">
        <v>3799</v>
      </c>
      <c r="C1150" s="8" t="s">
        <v>3800</v>
      </c>
      <c r="D1150" s="8" t="s">
        <v>3801</v>
      </c>
      <c r="E1150" s="8" t="s">
        <v>189</v>
      </c>
      <c r="F1150" s="8" t="s">
        <v>3802</v>
      </c>
    </row>
    <row r="1151" customHeight="1" spans="1:6">
      <c r="A1151" s="6">
        <v>1150</v>
      </c>
      <c r="B1151" s="8" t="s">
        <v>3799</v>
      </c>
      <c r="C1151" s="8" t="s">
        <v>3800</v>
      </c>
      <c r="D1151" s="8" t="s">
        <v>3801</v>
      </c>
      <c r="E1151" s="8" t="s">
        <v>189</v>
      </c>
      <c r="F1151" s="8" t="s">
        <v>3802</v>
      </c>
    </row>
    <row r="1152" customHeight="1" spans="1:6">
      <c r="A1152" s="6">
        <v>1151</v>
      </c>
      <c r="B1152" s="8" t="s">
        <v>3803</v>
      </c>
      <c r="C1152" s="8" t="s">
        <v>3804</v>
      </c>
      <c r="D1152" s="8" t="s">
        <v>3805</v>
      </c>
      <c r="E1152" s="8" t="s">
        <v>350</v>
      </c>
      <c r="F1152" s="8" t="s">
        <v>3806</v>
      </c>
    </row>
    <row r="1153" customHeight="1" spans="1:6">
      <c r="A1153" s="6">
        <v>1152</v>
      </c>
      <c r="B1153" s="8" t="s">
        <v>3803</v>
      </c>
      <c r="C1153" s="8" t="s">
        <v>3804</v>
      </c>
      <c r="D1153" s="8" t="s">
        <v>3805</v>
      </c>
      <c r="E1153" s="8" t="s">
        <v>350</v>
      </c>
      <c r="F1153" s="8" t="s">
        <v>3806</v>
      </c>
    </row>
    <row r="1154" customHeight="1" spans="1:6">
      <c r="A1154" s="6">
        <v>1153</v>
      </c>
      <c r="B1154" s="8" t="s">
        <v>3803</v>
      </c>
      <c r="C1154" s="8" t="s">
        <v>3804</v>
      </c>
      <c r="D1154" s="8" t="s">
        <v>3805</v>
      </c>
      <c r="E1154" s="8" t="s">
        <v>350</v>
      </c>
      <c r="F1154" s="8" t="s">
        <v>3806</v>
      </c>
    </row>
    <row r="1155" customHeight="1" spans="1:6">
      <c r="A1155" s="6">
        <v>1154</v>
      </c>
      <c r="B1155" s="8" t="s">
        <v>3807</v>
      </c>
      <c r="C1155" s="8" t="s">
        <v>3808</v>
      </c>
      <c r="D1155" s="8" t="s">
        <v>3809</v>
      </c>
      <c r="E1155" s="8" t="s">
        <v>2284</v>
      </c>
      <c r="F1155" s="8" t="s">
        <v>3810</v>
      </c>
    </row>
    <row r="1156" customHeight="1" spans="1:6">
      <c r="A1156" s="6">
        <v>1155</v>
      </c>
      <c r="B1156" s="8" t="s">
        <v>3807</v>
      </c>
      <c r="C1156" s="8" t="s">
        <v>3808</v>
      </c>
      <c r="D1156" s="8" t="s">
        <v>3809</v>
      </c>
      <c r="E1156" s="8" t="s">
        <v>2284</v>
      </c>
      <c r="F1156" s="8" t="s">
        <v>3810</v>
      </c>
    </row>
    <row r="1157" customHeight="1" spans="1:6">
      <c r="A1157" s="6">
        <v>1156</v>
      </c>
      <c r="B1157" s="8" t="s">
        <v>3807</v>
      </c>
      <c r="C1157" s="8" t="s">
        <v>3808</v>
      </c>
      <c r="D1157" s="8" t="s">
        <v>3809</v>
      </c>
      <c r="E1157" s="8" t="s">
        <v>2284</v>
      </c>
      <c r="F1157" s="8" t="s">
        <v>3810</v>
      </c>
    </row>
    <row r="1158" customHeight="1" spans="1:6">
      <c r="A1158" s="6">
        <v>1157</v>
      </c>
      <c r="B1158" s="8" t="s">
        <v>3811</v>
      </c>
      <c r="C1158" s="8" t="s">
        <v>3812</v>
      </c>
      <c r="D1158" s="8" t="s">
        <v>3813</v>
      </c>
      <c r="E1158" s="8" t="s">
        <v>3146</v>
      </c>
      <c r="F1158" s="8" t="s">
        <v>3814</v>
      </c>
    </row>
    <row r="1159" customHeight="1" spans="1:6">
      <c r="A1159" s="6">
        <v>1158</v>
      </c>
      <c r="B1159" s="8" t="s">
        <v>3811</v>
      </c>
      <c r="C1159" s="8" t="s">
        <v>3812</v>
      </c>
      <c r="D1159" s="8" t="s">
        <v>3813</v>
      </c>
      <c r="E1159" s="8" t="s">
        <v>3146</v>
      </c>
      <c r="F1159" s="8" t="s">
        <v>3814</v>
      </c>
    </row>
    <row r="1160" customHeight="1" spans="1:6">
      <c r="A1160" s="6">
        <v>1159</v>
      </c>
      <c r="B1160" s="8" t="s">
        <v>3811</v>
      </c>
      <c r="C1160" s="8" t="s">
        <v>3812</v>
      </c>
      <c r="D1160" s="8" t="s">
        <v>3813</v>
      </c>
      <c r="E1160" s="8" t="s">
        <v>3146</v>
      </c>
      <c r="F1160" s="8" t="s">
        <v>3814</v>
      </c>
    </row>
    <row r="1161" customHeight="1" spans="1:6">
      <c r="A1161" s="6">
        <v>1160</v>
      </c>
      <c r="B1161" s="8" t="s">
        <v>3815</v>
      </c>
      <c r="C1161" s="8" t="s">
        <v>3816</v>
      </c>
      <c r="D1161" s="8" t="s">
        <v>3817</v>
      </c>
      <c r="E1161" s="8" t="s">
        <v>375</v>
      </c>
      <c r="F1161" s="8" t="s">
        <v>3818</v>
      </c>
    </row>
    <row r="1162" customHeight="1" spans="1:6">
      <c r="A1162" s="6">
        <v>1161</v>
      </c>
      <c r="B1162" s="8" t="s">
        <v>3815</v>
      </c>
      <c r="C1162" s="8" t="s">
        <v>3816</v>
      </c>
      <c r="D1162" s="8" t="s">
        <v>3817</v>
      </c>
      <c r="E1162" s="8" t="s">
        <v>375</v>
      </c>
      <c r="F1162" s="8" t="s">
        <v>3818</v>
      </c>
    </row>
    <row r="1163" customHeight="1" spans="1:6">
      <c r="A1163" s="6">
        <v>1162</v>
      </c>
      <c r="B1163" s="8" t="s">
        <v>3819</v>
      </c>
      <c r="C1163" s="8" t="s">
        <v>3820</v>
      </c>
      <c r="D1163" s="8" t="s">
        <v>3821</v>
      </c>
      <c r="E1163" s="8" t="s">
        <v>211</v>
      </c>
      <c r="F1163" s="8" t="s">
        <v>3822</v>
      </c>
    </row>
    <row r="1164" customHeight="1" spans="1:6">
      <c r="A1164" s="6">
        <v>1163</v>
      </c>
      <c r="B1164" s="8" t="s">
        <v>3819</v>
      </c>
      <c r="C1164" s="8" t="s">
        <v>3820</v>
      </c>
      <c r="D1164" s="8" t="s">
        <v>3821</v>
      </c>
      <c r="E1164" s="8" t="s">
        <v>211</v>
      </c>
      <c r="F1164" s="8" t="s">
        <v>3822</v>
      </c>
    </row>
    <row r="1165" customHeight="1" spans="1:6">
      <c r="A1165" s="6">
        <v>1164</v>
      </c>
      <c r="B1165" s="8" t="s">
        <v>3823</v>
      </c>
      <c r="C1165" s="8" t="s">
        <v>3824</v>
      </c>
      <c r="D1165" s="8" t="s">
        <v>3825</v>
      </c>
      <c r="E1165" s="8" t="s">
        <v>375</v>
      </c>
      <c r="F1165" s="8" t="s">
        <v>3826</v>
      </c>
    </row>
    <row r="1166" customHeight="1" spans="1:6">
      <c r="A1166" s="6">
        <v>1165</v>
      </c>
      <c r="B1166" s="8" t="s">
        <v>3823</v>
      </c>
      <c r="C1166" s="8" t="s">
        <v>3824</v>
      </c>
      <c r="D1166" s="8" t="s">
        <v>3825</v>
      </c>
      <c r="E1166" s="8" t="s">
        <v>375</v>
      </c>
      <c r="F1166" s="8" t="s">
        <v>3826</v>
      </c>
    </row>
    <row r="1167" customHeight="1" spans="1:6">
      <c r="A1167" s="6">
        <v>1166</v>
      </c>
      <c r="B1167" s="8" t="s">
        <v>3791</v>
      </c>
      <c r="C1167" s="8" t="s">
        <v>3827</v>
      </c>
      <c r="D1167" s="8" t="s">
        <v>3793</v>
      </c>
      <c r="E1167" s="8" t="s">
        <v>350</v>
      </c>
      <c r="F1167" s="8" t="s">
        <v>3828</v>
      </c>
    </row>
    <row r="1168" customHeight="1" spans="1:6">
      <c r="A1168" s="6">
        <v>1167</v>
      </c>
      <c r="B1168" s="8" t="s">
        <v>3791</v>
      </c>
      <c r="C1168" s="8" t="s">
        <v>3827</v>
      </c>
      <c r="D1168" s="8" t="s">
        <v>3793</v>
      </c>
      <c r="E1168" s="8" t="s">
        <v>350</v>
      </c>
      <c r="F1168" s="8" t="s">
        <v>3828</v>
      </c>
    </row>
    <row r="1169" customHeight="1" spans="1:6">
      <c r="A1169" s="6">
        <v>1168</v>
      </c>
      <c r="B1169" s="8" t="s">
        <v>3829</v>
      </c>
      <c r="C1169" s="8" t="s">
        <v>3830</v>
      </c>
      <c r="D1169" s="8" t="s">
        <v>3831</v>
      </c>
      <c r="E1169" s="8" t="s">
        <v>350</v>
      </c>
      <c r="F1169" s="8" t="s">
        <v>3832</v>
      </c>
    </row>
    <row r="1170" customHeight="1" spans="1:6">
      <c r="A1170" s="6">
        <v>1169</v>
      </c>
      <c r="B1170" s="8" t="s">
        <v>3829</v>
      </c>
      <c r="C1170" s="8" t="s">
        <v>3830</v>
      </c>
      <c r="D1170" s="8" t="s">
        <v>3831</v>
      </c>
      <c r="E1170" s="8" t="s">
        <v>350</v>
      </c>
      <c r="F1170" s="8" t="s">
        <v>3832</v>
      </c>
    </row>
    <row r="1171" customHeight="1" spans="1:6">
      <c r="A1171" s="6">
        <v>1170</v>
      </c>
      <c r="B1171" s="8" t="s">
        <v>3833</v>
      </c>
      <c r="C1171" s="8" t="s">
        <v>3834</v>
      </c>
      <c r="D1171" s="8" t="s">
        <v>3835</v>
      </c>
      <c r="E1171" s="8" t="s">
        <v>1967</v>
      </c>
      <c r="F1171" s="8" t="s">
        <v>3836</v>
      </c>
    </row>
    <row r="1172" customHeight="1" spans="1:6">
      <c r="A1172" s="6">
        <v>1171</v>
      </c>
      <c r="B1172" s="8" t="s">
        <v>3833</v>
      </c>
      <c r="C1172" s="8" t="s">
        <v>3834</v>
      </c>
      <c r="D1172" s="8" t="s">
        <v>3835</v>
      </c>
      <c r="E1172" s="8" t="s">
        <v>1967</v>
      </c>
      <c r="F1172" s="8" t="s">
        <v>3836</v>
      </c>
    </row>
    <row r="1173" customHeight="1" spans="1:6">
      <c r="A1173" s="6">
        <v>1172</v>
      </c>
      <c r="B1173" s="7" t="str">
        <f>"978-7-113-27673-7"</f>
        <v>978-7-113-27673-7</v>
      </c>
      <c r="C1173" s="7" t="str">
        <f>"企业招聘精细化管理实操一本通"</f>
        <v>企业招聘精细化管理实操一本通</v>
      </c>
      <c r="D1173" s="7" t="str">
        <f>"罗芳编著"</f>
        <v>罗芳编著</v>
      </c>
      <c r="E1173" s="7" t="str">
        <f>"中国铁道出版社有限公司"</f>
        <v>中国铁道出版社有限公司</v>
      </c>
      <c r="F1173" s="7" t="str">
        <f>"F272.92/1569"</f>
        <v>F272.92/1569</v>
      </c>
    </row>
    <row r="1174" customHeight="1" spans="1:6">
      <c r="A1174" s="6">
        <v>1173</v>
      </c>
      <c r="B1174" s="7" t="str">
        <f>"978-7-113-27673-7"</f>
        <v>978-7-113-27673-7</v>
      </c>
      <c r="C1174" s="7" t="str">
        <f>"企业招聘精细化管理实操一本通"</f>
        <v>企业招聘精细化管理实操一本通</v>
      </c>
      <c r="D1174" s="7" t="str">
        <f>"罗芳编著"</f>
        <v>罗芳编著</v>
      </c>
      <c r="E1174" s="7" t="str">
        <f>"中国铁道出版社有限公司"</f>
        <v>中国铁道出版社有限公司</v>
      </c>
      <c r="F1174" s="7" t="str">
        <f>"F272.92/1569"</f>
        <v>F272.92/1569</v>
      </c>
    </row>
    <row r="1175" customHeight="1" spans="1:6">
      <c r="A1175" s="6">
        <v>1174</v>
      </c>
      <c r="B1175" s="8" t="s">
        <v>3837</v>
      </c>
      <c r="C1175" s="8" t="s">
        <v>3838</v>
      </c>
      <c r="D1175" s="8" t="s">
        <v>3839</v>
      </c>
      <c r="E1175" s="8" t="s">
        <v>1189</v>
      </c>
      <c r="F1175" s="8" t="s">
        <v>3840</v>
      </c>
    </row>
    <row r="1176" customHeight="1" spans="1:6">
      <c r="A1176" s="6">
        <v>1175</v>
      </c>
      <c r="B1176" s="8" t="s">
        <v>3837</v>
      </c>
      <c r="C1176" s="8" t="s">
        <v>3838</v>
      </c>
      <c r="D1176" s="8" t="s">
        <v>3839</v>
      </c>
      <c r="E1176" s="8" t="s">
        <v>1189</v>
      </c>
      <c r="F1176" s="8" t="s">
        <v>3840</v>
      </c>
    </row>
    <row r="1177" customHeight="1" spans="1:6">
      <c r="A1177" s="6">
        <v>1176</v>
      </c>
      <c r="B1177" s="8" t="s">
        <v>3837</v>
      </c>
      <c r="C1177" s="8" t="s">
        <v>3838</v>
      </c>
      <c r="D1177" s="8" t="s">
        <v>3839</v>
      </c>
      <c r="E1177" s="8" t="s">
        <v>1189</v>
      </c>
      <c r="F1177" s="8" t="s">
        <v>3840</v>
      </c>
    </row>
    <row r="1178" customHeight="1" spans="1:6">
      <c r="A1178" s="6">
        <v>1177</v>
      </c>
      <c r="B1178" s="8" t="s">
        <v>3841</v>
      </c>
      <c r="C1178" s="8" t="s">
        <v>3842</v>
      </c>
      <c r="D1178" s="8" t="s">
        <v>3843</v>
      </c>
      <c r="E1178" s="8" t="s">
        <v>270</v>
      </c>
      <c r="F1178" s="8" t="s">
        <v>3844</v>
      </c>
    </row>
    <row r="1179" customHeight="1" spans="1:6">
      <c r="A1179" s="6">
        <v>1178</v>
      </c>
      <c r="B1179" s="8" t="s">
        <v>3841</v>
      </c>
      <c r="C1179" s="8" t="s">
        <v>3842</v>
      </c>
      <c r="D1179" s="8" t="s">
        <v>3843</v>
      </c>
      <c r="E1179" s="8" t="s">
        <v>270</v>
      </c>
      <c r="F1179" s="8" t="s">
        <v>3844</v>
      </c>
    </row>
    <row r="1180" customHeight="1" spans="1:6">
      <c r="A1180" s="6">
        <v>1179</v>
      </c>
      <c r="B1180" s="8" t="s">
        <v>3841</v>
      </c>
      <c r="C1180" s="8" t="s">
        <v>3842</v>
      </c>
      <c r="D1180" s="8" t="s">
        <v>3843</v>
      </c>
      <c r="E1180" s="8" t="s">
        <v>270</v>
      </c>
      <c r="F1180" s="8" t="s">
        <v>3844</v>
      </c>
    </row>
    <row r="1181" customHeight="1" spans="1:6">
      <c r="A1181" s="6">
        <v>1180</v>
      </c>
      <c r="B1181" s="8" t="s">
        <v>3845</v>
      </c>
      <c r="C1181" s="8" t="s">
        <v>3846</v>
      </c>
      <c r="D1181" s="8" t="s">
        <v>3847</v>
      </c>
      <c r="E1181" s="8" t="s">
        <v>2284</v>
      </c>
      <c r="F1181" s="8" t="s">
        <v>3848</v>
      </c>
    </row>
    <row r="1182" customHeight="1" spans="1:6">
      <c r="A1182" s="6">
        <v>1181</v>
      </c>
      <c r="B1182" s="8" t="s">
        <v>3845</v>
      </c>
      <c r="C1182" s="8" t="s">
        <v>3846</v>
      </c>
      <c r="D1182" s="8" t="s">
        <v>3847</v>
      </c>
      <c r="E1182" s="8" t="s">
        <v>2284</v>
      </c>
      <c r="F1182" s="8" t="s">
        <v>3848</v>
      </c>
    </row>
    <row r="1183" customHeight="1" spans="1:6">
      <c r="A1183" s="6">
        <v>1182</v>
      </c>
      <c r="B1183" s="8" t="s">
        <v>3849</v>
      </c>
      <c r="C1183" s="8" t="s">
        <v>3850</v>
      </c>
      <c r="D1183" s="8" t="s">
        <v>3851</v>
      </c>
      <c r="E1183" s="8" t="s">
        <v>275</v>
      </c>
      <c r="F1183" s="8" t="s">
        <v>3852</v>
      </c>
    </row>
    <row r="1184" customHeight="1" spans="1:6">
      <c r="A1184" s="6">
        <v>1183</v>
      </c>
      <c r="B1184" s="8" t="s">
        <v>3849</v>
      </c>
      <c r="C1184" s="8" t="s">
        <v>3850</v>
      </c>
      <c r="D1184" s="8" t="s">
        <v>3851</v>
      </c>
      <c r="E1184" s="8" t="s">
        <v>275</v>
      </c>
      <c r="F1184" s="8" t="s">
        <v>3852</v>
      </c>
    </row>
    <row r="1185" customHeight="1" spans="1:6">
      <c r="A1185" s="6">
        <v>1184</v>
      </c>
      <c r="B1185" s="8" t="s">
        <v>3849</v>
      </c>
      <c r="C1185" s="8" t="s">
        <v>3850</v>
      </c>
      <c r="D1185" s="8" t="s">
        <v>3851</v>
      </c>
      <c r="E1185" s="8" t="s">
        <v>275</v>
      </c>
      <c r="F1185" s="8" t="s">
        <v>3852</v>
      </c>
    </row>
    <row r="1186" customHeight="1" spans="1:6">
      <c r="A1186" s="6">
        <v>1185</v>
      </c>
      <c r="B1186" s="8" t="s">
        <v>3853</v>
      </c>
      <c r="C1186" s="8" t="s">
        <v>3854</v>
      </c>
      <c r="D1186" s="8" t="s">
        <v>3855</v>
      </c>
      <c r="E1186" s="8" t="s">
        <v>216</v>
      </c>
      <c r="F1186" s="8" t="s">
        <v>3856</v>
      </c>
    </row>
    <row r="1187" customHeight="1" spans="1:6">
      <c r="A1187" s="6">
        <v>1186</v>
      </c>
      <c r="B1187" s="8" t="s">
        <v>3853</v>
      </c>
      <c r="C1187" s="8" t="s">
        <v>3854</v>
      </c>
      <c r="D1187" s="8" t="s">
        <v>3855</v>
      </c>
      <c r="E1187" s="8" t="s">
        <v>216</v>
      </c>
      <c r="F1187" s="8" t="s">
        <v>3856</v>
      </c>
    </row>
    <row r="1188" customHeight="1" spans="1:6">
      <c r="A1188" s="6">
        <v>1187</v>
      </c>
      <c r="B1188" s="8" t="s">
        <v>3857</v>
      </c>
      <c r="C1188" s="8" t="s">
        <v>3858</v>
      </c>
      <c r="D1188" s="8" t="s">
        <v>3859</v>
      </c>
      <c r="E1188" s="8" t="s">
        <v>311</v>
      </c>
      <c r="F1188" s="8" t="s">
        <v>3860</v>
      </c>
    </row>
    <row r="1189" customHeight="1" spans="1:6">
      <c r="A1189" s="6">
        <v>1188</v>
      </c>
      <c r="B1189" s="8" t="s">
        <v>3857</v>
      </c>
      <c r="C1189" s="8" t="s">
        <v>3858</v>
      </c>
      <c r="D1189" s="8" t="s">
        <v>3859</v>
      </c>
      <c r="E1189" s="8" t="s">
        <v>311</v>
      </c>
      <c r="F1189" s="8" t="s">
        <v>3860</v>
      </c>
    </row>
    <row r="1190" customHeight="1" spans="1:6">
      <c r="A1190" s="6">
        <v>1189</v>
      </c>
      <c r="B1190" s="8" t="s">
        <v>3857</v>
      </c>
      <c r="C1190" s="8" t="s">
        <v>3858</v>
      </c>
      <c r="D1190" s="8" t="s">
        <v>3859</v>
      </c>
      <c r="E1190" s="8" t="s">
        <v>311</v>
      </c>
      <c r="F1190" s="8" t="s">
        <v>3860</v>
      </c>
    </row>
    <row r="1191" customHeight="1" spans="1:6">
      <c r="A1191" s="6">
        <v>1190</v>
      </c>
      <c r="B1191" s="8" t="s">
        <v>3861</v>
      </c>
      <c r="C1191" s="8" t="s">
        <v>3862</v>
      </c>
      <c r="D1191" s="13"/>
      <c r="E1191" s="8" t="s">
        <v>283</v>
      </c>
      <c r="F1191" s="8" t="s">
        <v>3863</v>
      </c>
    </row>
    <row r="1192" customHeight="1" spans="1:6">
      <c r="A1192" s="6">
        <v>1191</v>
      </c>
      <c r="B1192" s="8" t="s">
        <v>3861</v>
      </c>
      <c r="C1192" s="8" t="s">
        <v>3862</v>
      </c>
      <c r="D1192" s="13"/>
      <c r="E1192" s="8" t="s">
        <v>283</v>
      </c>
      <c r="F1192" s="8" t="s">
        <v>3863</v>
      </c>
    </row>
    <row r="1193" customHeight="1" spans="1:6">
      <c r="A1193" s="6">
        <v>1192</v>
      </c>
      <c r="B1193" s="8" t="s">
        <v>3864</v>
      </c>
      <c r="C1193" s="8" t="s">
        <v>3865</v>
      </c>
      <c r="D1193" s="8" t="s">
        <v>3866</v>
      </c>
      <c r="E1193" s="8" t="s">
        <v>571</v>
      </c>
      <c r="F1193" s="8" t="s">
        <v>3867</v>
      </c>
    </row>
    <row r="1194" customHeight="1" spans="1:6">
      <c r="A1194" s="6">
        <v>1193</v>
      </c>
      <c r="B1194" s="8" t="s">
        <v>3864</v>
      </c>
      <c r="C1194" s="8" t="s">
        <v>3865</v>
      </c>
      <c r="D1194" s="8" t="s">
        <v>3866</v>
      </c>
      <c r="E1194" s="8" t="s">
        <v>571</v>
      </c>
      <c r="F1194" s="8" t="s">
        <v>3867</v>
      </c>
    </row>
    <row r="1195" customHeight="1" spans="1:6">
      <c r="A1195" s="6">
        <v>1194</v>
      </c>
      <c r="B1195" s="7" t="str">
        <f>"978-7-113-27598-3"</f>
        <v>978-7-113-27598-3</v>
      </c>
      <c r="C1195" s="7" t="str">
        <f>"企业薪酬精细化管理实操一本通"</f>
        <v>企业薪酬精细化管理实操一本通</v>
      </c>
      <c r="D1195" s="7" t="str">
        <f>"吴悦编著"</f>
        <v>吴悦编著</v>
      </c>
      <c r="E1195" s="7" t="str">
        <f>"中国铁道出版社有限公司"</f>
        <v>中国铁道出版社有限公司</v>
      </c>
      <c r="F1195" s="7" t="str">
        <f>"F272.923/65"</f>
        <v>F272.923/65</v>
      </c>
    </row>
    <row r="1196" customHeight="1" spans="1:6">
      <c r="A1196" s="6">
        <v>1195</v>
      </c>
      <c r="B1196" s="7" t="str">
        <f>"978-7-113-27598-3"</f>
        <v>978-7-113-27598-3</v>
      </c>
      <c r="C1196" s="7" t="str">
        <f>"企业薪酬精细化管理实操一本通"</f>
        <v>企业薪酬精细化管理实操一本通</v>
      </c>
      <c r="D1196" s="7" t="str">
        <f>"吴悦编著"</f>
        <v>吴悦编著</v>
      </c>
      <c r="E1196" s="7" t="str">
        <f>"中国铁道出版社有限公司"</f>
        <v>中国铁道出版社有限公司</v>
      </c>
      <c r="F1196" s="7" t="str">
        <f>"F272.923/65"</f>
        <v>F272.923/65</v>
      </c>
    </row>
    <row r="1197" customHeight="1" spans="1:6">
      <c r="A1197" s="6">
        <v>1196</v>
      </c>
      <c r="B1197" s="8" t="s">
        <v>3868</v>
      </c>
      <c r="C1197" s="8" t="s">
        <v>3869</v>
      </c>
      <c r="D1197" s="8" t="s">
        <v>3870</v>
      </c>
      <c r="E1197" s="8" t="s">
        <v>216</v>
      </c>
      <c r="F1197" s="8" t="s">
        <v>3871</v>
      </c>
    </row>
    <row r="1198" customHeight="1" spans="1:6">
      <c r="A1198" s="6">
        <v>1197</v>
      </c>
      <c r="B1198" s="8" t="s">
        <v>3868</v>
      </c>
      <c r="C1198" s="8" t="s">
        <v>3869</v>
      </c>
      <c r="D1198" s="8" t="s">
        <v>3870</v>
      </c>
      <c r="E1198" s="8" t="s">
        <v>216</v>
      </c>
      <c r="F1198" s="8" t="s">
        <v>3871</v>
      </c>
    </row>
    <row r="1199" customHeight="1" spans="1:6">
      <c r="A1199" s="6">
        <v>1198</v>
      </c>
      <c r="B1199" s="8" t="s">
        <v>3872</v>
      </c>
      <c r="C1199" s="8" t="s">
        <v>3873</v>
      </c>
      <c r="D1199" s="8" t="s">
        <v>3874</v>
      </c>
      <c r="E1199" s="8" t="s">
        <v>3146</v>
      </c>
      <c r="F1199" s="8" t="s">
        <v>3875</v>
      </c>
    </row>
    <row r="1200" customHeight="1" spans="1:6">
      <c r="A1200" s="6">
        <v>1199</v>
      </c>
      <c r="B1200" s="8" t="s">
        <v>3872</v>
      </c>
      <c r="C1200" s="8" t="s">
        <v>3873</v>
      </c>
      <c r="D1200" s="8" t="s">
        <v>3874</v>
      </c>
      <c r="E1200" s="8" t="s">
        <v>3146</v>
      </c>
      <c r="F1200" s="8" t="s">
        <v>3875</v>
      </c>
    </row>
    <row r="1201" customHeight="1" spans="1:6">
      <c r="A1201" s="6">
        <v>1200</v>
      </c>
      <c r="B1201" s="7" t="str">
        <f>"978-7-111-68197-7"</f>
        <v>978-7-111-68197-7</v>
      </c>
      <c r="C1201" s="7" t="str">
        <f>"创新与企业家精神"</f>
        <v>创新与企业家精神</v>
      </c>
      <c r="D1201" s="7" t="str">
        <f>"(美) 彼得·德鲁克著Peter F. Drucker；魏江， 陈侠飞译"</f>
        <v>(美) 彼得·德鲁克著Peter F. Drucker；魏江， 陈侠飞译</v>
      </c>
      <c r="E1201" s="7" t="str">
        <f>"机械工业出版社"</f>
        <v>机械工业出版社</v>
      </c>
      <c r="F1201" s="7" t="str">
        <f>"F272/306.2"</f>
        <v>F272/306.2</v>
      </c>
    </row>
    <row r="1202" customHeight="1" spans="1:6">
      <c r="A1202" s="6">
        <v>1201</v>
      </c>
      <c r="B1202" s="7" t="str">
        <f>"978-7-111-68197-7"</f>
        <v>978-7-111-68197-7</v>
      </c>
      <c r="C1202" s="7" t="str">
        <f>"创新与企业家精神"</f>
        <v>创新与企业家精神</v>
      </c>
      <c r="D1202" s="7" t="str">
        <f>"(美) 彼得·德鲁克著Peter F. Drucker；魏江， 陈侠飞译"</f>
        <v>(美) 彼得·德鲁克著Peter F. Drucker；魏江， 陈侠飞译</v>
      </c>
      <c r="E1202" s="7" t="str">
        <f>"机械工业出版社"</f>
        <v>机械工业出版社</v>
      </c>
      <c r="F1202" s="7" t="str">
        <f>"F272/306.2"</f>
        <v>F272/306.2</v>
      </c>
    </row>
    <row r="1203" customHeight="1" spans="1:6">
      <c r="A1203" s="6">
        <v>1202</v>
      </c>
      <c r="B1203" s="7" t="str">
        <f t="shared" ref="B1203:B1205" si="87">"978-7-5217-3506-2"</f>
        <v>978-7-5217-3506-2</v>
      </c>
      <c r="C1203" s="7" t="str">
        <f t="shared" ref="C1203:C1205" si="88">"远程工作革命：simple and effective tips for successful， productive， and empowered remote work"</f>
        <v>远程工作革命：simple and effective tips for successful， productive， and empowered remote work</v>
      </c>
      <c r="D1203" s="7" t="str">
        <f t="shared" ref="D1203:D1205" si="89">"(美) 罗伯特·格雷泽著Robert Glazer；李莎译"</f>
        <v>(美) 罗伯特·格雷泽著Robert Glazer；李莎译</v>
      </c>
      <c r="E1203" s="7" t="str">
        <f t="shared" ref="E1203:E1205" si="90">"中信出版集团股份有限公司"</f>
        <v>中信出版集团股份有限公司</v>
      </c>
      <c r="F1203" s="7" t="str">
        <f t="shared" ref="F1203:F1205" si="91">"F272/802"</f>
        <v>F272/802</v>
      </c>
    </row>
    <row r="1204" customHeight="1" spans="1:6">
      <c r="A1204" s="6">
        <v>1203</v>
      </c>
      <c r="B1204" s="7" t="str">
        <f t="shared" si="87"/>
        <v>978-7-5217-3506-2</v>
      </c>
      <c r="C1204" s="7" t="str">
        <f t="shared" si="88"/>
        <v>远程工作革命：simple and effective tips for successful， productive， and empowered remote work</v>
      </c>
      <c r="D1204" s="7" t="str">
        <f t="shared" si="89"/>
        <v>(美) 罗伯特·格雷泽著Robert Glazer；李莎译</v>
      </c>
      <c r="E1204" s="7" t="str">
        <f t="shared" si="90"/>
        <v>中信出版集团股份有限公司</v>
      </c>
      <c r="F1204" s="7" t="str">
        <f t="shared" si="91"/>
        <v>F272/802</v>
      </c>
    </row>
    <row r="1205" customHeight="1" spans="1:6">
      <c r="A1205" s="6">
        <v>1204</v>
      </c>
      <c r="B1205" s="7" t="str">
        <f t="shared" si="87"/>
        <v>978-7-5217-3506-2</v>
      </c>
      <c r="C1205" s="7" t="str">
        <f t="shared" si="88"/>
        <v>远程工作革命：simple and effective tips for successful， productive， and empowered remote work</v>
      </c>
      <c r="D1205" s="7" t="str">
        <f t="shared" si="89"/>
        <v>(美) 罗伯特·格雷泽著Robert Glazer；李莎译</v>
      </c>
      <c r="E1205" s="7" t="str">
        <f t="shared" si="90"/>
        <v>中信出版集团股份有限公司</v>
      </c>
      <c r="F1205" s="7" t="str">
        <f t="shared" si="91"/>
        <v>F272/802</v>
      </c>
    </row>
    <row r="1206" customHeight="1" spans="1:6">
      <c r="A1206" s="6">
        <v>1205</v>
      </c>
      <c r="B1206" s="7" t="str">
        <f t="shared" ref="B1206:B1208" si="92">"978-7-5057-5172-9"</f>
        <v>978-7-5057-5172-9</v>
      </c>
      <c r="C1206" s="7" t="str">
        <f t="shared" ref="C1206:C1208" si="93">"OKR思维：谷歌、亚马逊、领英等企业的高绩效工作法"</f>
        <v>OKR思维：谷歌、亚马逊、领英等企业的高绩效工作法</v>
      </c>
      <c r="D1206" s="7" t="str">
        <f t="shared" ref="D1206:D1208" si="94">"(日) 天野胜著；金磊译"</f>
        <v>(日) 天野胜著；金磊译</v>
      </c>
      <c r="E1206" s="7" t="str">
        <f t="shared" ref="E1206:E1208" si="95">"中国友谊出版公司"</f>
        <v>中国友谊出版公司</v>
      </c>
      <c r="F1206" s="7" t="str">
        <f t="shared" ref="F1206:F1208" si="96">"F272/803"</f>
        <v>F272/803</v>
      </c>
    </row>
    <row r="1207" customHeight="1" spans="1:6">
      <c r="A1207" s="6">
        <v>1206</v>
      </c>
      <c r="B1207" s="7" t="str">
        <f t="shared" si="92"/>
        <v>978-7-5057-5172-9</v>
      </c>
      <c r="C1207" s="7" t="str">
        <f t="shared" si="93"/>
        <v>OKR思维：谷歌、亚马逊、领英等企业的高绩效工作法</v>
      </c>
      <c r="D1207" s="7" t="str">
        <f t="shared" si="94"/>
        <v>(日) 天野胜著；金磊译</v>
      </c>
      <c r="E1207" s="7" t="str">
        <f t="shared" si="95"/>
        <v>中国友谊出版公司</v>
      </c>
      <c r="F1207" s="7" t="str">
        <f t="shared" si="96"/>
        <v>F272/803</v>
      </c>
    </row>
    <row r="1208" customHeight="1" spans="1:6">
      <c r="A1208" s="6">
        <v>1207</v>
      </c>
      <c r="B1208" s="7" t="str">
        <f t="shared" si="92"/>
        <v>978-7-5057-5172-9</v>
      </c>
      <c r="C1208" s="7" t="str">
        <f t="shared" si="93"/>
        <v>OKR思维：谷歌、亚马逊、领英等企业的高绩效工作法</v>
      </c>
      <c r="D1208" s="7" t="str">
        <f t="shared" si="94"/>
        <v>(日) 天野胜著；金磊译</v>
      </c>
      <c r="E1208" s="7" t="str">
        <f t="shared" si="95"/>
        <v>中国友谊出版公司</v>
      </c>
      <c r="F1208" s="7" t="str">
        <f t="shared" si="96"/>
        <v>F272/803</v>
      </c>
    </row>
    <row r="1209" customHeight="1" spans="1:6">
      <c r="A1209" s="6">
        <v>1208</v>
      </c>
      <c r="B1209" s="7" t="str">
        <f>"978-7-5217-3183-5"</f>
        <v>978-7-5217-3183-5</v>
      </c>
      <c r="C1209" s="7" t="str">
        <f>"增长结构：不确定时代企业的增长底牌"</f>
        <v>增长结构：不确定时代企业的增长底牌</v>
      </c>
      <c r="D1209" s="7" t="str">
        <f>"王赛著"</f>
        <v>王赛著</v>
      </c>
      <c r="E1209" s="7" t="str">
        <f>"中信出版集团股份有限公司"</f>
        <v>中信出版集团股份有限公司</v>
      </c>
      <c r="F1209" s="7" t="str">
        <f>"F272/804"</f>
        <v>F272/804</v>
      </c>
    </row>
    <row r="1210" customHeight="1" spans="1:6">
      <c r="A1210" s="6">
        <v>1209</v>
      </c>
      <c r="B1210" s="7" t="str">
        <f>"978-7-5217-3183-5"</f>
        <v>978-7-5217-3183-5</v>
      </c>
      <c r="C1210" s="7" t="str">
        <f>"增长结构：不确定时代企业的增长底牌"</f>
        <v>增长结构：不确定时代企业的增长底牌</v>
      </c>
      <c r="D1210" s="7" t="str">
        <f>"王赛著"</f>
        <v>王赛著</v>
      </c>
      <c r="E1210" s="7" t="str">
        <f>"中信出版集团股份有限公司"</f>
        <v>中信出版集团股份有限公司</v>
      </c>
      <c r="F1210" s="7" t="str">
        <f>"F272/804"</f>
        <v>F272/804</v>
      </c>
    </row>
    <row r="1211" customHeight="1" spans="1:6">
      <c r="A1211" s="6">
        <v>1210</v>
      </c>
      <c r="B1211" s="7" t="str">
        <f t="shared" ref="B1211:B1213" si="97">"978-7-5057-5227-6"</f>
        <v>978-7-5057-5227-6</v>
      </c>
      <c r="C1211" s="7" t="str">
        <f t="shared" ref="C1211:C1213" si="98">"延迟满足：如何在等待中获得更多"</f>
        <v>延迟满足：如何在等待中获得更多</v>
      </c>
      <c r="D1211" s="7" t="str">
        <f t="shared" ref="D1211:D1213" si="99">"(日) 三谷淳著；崔灿译"</f>
        <v>(日) 三谷淳著；崔灿译</v>
      </c>
      <c r="E1211" s="7" t="str">
        <f t="shared" ref="E1211:E1213" si="100">"中国友谊出版公司"</f>
        <v>中国友谊出版公司</v>
      </c>
      <c r="F1211" s="7" t="str">
        <f t="shared" ref="F1211:F1213" si="101">"F272/805"</f>
        <v>F272/805</v>
      </c>
    </row>
    <row r="1212" customHeight="1" spans="1:6">
      <c r="A1212" s="6">
        <v>1211</v>
      </c>
      <c r="B1212" s="7" t="str">
        <f t="shared" si="97"/>
        <v>978-7-5057-5227-6</v>
      </c>
      <c r="C1212" s="7" t="str">
        <f t="shared" si="98"/>
        <v>延迟满足：如何在等待中获得更多</v>
      </c>
      <c r="D1212" s="7" t="str">
        <f t="shared" si="99"/>
        <v>(日) 三谷淳著；崔灿译</v>
      </c>
      <c r="E1212" s="7" t="str">
        <f t="shared" si="100"/>
        <v>中国友谊出版公司</v>
      </c>
      <c r="F1212" s="7" t="str">
        <f t="shared" si="101"/>
        <v>F272/805</v>
      </c>
    </row>
    <row r="1213" customHeight="1" spans="1:6">
      <c r="A1213" s="6">
        <v>1212</v>
      </c>
      <c r="B1213" s="7" t="str">
        <f t="shared" si="97"/>
        <v>978-7-5057-5227-6</v>
      </c>
      <c r="C1213" s="7" t="str">
        <f t="shared" si="98"/>
        <v>延迟满足：如何在等待中获得更多</v>
      </c>
      <c r="D1213" s="7" t="str">
        <f t="shared" si="99"/>
        <v>(日) 三谷淳著；崔灿译</v>
      </c>
      <c r="E1213" s="7" t="str">
        <f t="shared" si="100"/>
        <v>中国友谊出版公司</v>
      </c>
      <c r="F1213" s="7" t="str">
        <f t="shared" si="101"/>
        <v>F272/805</v>
      </c>
    </row>
    <row r="1214" customHeight="1" spans="1:6">
      <c r="A1214" s="6">
        <v>1213</v>
      </c>
      <c r="B1214" s="8" t="s">
        <v>3876</v>
      </c>
      <c r="C1214" s="8" t="s">
        <v>3877</v>
      </c>
      <c r="D1214" s="8" t="s">
        <v>3878</v>
      </c>
      <c r="E1214" s="8" t="s">
        <v>311</v>
      </c>
      <c r="F1214" s="8" t="s">
        <v>3879</v>
      </c>
    </row>
    <row r="1215" customHeight="1" spans="1:6">
      <c r="A1215" s="6">
        <v>1214</v>
      </c>
      <c r="B1215" s="8" t="s">
        <v>3876</v>
      </c>
      <c r="C1215" s="8" t="s">
        <v>3877</v>
      </c>
      <c r="D1215" s="8" t="s">
        <v>3878</v>
      </c>
      <c r="E1215" s="8" t="s">
        <v>311</v>
      </c>
      <c r="F1215" s="8" t="s">
        <v>3879</v>
      </c>
    </row>
    <row r="1216" customHeight="1" spans="1:6">
      <c r="A1216" s="6">
        <v>1215</v>
      </c>
      <c r="B1216" s="8" t="s">
        <v>3876</v>
      </c>
      <c r="C1216" s="8" t="s">
        <v>3877</v>
      </c>
      <c r="D1216" s="8" t="s">
        <v>3878</v>
      </c>
      <c r="E1216" s="8" t="s">
        <v>311</v>
      </c>
      <c r="F1216" s="8" t="s">
        <v>3879</v>
      </c>
    </row>
    <row r="1217" customHeight="1" spans="1:6">
      <c r="A1217" s="6">
        <v>1216</v>
      </c>
      <c r="B1217" s="8" t="s">
        <v>3880</v>
      </c>
      <c r="C1217" s="8" t="s">
        <v>3881</v>
      </c>
      <c r="D1217" s="8" t="s">
        <v>3882</v>
      </c>
      <c r="E1217" s="8" t="s">
        <v>571</v>
      </c>
      <c r="F1217" s="8" t="s">
        <v>3883</v>
      </c>
    </row>
    <row r="1218" customHeight="1" spans="1:6">
      <c r="A1218" s="6">
        <v>1217</v>
      </c>
      <c r="B1218" s="8" t="s">
        <v>3880</v>
      </c>
      <c r="C1218" s="8" t="s">
        <v>3881</v>
      </c>
      <c r="D1218" s="8" t="s">
        <v>3882</v>
      </c>
      <c r="E1218" s="8" t="s">
        <v>571</v>
      </c>
      <c r="F1218" s="8" t="s">
        <v>3883</v>
      </c>
    </row>
    <row r="1219" customHeight="1" spans="1:6">
      <c r="A1219" s="6">
        <v>1218</v>
      </c>
      <c r="B1219" s="8" t="s">
        <v>3884</v>
      </c>
      <c r="C1219" s="8" t="s">
        <v>3885</v>
      </c>
      <c r="D1219" s="8" t="s">
        <v>3886</v>
      </c>
      <c r="E1219" s="8" t="s">
        <v>2358</v>
      </c>
      <c r="F1219" s="8" t="s">
        <v>3887</v>
      </c>
    </row>
    <row r="1220" customHeight="1" spans="1:6">
      <c r="A1220" s="6">
        <v>1219</v>
      </c>
      <c r="B1220" s="8" t="s">
        <v>3884</v>
      </c>
      <c r="C1220" s="8" t="s">
        <v>3885</v>
      </c>
      <c r="D1220" s="8" t="s">
        <v>3886</v>
      </c>
      <c r="E1220" s="8" t="s">
        <v>2358</v>
      </c>
      <c r="F1220" s="8" t="s">
        <v>3887</v>
      </c>
    </row>
    <row r="1221" customHeight="1" spans="1:6">
      <c r="A1221" s="6">
        <v>1220</v>
      </c>
      <c r="B1221" s="8" t="s">
        <v>3884</v>
      </c>
      <c r="C1221" s="8" t="s">
        <v>3885</v>
      </c>
      <c r="D1221" s="8" t="s">
        <v>3886</v>
      </c>
      <c r="E1221" s="8" t="s">
        <v>2358</v>
      </c>
      <c r="F1221" s="8" t="s">
        <v>3887</v>
      </c>
    </row>
    <row r="1222" customHeight="1" spans="1:6">
      <c r="A1222" s="6">
        <v>1221</v>
      </c>
      <c r="B1222" s="8" t="s">
        <v>3888</v>
      </c>
      <c r="C1222" s="8" t="s">
        <v>3889</v>
      </c>
      <c r="D1222" s="8" t="s">
        <v>3890</v>
      </c>
      <c r="E1222" s="8" t="s">
        <v>2566</v>
      </c>
      <c r="F1222" s="8" t="s">
        <v>3891</v>
      </c>
    </row>
    <row r="1223" customHeight="1" spans="1:6">
      <c r="A1223" s="6">
        <v>1222</v>
      </c>
      <c r="B1223" s="8" t="s">
        <v>3888</v>
      </c>
      <c r="C1223" s="8" t="s">
        <v>3889</v>
      </c>
      <c r="D1223" s="8" t="s">
        <v>3890</v>
      </c>
      <c r="E1223" s="8" t="s">
        <v>2566</v>
      </c>
      <c r="F1223" s="8" t="s">
        <v>3891</v>
      </c>
    </row>
    <row r="1224" customHeight="1" spans="1:6">
      <c r="A1224" s="6">
        <v>1223</v>
      </c>
      <c r="B1224" s="8" t="s">
        <v>3892</v>
      </c>
      <c r="C1224" s="8" t="s">
        <v>3893</v>
      </c>
      <c r="D1224" s="8" t="s">
        <v>3894</v>
      </c>
      <c r="E1224" s="8" t="s">
        <v>530</v>
      </c>
      <c r="F1224" s="8" t="s">
        <v>3895</v>
      </c>
    </row>
    <row r="1225" customHeight="1" spans="1:6">
      <c r="A1225" s="6">
        <v>1224</v>
      </c>
      <c r="B1225" s="8" t="s">
        <v>3892</v>
      </c>
      <c r="C1225" s="8" t="s">
        <v>3893</v>
      </c>
      <c r="D1225" s="8" t="s">
        <v>3894</v>
      </c>
      <c r="E1225" s="8" t="s">
        <v>530</v>
      </c>
      <c r="F1225" s="8" t="s">
        <v>3895</v>
      </c>
    </row>
    <row r="1226" customHeight="1" spans="1:6">
      <c r="A1226" s="6">
        <v>1225</v>
      </c>
      <c r="B1226" s="8" t="s">
        <v>3892</v>
      </c>
      <c r="C1226" s="8" t="s">
        <v>3893</v>
      </c>
      <c r="D1226" s="8" t="s">
        <v>3894</v>
      </c>
      <c r="E1226" s="8" t="s">
        <v>530</v>
      </c>
      <c r="F1226" s="8" t="s">
        <v>3895</v>
      </c>
    </row>
    <row r="1227" customHeight="1" spans="1:6">
      <c r="A1227" s="6">
        <v>1226</v>
      </c>
      <c r="B1227" s="8" t="s">
        <v>3896</v>
      </c>
      <c r="C1227" s="8" t="s">
        <v>3885</v>
      </c>
      <c r="D1227" s="8" t="s">
        <v>3897</v>
      </c>
      <c r="E1227" s="8" t="s">
        <v>256</v>
      </c>
      <c r="F1227" s="8" t="s">
        <v>3898</v>
      </c>
    </row>
    <row r="1228" customHeight="1" spans="1:6">
      <c r="A1228" s="6">
        <v>1227</v>
      </c>
      <c r="B1228" s="8" t="s">
        <v>3896</v>
      </c>
      <c r="C1228" s="8" t="s">
        <v>3885</v>
      </c>
      <c r="D1228" s="8" t="s">
        <v>3897</v>
      </c>
      <c r="E1228" s="8" t="s">
        <v>256</v>
      </c>
      <c r="F1228" s="8" t="s">
        <v>3898</v>
      </c>
    </row>
    <row r="1229" customHeight="1" spans="1:6">
      <c r="A1229" s="6">
        <v>1228</v>
      </c>
      <c r="B1229" s="8" t="s">
        <v>3896</v>
      </c>
      <c r="C1229" s="8" t="s">
        <v>3885</v>
      </c>
      <c r="D1229" s="8" t="s">
        <v>3897</v>
      </c>
      <c r="E1229" s="8" t="s">
        <v>256</v>
      </c>
      <c r="F1229" s="8" t="s">
        <v>3898</v>
      </c>
    </row>
    <row r="1230" customHeight="1" spans="1:6">
      <c r="A1230" s="6">
        <v>1229</v>
      </c>
      <c r="B1230" s="8" t="s">
        <v>3899</v>
      </c>
      <c r="C1230" s="8" t="s">
        <v>3900</v>
      </c>
      <c r="D1230" s="8" t="s">
        <v>3901</v>
      </c>
      <c r="E1230" s="8" t="s">
        <v>311</v>
      </c>
      <c r="F1230" s="8" t="s">
        <v>3902</v>
      </c>
    </row>
    <row r="1231" customHeight="1" spans="1:6">
      <c r="A1231" s="6">
        <v>1230</v>
      </c>
      <c r="B1231" s="8" t="s">
        <v>3899</v>
      </c>
      <c r="C1231" s="8" t="s">
        <v>3900</v>
      </c>
      <c r="D1231" s="8" t="s">
        <v>3901</v>
      </c>
      <c r="E1231" s="8" t="s">
        <v>311</v>
      </c>
      <c r="F1231" s="8" t="s">
        <v>3902</v>
      </c>
    </row>
    <row r="1232" customHeight="1" spans="1:6">
      <c r="A1232" s="6">
        <v>1231</v>
      </c>
      <c r="B1232" s="8" t="s">
        <v>3899</v>
      </c>
      <c r="C1232" s="8" t="s">
        <v>3900</v>
      </c>
      <c r="D1232" s="8" t="s">
        <v>3901</v>
      </c>
      <c r="E1232" s="8" t="s">
        <v>311</v>
      </c>
      <c r="F1232" s="8" t="s">
        <v>3902</v>
      </c>
    </row>
    <row r="1233" customHeight="1" spans="1:6">
      <c r="A1233" s="6">
        <v>1232</v>
      </c>
      <c r="B1233" s="8" t="s">
        <v>3903</v>
      </c>
      <c r="C1233" s="8" t="s">
        <v>3904</v>
      </c>
      <c r="D1233" s="8" t="s">
        <v>3905</v>
      </c>
      <c r="E1233" s="8" t="s">
        <v>375</v>
      </c>
      <c r="F1233" s="8" t="s">
        <v>3906</v>
      </c>
    </row>
    <row r="1234" customHeight="1" spans="1:6">
      <c r="A1234" s="6">
        <v>1233</v>
      </c>
      <c r="B1234" s="8" t="s">
        <v>3903</v>
      </c>
      <c r="C1234" s="8" t="s">
        <v>3904</v>
      </c>
      <c r="D1234" s="8" t="s">
        <v>3905</v>
      </c>
      <c r="E1234" s="8" t="s">
        <v>375</v>
      </c>
      <c r="F1234" s="8" t="s">
        <v>3906</v>
      </c>
    </row>
    <row r="1235" customHeight="1" spans="1:6">
      <c r="A1235" s="6">
        <v>1234</v>
      </c>
      <c r="B1235" s="8" t="s">
        <v>3907</v>
      </c>
      <c r="C1235" s="8" t="s">
        <v>3908</v>
      </c>
      <c r="D1235" s="8" t="s">
        <v>3909</v>
      </c>
      <c r="E1235" s="8" t="s">
        <v>375</v>
      </c>
      <c r="F1235" s="8" t="s">
        <v>3910</v>
      </c>
    </row>
    <row r="1236" customHeight="1" spans="1:6">
      <c r="A1236" s="6">
        <v>1235</v>
      </c>
      <c r="B1236" s="8" t="s">
        <v>3907</v>
      </c>
      <c r="C1236" s="8" t="s">
        <v>3908</v>
      </c>
      <c r="D1236" s="8" t="s">
        <v>3909</v>
      </c>
      <c r="E1236" s="8" t="s">
        <v>375</v>
      </c>
      <c r="F1236" s="8" t="s">
        <v>3910</v>
      </c>
    </row>
    <row r="1237" customHeight="1" spans="1:6">
      <c r="A1237" s="6">
        <v>1236</v>
      </c>
      <c r="B1237" s="8" t="s">
        <v>3911</v>
      </c>
      <c r="C1237" s="8" t="s">
        <v>3912</v>
      </c>
      <c r="D1237" s="8" t="s">
        <v>3913</v>
      </c>
      <c r="E1237" s="8" t="s">
        <v>311</v>
      </c>
      <c r="F1237" s="8" t="s">
        <v>3914</v>
      </c>
    </row>
    <row r="1238" customHeight="1" spans="1:6">
      <c r="A1238" s="6">
        <v>1237</v>
      </c>
      <c r="B1238" s="8" t="s">
        <v>3911</v>
      </c>
      <c r="C1238" s="8" t="s">
        <v>3912</v>
      </c>
      <c r="D1238" s="8" t="s">
        <v>3913</v>
      </c>
      <c r="E1238" s="8" t="s">
        <v>311</v>
      </c>
      <c r="F1238" s="8" t="s">
        <v>3914</v>
      </c>
    </row>
    <row r="1239" customHeight="1" spans="1:6">
      <c r="A1239" s="6">
        <v>1238</v>
      </c>
      <c r="B1239" s="8" t="s">
        <v>3911</v>
      </c>
      <c r="C1239" s="8" t="s">
        <v>3912</v>
      </c>
      <c r="D1239" s="8" t="s">
        <v>3913</v>
      </c>
      <c r="E1239" s="8" t="s">
        <v>311</v>
      </c>
      <c r="F1239" s="8" t="s">
        <v>3914</v>
      </c>
    </row>
    <row r="1240" customHeight="1" spans="1:6">
      <c r="A1240" s="6">
        <v>1239</v>
      </c>
      <c r="B1240" s="8" t="s">
        <v>3915</v>
      </c>
      <c r="C1240" s="8" t="s">
        <v>3916</v>
      </c>
      <c r="D1240" s="8" t="s">
        <v>3917</v>
      </c>
      <c r="E1240" s="8" t="s">
        <v>256</v>
      </c>
      <c r="F1240" s="8" t="s">
        <v>3918</v>
      </c>
    </row>
    <row r="1241" customHeight="1" spans="1:6">
      <c r="A1241" s="6">
        <v>1240</v>
      </c>
      <c r="B1241" s="8" t="s">
        <v>3915</v>
      </c>
      <c r="C1241" s="8" t="s">
        <v>3916</v>
      </c>
      <c r="D1241" s="8" t="s">
        <v>3917</v>
      </c>
      <c r="E1241" s="8" t="s">
        <v>256</v>
      </c>
      <c r="F1241" s="8" t="s">
        <v>3918</v>
      </c>
    </row>
    <row r="1242" customHeight="1" spans="1:6">
      <c r="A1242" s="6">
        <v>1241</v>
      </c>
      <c r="B1242" s="8" t="s">
        <v>3915</v>
      </c>
      <c r="C1242" s="8" t="s">
        <v>3916</v>
      </c>
      <c r="D1242" s="8" t="s">
        <v>3917</v>
      </c>
      <c r="E1242" s="8" t="s">
        <v>256</v>
      </c>
      <c r="F1242" s="8" t="s">
        <v>3918</v>
      </c>
    </row>
    <row r="1243" customHeight="1" spans="1:6">
      <c r="A1243" s="6">
        <v>1242</v>
      </c>
      <c r="B1243" s="8" t="s">
        <v>3919</v>
      </c>
      <c r="C1243" s="8" t="s">
        <v>3920</v>
      </c>
      <c r="D1243" s="8" t="s">
        <v>3921</v>
      </c>
      <c r="E1243" s="8" t="s">
        <v>256</v>
      </c>
      <c r="F1243" s="8" t="s">
        <v>3922</v>
      </c>
    </row>
    <row r="1244" customHeight="1" spans="1:6">
      <c r="A1244" s="6">
        <v>1243</v>
      </c>
      <c r="B1244" s="8" t="s">
        <v>3919</v>
      </c>
      <c r="C1244" s="8" t="s">
        <v>3920</v>
      </c>
      <c r="D1244" s="8" t="s">
        <v>3921</v>
      </c>
      <c r="E1244" s="8" t="s">
        <v>256</v>
      </c>
      <c r="F1244" s="8" t="s">
        <v>3922</v>
      </c>
    </row>
    <row r="1245" customHeight="1" spans="1:6">
      <c r="A1245" s="6">
        <v>1244</v>
      </c>
      <c r="B1245" s="8" t="s">
        <v>3923</v>
      </c>
      <c r="C1245" s="8" t="s">
        <v>3924</v>
      </c>
      <c r="D1245" s="8" t="s">
        <v>3925</v>
      </c>
      <c r="E1245" s="8" t="s">
        <v>530</v>
      </c>
      <c r="F1245" s="8" t="s">
        <v>3926</v>
      </c>
    </row>
    <row r="1246" customHeight="1" spans="1:6">
      <c r="A1246" s="6">
        <v>1245</v>
      </c>
      <c r="B1246" s="8" t="s">
        <v>3923</v>
      </c>
      <c r="C1246" s="8" t="s">
        <v>3924</v>
      </c>
      <c r="D1246" s="8" t="s">
        <v>3925</v>
      </c>
      <c r="E1246" s="8" t="s">
        <v>530</v>
      </c>
      <c r="F1246" s="8" t="s">
        <v>3926</v>
      </c>
    </row>
    <row r="1247" customHeight="1" spans="1:6">
      <c r="A1247" s="6">
        <v>1246</v>
      </c>
      <c r="B1247" s="8" t="s">
        <v>3927</v>
      </c>
      <c r="C1247" s="8" t="s">
        <v>3928</v>
      </c>
      <c r="D1247" s="8" t="s">
        <v>3929</v>
      </c>
      <c r="E1247" s="8" t="s">
        <v>350</v>
      </c>
      <c r="F1247" s="8" t="s">
        <v>3930</v>
      </c>
    </row>
    <row r="1248" customHeight="1" spans="1:6">
      <c r="A1248" s="6">
        <v>1247</v>
      </c>
      <c r="B1248" s="8" t="s">
        <v>3927</v>
      </c>
      <c r="C1248" s="8" t="s">
        <v>3928</v>
      </c>
      <c r="D1248" s="8" t="s">
        <v>3929</v>
      </c>
      <c r="E1248" s="8" t="s">
        <v>350</v>
      </c>
      <c r="F1248" s="8" t="s">
        <v>3930</v>
      </c>
    </row>
    <row r="1249" customHeight="1" spans="1:6">
      <c r="A1249" s="6">
        <v>1248</v>
      </c>
      <c r="B1249" s="8" t="s">
        <v>3927</v>
      </c>
      <c r="C1249" s="8" t="s">
        <v>3928</v>
      </c>
      <c r="D1249" s="8" t="s">
        <v>3929</v>
      </c>
      <c r="E1249" s="8" t="s">
        <v>350</v>
      </c>
      <c r="F1249" s="8" t="s">
        <v>3930</v>
      </c>
    </row>
    <row r="1250" customHeight="1" spans="1:6">
      <c r="A1250" s="6">
        <v>1249</v>
      </c>
      <c r="B1250" s="8" t="s">
        <v>3931</v>
      </c>
      <c r="C1250" s="8" t="s">
        <v>3932</v>
      </c>
      <c r="D1250" s="8" t="s">
        <v>3933</v>
      </c>
      <c r="E1250" s="8" t="s">
        <v>375</v>
      </c>
      <c r="F1250" s="8" t="s">
        <v>3934</v>
      </c>
    </row>
    <row r="1251" customHeight="1" spans="1:6">
      <c r="A1251" s="6">
        <v>1250</v>
      </c>
      <c r="B1251" s="8" t="s">
        <v>3931</v>
      </c>
      <c r="C1251" s="8" t="s">
        <v>3932</v>
      </c>
      <c r="D1251" s="8" t="s">
        <v>3933</v>
      </c>
      <c r="E1251" s="8" t="s">
        <v>375</v>
      </c>
      <c r="F1251" s="8" t="s">
        <v>3934</v>
      </c>
    </row>
    <row r="1252" customHeight="1" spans="1:6">
      <c r="A1252" s="6">
        <v>1251</v>
      </c>
      <c r="B1252" s="8" t="s">
        <v>3935</v>
      </c>
      <c r="C1252" s="8" t="s">
        <v>3936</v>
      </c>
      <c r="D1252" s="8" t="s">
        <v>3937</v>
      </c>
      <c r="E1252" s="8" t="s">
        <v>13</v>
      </c>
      <c r="F1252" s="8" t="s">
        <v>3938</v>
      </c>
    </row>
    <row r="1253" customHeight="1" spans="1:6">
      <c r="A1253" s="6">
        <v>1252</v>
      </c>
      <c r="B1253" s="8" t="s">
        <v>3935</v>
      </c>
      <c r="C1253" s="8" t="s">
        <v>3936</v>
      </c>
      <c r="D1253" s="8" t="s">
        <v>3937</v>
      </c>
      <c r="E1253" s="8" t="s">
        <v>13</v>
      </c>
      <c r="F1253" s="8" t="s">
        <v>3938</v>
      </c>
    </row>
    <row r="1254" customHeight="1" spans="1:6">
      <c r="A1254" s="6">
        <v>1253</v>
      </c>
      <c r="B1254" s="8" t="s">
        <v>3939</v>
      </c>
      <c r="C1254" s="8" t="s">
        <v>3940</v>
      </c>
      <c r="D1254" s="8" t="s">
        <v>3941</v>
      </c>
      <c r="E1254" s="8" t="s">
        <v>270</v>
      </c>
      <c r="F1254" s="8" t="s">
        <v>3942</v>
      </c>
    </row>
    <row r="1255" customHeight="1" spans="1:6">
      <c r="A1255" s="6">
        <v>1254</v>
      </c>
      <c r="B1255" s="8" t="s">
        <v>3939</v>
      </c>
      <c r="C1255" s="8" t="s">
        <v>3940</v>
      </c>
      <c r="D1255" s="8" t="s">
        <v>3941</v>
      </c>
      <c r="E1255" s="8" t="s">
        <v>270</v>
      </c>
      <c r="F1255" s="8" t="s">
        <v>3942</v>
      </c>
    </row>
    <row r="1256" customHeight="1" spans="1:6">
      <c r="A1256" s="6">
        <v>1255</v>
      </c>
      <c r="B1256" s="7" t="str">
        <f>"978-7-302-40666-2"</f>
        <v>978-7-302-40666-2</v>
      </c>
      <c r="C1256" s="7" t="str">
        <f>"企业伦理学"</f>
        <v>企业伦理学</v>
      </c>
      <c r="D1256" s="7" t="str">
        <f>"周祖城编著"</f>
        <v>周祖城编著</v>
      </c>
      <c r="E1256" s="7" t="str">
        <f>"清华大学出版社"</f>
        <v>清华大学出版社</v>
      </c>
      <c r="F1256" s="7" t="str">
        <f>"F272-05/30=3D"</f>
        <v>F272-05/30=3D</v>
      </c>
    </row>
    <row r="1257" customHeight="1" spans="1:6">
      <c r="A1257" s="6">
        <v>1256</v>
      </c>
      <c r="B1257" s="7" t="str">
        <f>"978-7-302-40666-2"</f>
        <v>978-7-302-40666-2</v>
      </c>
      <c r="C1257" s="7" t="str">
        <f>"企业伦理学"</f>
        <v>企业伦理学</v>
      </c>
      <c r="D1257" s="7" t="str">
        <f>"周祖城编著"</f>
        <v>周祖城编著</v>
      </c>
      <c r="E1257" s="7" t="str">
        <f>"清华大学出版社"</f>
        <v>清华大学出版社</v>
      </c>
      <c r="F1257" s="7" t="str">
        <f>"F272-05/30=3D"</f>
        <v>F272-05/30=3D</v>
      </c>
    </row>
    <row r="1258" customHeight="1" spans="1:6">
      <c r="A1258" s="6">
        <v>1257</v>
      </c>
      <c r="B1258" s="8" t="s">
        <v>3943</v>
      </c>
      <c r="C1258" s="8" t="s">
        <v>3944</v>
      </c>
      <c r="D1258" s="8" t="s">
        <v>3945</v>
      </c>
      <c r="E1258" s="8" t="s">
        <v>311</v>
      </c>
      <c r="F1258" s="8" t="s">
        <v>3946</v>
      </c>
    </row>
    <row r="1259" customHeight="1" spans="1:6">
      <c r="A1259" s="6">
        <v>1258</v>
      </c>
      <c r="B1259" s="8" t="s">
        <v>3943</v>
      </c>
      <c r="C1259" s="8" t="s">
        <v>3944</v>
      </c>
      <c r="D1259" s="8" t="s">
        <v>3945</v>
      </c>
      <c r="E1259" s="8" t="s">
        <v>311</v>
      </c>
      <c r="F1259" s="8" t="s">
        <v>3946</v>
      </c>
    </row>
    <row r="1260" customHeight="1" spans="1:6">
      <c r="A1260" s="6">
        <v>1259</v>
      </c>
      <c r="B1260" s="8" t="s">
        <v>3791</v>
      </c>
      <c r="C1260" s="8" t="s">
        <v>3947</v>
      </c>
      <c r="D1260" s="8" t="s">
        <v>3793</v>
      </c>
      <c r="E1260" s="8" t="s">
        <v>350</v>
      </c>
      <c r="F1260" s="8" t="s">
        <v>3948</v>
      </c>
    </row>
    <row r="1261" customHeight="1" spans="1:6">
      <c r="A1261" s="6">
        <v>1260</v>
      </c>
      <c r="B1261" s="8" t="s">
        <v>3791</v>
      </c>
      <c r="C1261" s="8" t="s">
        <v>3947</v>
      </c>
      <c r="D1261" s="8" t="s">
        <v>3793</v>
      </c>
      <c r="E1261" s="8" t="s">
        <v>350</v>
      </c>
      <c r="F1261" s="8" t="s">
        <v>3948</v>
      </c>
    </row>
    <row r="1262" customHeight="1" spans="1:6">
      <c r="A1262" s="6">
        <v>1261</v>
      </c>
      <c r="B1262" s="8" t="s">
        <v>3949</v>
      </c>
      <c r="C1262" s="8" t="s">
        <v>3950</v>
      </c>
      <c r="D1262" s="8" t="s">
        <v>3951</v>
      </c>
      <c r="E1262" s="8" t="s">
        <v>2284</v>
      </c>
      <c r="F1262" s="8" t="s">
        <v>3952</v>
      </c>
    </row>
    <row r="1263" customHeight="1" spans="1:6">
      <c r="A1263" s="6">
        <v>1262</v>
      </c>
      <c r="B1263" s="8" t="s">
        <v>3949</v>
      </c>
      <c r="C1263" s="8" t="s">
        <v>3950</v>
      </c>
      <c r="D1263" s="8" t="s">
        <v>3951</v>
      </c>
      <c r="E1263" s="8" t="s">
        <v>2284</v>
      </c>
      <c r="F1263" s="8" t="s">
        <v>3952</v>
      </c>
    </row>
    <row r="1264" customHeight="1" spans="1:6">
      <c r="A1264" s="6">
        <v>1263</v>
      </c>
      <c r="B1264" s="7" t="str">
        <f>"978-7-5057-5181-1"</f>
        <v>978-7-5057-5181-1</v>
      </c>
      <c r="C1264" s="7" t="str">
        <f>"创造你的成长空间"</f>
        <v>创造你的成长空间</v>
      </c>
      <c r="D1264" s="7" t="str">
        <f>"(英) 德里克·德雷珀著Derek Draper；杜真译"</f>
        <v>(英) 德里克·德雷珀著Derek Draper；杜真译</v>
      </c>
      <c r="E1264" s="7" t="str">
        <f>"中国友谊出版公司"</f>
        <v>中国友谊出版公司</v>
      </c>
      <c r="F1264" s="7" t="str">
        <f>"F272-49/18"</f>
        <v>F272-49/18</v>
      </c>
    </row>
    <row r="1265" customHeight="1" spans="1:6">
      <c r="A1265" s="6">
        <v>1264</v>
      </c>
      <c r="B1265" s="7" t="str">
        <f>"978-7-5057-5181-1"</f>
        <v>978-7-5057-5181-1</v>
      </c>
      <c r="C1265" s="7" t="str">
        <f>"创造你的成长空间"</f>
        <v>创造你的成长空间</v>
      </c>
      <c r="D1265" s="7" t="str">
        <f>"(英) 德里克·德雷珀著Derek Draper；杜真译"</f>
        <v>(英) 德里克·德雷珀著Derek Draper；杜真译</v>
      </c>
      <c r="E1265" s="7" t="str">
        <f>"中国友谊出版公司"</f>
        <v>中国友谊出版公司</v>
      </c>
      <c r="F1265" s="7" t="str">
        <f>"F272-49/18"</f>
        <v>F272-49/18</v>
      </c>
    </row>
    <row r="1266" customHeight="1" spans="1:6">
      <c r="A1266" s="6">
        <v>1265</v>
      </c>
      <c r="B1266" s="8" t="s">
        <v>3953</v>
      </c>
      <c r="C1266" s="8" t="s">
        <v>3954</v>
      </c>
      <c r="D1266" s="8" t="s">
        <v>3955</v>
      </c>
      <c r="E1266" s="8" t="s">
        <v>311</v>
      </c>
      <c r="F1266" s="8" t="s">
        <v>3956</v>
      </c>
    </row>
    <row r="1267" customHeight="1" spans="1:6">
      <c r="A1267" s="6">
        <v>1266</v>
      </c>
      <c r="B1267" s="8" t="s">
        <v>3953</v>
      </c>
      <c r="C1267" s="8" t="s">
        <v>3954</v>
      </c>
      <c r="D1267" s="8" t="s">
        <v>3955</v>
      </c>
      <c r="E1267" s="8" t="s">
        <v>311</v>
      </c>
      <c r="F1267" s="8" t="s">
        <v>3956</v>
      </c>
    </row>
    <row r="1268" customHeight="1" spans="1:6">
      <c r="A1268" s="6">
        <v>1267</v>
      </c>
      <c r="B1268" s="8" t="s">
        <v>3957</v>
      </c>
      <c r="C1268" s="8" t="s">
        <v>3958</v>
      </c>
      <c r="D1268" s="8" t="s">
        <v>3959</v>
      </c>
      <c r="E1268" s="8" t="s">
        <v>13</v>
      </c>
      <c r="F1268" s="8" t="s">
        <v>3960</v>
      </c>
    </row>
    <row r="1269" customHeight="1" spans="1:6">
      <c r="A1269" s="6">
        <v>1268</v>
      </c>
      <c r="B1269" s="8" t="s">
        <v>3957</v>
      </c>
      <c r="C1269" s="8" t="s">
        <v>3958</v>
      </c>
      <c r="D1269" s="8" t="s">
        <v>3959</v>
      </c>
      <c r="E1269" s="8" t="s">
        <v>13</v>
      </c>
      <c r="F1269" s="8" t="s">
        <v>3960</v>
      </c>
    </row>
    <row r="1270" customHeight="1" spans="1:6">
      <c r="A1270" s="6">
        <v>1269</v>
      </c>
      <c r="B1270" s="8" t="s">
        <v>3961</v>
      </c>
      <c r="C1270" s="8" t="s">
        <v>3962</v>
      </c>
      <c r="D1270" s="8" t="s">
        <v>3963</v>
      </c>
      <c r="E1270" s="8" t="s">
        <v>1967</v>
      </c>
      <c r="F1270" s="8" t="s">
        <v>3964</v>
      </c>
    </row>
    <row r="1271" customHeight="1" spans="1:6">
      <c r="A1271" s="6">
        <v>1270</v>
      </c>
      <c r="B1271" s="8" t="s">
        <v>3961</v>
      </c>
      <c r="C1271" s="8" t="s">
        <v>3962</v>
      </c>
      <c r="D1271" s="8" t="s">
        <v>3963</v>
      </c>
      <c r="E1271" s="8" t="s">
        <v>1967</v>
      </c>
      <c r="F1271" s="8" t="s">
        <v>3964</v>
      </c>
    </row>
    <row r="1272" customHeight="1" spans="1:6">
      <c r="A1272" s="6">
        <v>1271</v>
      </c>
      <c r="B1272" s="8" t="s">
        <v>3965</v>
      </c>
      <c r="C1272" s="8" t="s">
        <v>3966</v>
      </c>
      <c r="D1272" s="8" t="s">
        <v>3967</v>
      </c>
      <c r="E1272" s="8" t="s">
        <v>530</v>
      </c>
      <c r="F1272" s="8" t="s">
        <v>3968</v>
      </c>
    </row>
    <row r="1273" customHeight="1" spans="1:6">
      <c r="A1273" s="6">
        <v>1272</v>
      </c>
      <c r="B1273" s="8" t="s">
        <v>3965</v>
      </c>
      <c r="C1273" s="8" t="s">
        <v>3966</v>
      </c>
      <c r="D1273" s="8" t="s">
        <v>3967</v>
      </c>
      <c r="E1273" s="8" t="s">
        <v>530</v>
      </c>
      <c r="F1273" s="8" t="s">
        <v>3968</v>
      </c>
    </row>
    <row r="1274" customHeight="1" spans="1:6">
      <c r="A1274" s="6">
        <v>1273</v>
      </c>
      <c r="B1274" s="8" t="s">
        <v>3969</v>
      </c>
      <c r="C1274" s="8" t="s">
        <v>3970</v>
      </c>
      <c r="D1274" s="8" t="s">
        <v>3971</v>
      </c>
      <c r="E1274" s="8" t="s">
        <v>33</v>
      </c>
      <c r="F1274" s="8" t="s">
        <v>3972</v>
      </c>
    </row>
    <row r="1275" customHeight="1" spans="1:6">
      <c r="A1275" s="6">
        <v>1274</v>
      </c>
      <c r="B1275" s="8" t="s">
        <v>3969</v>
      </c>
      <c r="C1275" s="8" t="s">
        <v>3970</v>
      </c>
      <c r="D1275" s="8" t="s">
        <v>3971</v>
      </c>
      <c r="E1275" s="8" t="s">
        <v>33</v>
      </c>
      <c r="F1275" s="8" t="s">
        <v>3972</v>
      </c>
    </row>
    <row r="1276" customHeight="1" spans="1:6">
      <c r="A1276" s="6">
        <v>1275</v>
      </c>
      <c r="B1276" s="8" t="s">
        <v>3973</v>
      </c>
      <c r="C1276" s="8" t="s">
        <v>3974</v>
      </c>
      <c r="D1276" s="8" t="s">
        <v>3975</v>
      </c>
      <c r="E1276" s="8" t="s">
        <v>2566</v>
      </c>
      <c r="F1276" s="8" t="s">
        <v>3976</v>
      </c>
    </row>
    <row r="1277" customHeight="1" spans="1:6">
      <c r="A1277" s="6">
        <v>1276</v>
      </c>
      <c r="B1277" s="8" t="s">
        <v>3973</v>
      </c>
      <c r="C1277" s="8" t="s">
        <v>3974</v>
      </c>
      <c r="D1277" s="8" t="s">
        <v>3975</v>
      </c>
      <c r="E1277" s="8" t="s">
        <v>2566</v>
      </c>
      <c r="F1277" s="8" t="s">
        <v>3976</v>
      </c>
    </row>
    <row r="1278" customHeight="1" spans="1:6">
      <c r="A1278" s="6">
        <v>1277</v>
      </c>
      <c r="B1278" s="8" t="s">
        <v>3973</v>
      </c>
      <c r="C1278" s="8" t="s">
        <v>3974</v>
      </c>
      <c r="D1278" s="8" t="s">
        <v>3975</v>
      </c>
      <c r="E1278" s="8" t="s">
        <v>2566</v>
      </c>
      <c r="F1278" s="8" t="s">
        <v>3976</v>
      </c>
    </row>
    <row r="1279" customHeight="1" spans="1:6">
      <c r="A1279" s="6">
        <v>1278</v>
      </c>
      <c r="B1279" s="8" t="s">
        <v>3977</v>
      </c>
      <c r="C1279" s="8" t="s">
        <v>3978</v>
      </c>
      <c r="D1279" s="8" t="s">
        <v>3979</v>
      </c>
      <c r="E1279" s="8" t="s">
        <v>3146</v>
      </c>
      <c r="F1279" s="8" t="s">
        <v>3980</v>
      </c>
    </row>
    <row r="1280" customHeight="1" spans="1:6">
      <c r="A1280" s="6">
        <v>1279</v>
      </c>
      <c r="B1280" s="8" t="s">
        <v>3977</v>
      </c>
      <c r="C1280" s="8" t="s">
        <v>3978</v>
      </c>
      <c r="D1280" s="8" t="s">
        <v>3979</v>
      </c>
      <c r="E1280" s="8" t="s">
        <v>3146</v>
      </c>
      <c r="F1280" s="8" t="s">
        <v>3980</v>
      </c>
    </row>
    <row r="1281" customHeight="1" spans="1:6">
      <c r="A1281" s="6">
        <v>1280</v>
      </c>
      <c r="B1281" s="8" t="s">
        <v>3977</v>
      </c>
      <c r="C1281" s="8" t="s">
        <v>3978</v>
      </c>
      <c r="D1281" s="8" t="s">
        <v>3979</v>
      </c>
      <c r="E1281" s="8" t="s">
        <v>3146</v>
      </c>
      <c r="F1281" s="8" t="s">
        <v>3980</v>
      </c>
    </row>
    <row r="1282" customHeight="1" spans="1:6">
      <c r="A1282" s="6">
        <v>1281</v>
      </c>
      <c r="B1282" s="8" t="s">
        <v>3981</v>
      </c>
      <c r="C1282" s="8" t="s">
        <v>3982</v>
      </c>
      <c r="D1282" s="8" t="s">
        <v>3983</v>
      </c>
      <c r="E1282" s="8" t="s">
        <v>415</v>
      </c>
      <c r="F1282" s="8" t="s">
        <v>3984</v>
      </c>
    </row>
    <row r="1283" customHeight="1" spans="1:6">
      <c r="A1283" s="6">
        <v>1282</v>
      </c>
      <c r="B1283" s="8" t="s">
        <v>3981</v>
      </c>
      <c r="C1283" s="8" t="s">
        <v>3982</v>
      </c>
      <c r="D1283" s="8" t="s">
        <v>3983</v>
      </c>
      <c r="E1283" s="8" t="s">
        <v>415</v>
      </c>
      <c r="F1283" s="8" t="s">
        <v>3984</v>
      </c>
    </row>
    <row r="1284" customHeight="1" spans="1:6">
      <c r="A1284" s="6">
        <v>1283</v>
      </c>
      <c r="B1284" s="8" t="s">
        <v>3985</v>
      </c>
      <c r="C1284" s="8" t="s">
        <v>3986</v>
      </c>
      <c r="D1284" s="8" t="s">
        <v>3987</v>
      </c>
      <c r="E1284" s="8" t="s">
        <v>485</v>
      </c>
      <c r="F1284" s="8" t="s">
        <v>3988</v>
      </c>
    </row>
    <row r="1285" customHeight="1" spans="1:6">
      <c r="A1285" s="6">
        <v>1284</v>
      </c>
      <c r="B1285" s="8" t="s">
        <v>3985</v>
      </c>
      <c r="C1285" s="8" t="s">
        <v>3986</v>
      </c>
      <c r="D1285" s="8" t="s">
        <v>3987</v>
      </c>
      <c r="E1285" s="8" t="s">
        <v>485</v>
      </c>
      <c r="F1285" s="8" t="s">
        <v>3988</v>
      </c>
    </row>
    <row r="1286" customHeight="1" spans="1:6">
      <c r="A1286" s="6">
        <v>1285</v>
      </c>
      <c r="B1286" s="8" t="s">
        <v>3989</v>
      </c>
      <c r="C1286" s="8" t="s">
        <v>3990</v>
      </c>
      <c r="D1286" s="8" t="s">
        <v>3991</v>
      </c>
      <c r="E1286" s="8" t="s">
        <v>375</v>
      </c>
      <c r="F1286" s="8" t="s">
        <v>3992</v>
      </c>
    </row>
    <row r="1287" customHeight="1" spans="1:6">
      <c r="A1287" s="6">
        <v>1286</v>
      </c>
      <c r="B1287" s="8" t="s">
        <v>3989</v>
      </c>
      <c r="C1287" s="8" t="s">
        <v>3990</v>
      </c>
      <c r="D1287" s="8" t="s">
        <v>3991</v>
      </c>
      <c r="E1287" s="8" t="s">
        <v>375</v>
      </c>
      <c r="F1287" s="8" t="s">
        <v>3992</v>
      </c>
    </row>
    <row r="1288" customHeight="1" spans="1:6">
      <c r="A1288" s="6">
        <v>1287</v>
      </c>
      <c r="B1288" s="8" t="s">
        <v>3993</v>
      </c>
      <c r="C1288" s="8" t="s">
        <v>3994</v>
      </c>
      <c r="D1288" s="8" t="s">
        <v>3995</v>
      </c>
      <c r="E1288" s="8" t="s">
        <v>3996</v>
      </c>
      <c r="F1288" s="8" t="s">
        <v>3997</v>
      </c>
    </row>
    <row r="1289" customHeight="1" spans="1:6">
      <c r="A1289" s="6">
        <v>1288</v>
      </c>
      <c r="B1289" s="8" t="s">
        <v>3993</v>
      </c>
      <c r="C1289" s="8" t="s">
        <v>3994</v>
      </c>
      <c r="D1289" s="8" t="s">
        <v>3995</v>
      </c>
      <c r="E1289" s="8" t="s">
        <v>3996</v>
      </c>
      <c r="F1289" s="8" t="s">
        <v>3997</v>
      </c>
    </row>
    <row r="1290" customHeight="1" spans="1:6">
      <c r="A1290" s="6">
        <v>1289</v>
      </c>
      <c r="B1290" s="8" t="s">
        <v>3993</v>
      </c>
      <c r="C1290" s="8" t="s">
        <v>3994</v>
      </c>
      <c r="D1290" s="8" t="s">
        <v>3995</v>
      </c>
      <c r="E1290" s="8" t="s">
        <v>3996</v>
      </c>
      <c r="F1290" s="8" t="s">
        <v>3997</v>
      </c>
    </row>
    <row r="1291" customHeight="1" spans="1:6">
      <c r="A1291" s="6">
        <v>1290</v>
      </c>
      <c r="B1291" s="8" t="s">
        <v>3998</v>
      </c>
      <c r="C1291" s="8" t="s">
        <v>3999</v>
      </c>
      <c r="D1291" s="8" t="s">
        <v>4000</v>
      </c>
      <c r="E1291" s="8" t="s">
        <v>530</v>
      </c>
      <c r="F1291" s="8" t="s">
        <v>4001</v>
      </c>
    </row>
    <row r="1292" customHeight="1" spans="1:6">
      <c r="A1292" s="6">
        <v>1291</v>
      </c>
      <c r="B1292" s="8" t="s">
        <v>3998</v>
      </c>
      <c r="C1292" s="8" t="s">
        <v>3999</v>
      </c>
      <c r="D1292" s="8" t="s">
        <v>4000</v>
      </c>
      <c r="E1292" s="8" t="s">
        <v>530</v>
      </c>
      <c r="F1292" s="8" t="s">
        <v>4001</v>
      </c>
    </row>
    <row r="1293" customHeight="1" spans="1:6">
      <c r="A1293" s="6">
        <v>1292</v>
      </c>
      <c r="B1293" s="8" t="s">
        <v>4002</v>
      </c>
      <c r="C1293" s="8" t="s">
        <v>4003</v>
      </c>
      <c r="D1293" s="8" t="s">
        <v>4004</v>
      </c>
      <c r="E1293" s="8" t="s">
        <v>270</v>
      </c>
      <c r="F1293" s="8" t="s">
        <v>4005</v>
      </c>
    </row>
    <row r="1294" customHeight="1" spans="1:6">
      <c r="A1294" s="6">
        <v>1293</v>
      </c>
      <c r="B1294" s="8" t="s">
        <v>4002</v>
      </c>
      <c r="C1294" s="8" t="s">
        <v>4003</v>
      </c>
      <c r="D1294" s="8" t="s">
        <v>4004</v>
      </c>
      <c r="E1294" s="8" t="s">
        <v>270</v>
      </c>
      <c r="F1294" s="8" t="s">
        <v>4005</v>
      </c>
    </row>
    <row r="1295" customHeight="1" spans="1:6">
      <c r="A1295" s="6">
        <v>1294</v>
      </c>
      <c r="B1295" s="8" t="s">
        <v>4002</v>
      </c>
      <c r="C1295" s="8" t="s">
        <v>4003</v>
      </c>
      <c r="D1295" s="8" t="s">
        <v>4004</v>
      </c>
      <c r="E1295" s="8" t="s">
        <v>270</v>
      </c>
      <c r="F1295" s="8" t="s">
        <v>4005</v>
      </c>
    </row>
    <row r="1296" customHeight="1" spans="1:6">
      <c r="A1296" s="6">
        <v>1295</v>
      </c>
      <c r="B1296" s="8" t="s">
        <v>4006</v>
      </c>
      <c r="C1296" s="8" t="s">
        <v>4007</v>
      </c>
      <c r="D1296" s="8" t="s">
        <v>4008</v>
      </c>
      <c r="E1296" s="8" t="s">
        <v>216</v>
      </c>
      <c r="F1296" s="8" t="s">
        <v>4009</v>
      </c>
    </row>
    <row r="1297" customHeight="1" spans="1:6">
      <c r="A1297" s="6">
        <v>1296</v>
      </c>
      <c r="B1297" s="8" t="s">
        <v>4006</v>
      </c>
      <c r="C1297" s="8" t="s">
        <v>4007</v>
      </c>
      <c r="D1297" s="8" t="s">
        <v>4008</v>
      </c>
      <c r="E1297" s="8" t="s">
        <v>216</v>
      </c>
      <c r="F1297" s="8" t="s">
        <v>4009</v>
      </c>
    </row>
    <row r="1298" customHeight="1" spans="1:6">
      <c r="A1298" s="6">
        <v>1297</v>
      </c>
      <c r="B1298" s="8" t="s">
        <v>4006</v>
      </c>
      <c r="C1298" s="8" t="s">
        <v>4007</v>
      </c>
      <c r="D1298" s="8" t="s">
        <v>4008</v>
      </c>
      <c r="E1298" s="8" t="s">
        <v>216</v>
      </c>
      <c r="F1298" s="8" t="s">
        <v>4009</v>
      </c>
    </row>
    <row r="1299" customHeight="1" spans="1:6">
      <c r="A1299" s="6">
        <v>1298</v>
      </c>
      <c r="B1299" s="7" t="str">
        <f>"978-7-302-35577-9"</f>
        <v>978-7-302-35577-9</v>
      </c>
      <c r="C1299" s="7" t="str">
        <f>"供应链管理：战略、计划和运作：strategy， planning， and operation"</f>
        <v>供应链管理：战略、计划和运作：strategy， planning， and operation</v>
      </c>
      <c r="D1299" s="7" t="str">
        <f>"(美) 苏尼尔·乔普拉， 彼得·迈因德尔著Sunil Chopra， Peter Meindl；刘曙光， 吴秀云等译"</f>
        <v>(美) 苏尼尔·乔普拉， 彼得·迈因德尔著Sunil Chopra， Peter Meindl；刘曙光， 吴秀云等译</v>
      </c>
      <c r="E1299" s="7" t="str">
        <f>"清华大学出版社"</f>
        <v>清华大学出版社</v>
      </c>
      <c r="F1299" s="7" t="str">
        <f>"F274/74-2"</f>
        <v>F274/74-2</v>
      </c>
    </row>
    <row r="1300" customHeight="1" spans="1:6">
      <c r="A1300" s="6">
        <v>1299</v>
      </c>
      <c r="B1300" s="7" t="str">
        <f>"978-7-302-35577-9"</f>
        <v>978-7-302-35577-9</v>
      </c>
      <c r="C1300" s="7" t="str">
        <f>"供应链管理：战略、计划和运作：strategy， planning， and operation"</f>
        <v>供应链管理：战略、计划和运作：strategy， planning， and operation</v>
      </c>
      <c r="D1300" s="7" t="str">
        <f>"(美) 苏尼尔·乔普拉， 彼得·迈因德尔著Sunil Chopra， Peter Meindl；刘曙光， 吴秀云等译"</f>
        <v>(美) 苏尼尔·乔普拉， 彼得·迈因德尔著Sunil Chopra， Peter Meindl；刘曙光， 吴秀云等译</v>
      </c>
      <c r="E1300" s="7" t="str">
        <f>"清华大学出版社"</f>
        <v>清华大学出版社</v>
      </c>
      <c r="F1300" s="7" t="str">
        <f>"F274/74-2"</f>
        <v>F274/74-2</v>
      </c>
    </row>
    <row r="1301" customHeight="1" spans="1:6">
      <c r="A1301" s="6">
        <v>1300</v>
      </c>
      <c r="B1301" s="8" t="s">
        <v>4010</v>
      </c>
      <c r="C1301" s="8" t="s">
        <v>4011</v>
      </c>
      <c r="D1301" s="8" t="s">
        <v>4012</v>
      </c>
      <c r="E1301" s="8" t="s">
        <v>3996</v>
      </c>
      <c r="F1301" s="8" t="s">
        <v>4013</v>
      </c>
    </row>
    <row r="1302" customHeight="1" spans="1:6">
      <c r="A1302" s="6">
        <v>1301</v>
      </c>
      <c r="B1302" s="8" t="s">
        <v>4010</v>
      </c>
      <c r="C1302" s="8" t="s">
        <v>4011</v>
      </c>
      <c r="D1302" s="8" t="s">
        <v>4012</v>
      </c>
      <c r="E1302" s="8" t="s">
        <v>3996</v>
      </c>
      <c r="F1302" s="8" t="s">
        <v>4013</v>
      </c>
    </row>
    <row r="1303" customHeight="1" spans="1:6">
      <c r="A1303" s="6">
        <v>1302</v>
      </c>
      <c r="B1303" s="8" t="s">
        <v>4010</v>
      </c>
      <c r="C1303" s="8" t="s">
        <v>4011</v>
      </c>
      <c r="D1303" s="8" t="s">
        <v>4012</v>
      </c>
      <c r="E1303" s="8" t="s">
        <v>3996</v>
      </c>
      <c r="F1303" s="8" t="s">
        <v>4013</v>
      </c>
    </row>
    <row r="1304" customHeight="1" spans="1:6">
      <c r="A1304" s="6">
        <v>1303</v>
      </c>
      <c r="B1304" s="8" t="s">
        <v>4014</v>
      </c>
      <c r="C1304" s="8" t="s">
        <v>4015</v>
      </c>
      <c r="D1304" s="8" t="s">
        <v>4016</v>
      </c>
      <c r="E1304" s="8" t="s">
        <v>375</v>
      </c>
      <c r="F1304" s="8" t="s">
        <v>4017</v>
      </c>
    </row>
    <row r="1305" customHeight="1" spans="1:6">
      <c r="A1305" s="6">
        <v>1304</v>
      </c>
      <c r="B1305" s="8" t="s">
        <v>4014</v>
      </c>
      <c r="C1305" s="8" t="s">
        <v>4015</v>
      </c>
      <c r="D1305" s="8" t="s">
        <v>4016</v>
      </c>
      <c r="E1305" s="8" t="s">
        <v>375</v>
      </c>
      <c r="F1305" s="8" t="s">
        <v>4017</v>
      </c>
    </row>
    <row r="1306" customHeight="1" spans="1:6">
      <c r="A1306" s="6">
        <v>1305</v>
      </c>
      <c r="B1306" s="8" t="s">
        <v>4018</v>
      </c>
      <c r="C1306" s="8" t="s">
        <v>4019</v>
      </c>
      <c r="D1306" s="8" t="s">
        <v>4020</v>
      </c>
      <c r="E1306" s="8" t="s">
        <v>710</v>
      </c>
      <c r="F1306" s="8" t="s">
        <v>4021</v>
      </c>
    </row>
    <row r="1307" customHeight="1" spans="1:6">
      <c r="A1307" s="6">
        <v>1306</v>
      </c>
      <c r="B1307" s="8" t="s">
        <v>4018</v>
      </c>
      <c r="C1307" s="8" t="s">
        <v>4019</v>
      </c>
      <c r="D1307" s="8" t="s">
        <v>4020</v>
      </c>
      <c r="E1307" s="8" t="s">
        <v>710</v>
      </c>
      <c r="F1307" s="8" t="s">
        <v>4021</v>
      </c>
    </row>
    <row r="1308" customHeight="1" spans="1:6">
      <c r="A1308" s="6">
        <v>1307</v>
      </c>
      <c r="B1308" s="8" t="s">
        <v>4022</v>
      </c>
      <c r="C1308" s="8" t="s">
        <v>4023</v>
      </c>
      <c r="D1308" s="8" t="s">
        <v>4024</v>
      </c>
      <c r="E1308" s="8" t="s">
        <v>2161</v>
      </c>
      <c r="F1308" s="8" t="s">
        <v>4025</v>
      </c>
    </row>
    <row r="1309" customHeight="1" spans="1:6">
      <c r="A1309" s="6">
        <v>1308</v>
      </c>
      <c r="B1309" s="8" t="s">
        <v>4022</v>
      </c>
      <c r="C1309" s="8" t="s">
        <v>4023</v>
      </c>
      <c r="D1309" s="8" t="s">
        <v>4024</v>
      </c>
      <c r="E1309" s="8" t="s">
        <v>2161</v>
      </c>
      <c r="F1309" s="8" t="s">
        <v>4025</v>
      </c>
    </row>
    <row r="1310" customHeight="1" spans="1:6">
      <c r="A1310" s="6">
        <v>1309</v>
      </c>
      <c r="B1310" s="8" t="s">
        <v>4022</v>
      </c>
      <c r="C1310" s="8" t="s">
        <v>4023</v>
      </c>
      <c r="D1310" s="8" t="s">
        <v>4024</v>
      </c>
      <c r="E1310" s="8" t="s">
        <v>2161</v>
      </c>
      <c r="F1310" s="8" t="s">
        <v>4025</v>
      </c>
    </row>
    <row r="1311" customHeight="1" spans="1:6">
      <c r="A1311" s="6">
        <v>1310</v>
      </c>
      <c r="B1311" s="8" t="s">
        <v>4026</v>
      </c>
      <c r="C1311" s="8" t="s">
        <v>4027</v>
      </c>
      <c r="D1311" s="8" t="s">
        <v>4028</v>
      </c>
      <c r="E1311" s="8" t="s">
        <v>2161</v>
      </c>
      <c r="F1311" s="8" t="s">
        <v>4029</v>
      </c>
    </row>
    <row r="1312" customHeight="1" spans="1:6">
      <c r="A1312" s="6">
        <v>1311</v>
      </c>
      <c r="B1312" s="8" t="s">
        <v>4026</v>
      </c>
      <c r="C1312" s="8" t="s">
        <v>4027</v>
      </c>
      <c r="D1312" s="8" t="s">
        <v>4028</v>
      </c>
      <c r="E1312" s="8" t="s">
        <v>2161</v>
      </c>
      <c r="F1312" s="8" t="s">
        <v>4029</v>
      </c>
    </row>
    <row r="1313" customHeight="1" spans="1:6">
      <c r="A1313" s="6">
        <v>1312</v>
      </c>
      <c r="B1313" s="8" t="s">
        <v>4026</v>
      </c>
      <c r="C1313" s="8" t="s">
        <v>4027</v>
      </c>
      <c r="D1313" s="8" t="s">
        <v>4028</v>
      </c>
      <c r="E1313" s="8" t="s">
        <v>2161</v>
      </c>
      <c r="F1313" s="8" t="s">
        <v>4029</v>
      </c>
    </row>
    <row r="1314" customHeight="1" spans="1:6">
      <c r="A1314" s="6">
        <v>1313</v>
      </c>
      <c r="B1314" s="8" t="s">
        <v>4030</v>
      </c>
      <c r="C1314" s="8" t="s">
        <v>4031</v>
      </c>
      <c r="D1314" s="8" t="s">
        <v>4032</v>
      </c>
      <c r="E1314" s="8" t="s">
        <v>375</v>
      </c>
      <c r="F1314" s="8" t="s">
        <v>4033</v>
      </c>
    </row>
    <row r="1315" customHeight="1" spans="1:6">
      <c r="A1315" s="6">
        <v>1314</v>
      </c>
      <c r="B1315" s="8" t="s">
        <v>4030</v>
      </c>
      <c r="C1315" s="8" t="s">
        <v>4031</v>
      </c>
      <c r="D1315" s="8" t="s">
        <v>4032</v>
      </c>
      <c r="E1315" s="8" t="s">
        <v>375</v>
      </c>
      <c r="F1315" s="8" t="s">
        <v>4033</v>
      </c>
    </row>
    <row r="1316" customHeight="1" spans="1:6">
      <c r="A1316" s="6">
        <v>1315</v>
      </c>
      <c r="B1316" s="8" t="s">
        <v>4034</v>
      </c>
      <c r="C1316" s="8" t="s">
        <v>4035</v>
      </c>
      <c r="D1316" s="8" t="s">
        <v>4036</v>
      </c>
      <c r="E1316" s="8" t="s">
        <v>1189</v>
      </c>
      <c r="F1316" s="8" t="s">
        <v>4037</v>
      </c>
    </row>
    <row r="1317" customHeight="1" spans="1:6">
      <c r="A1317" s="6">
        <v>1316</v>
      </c>
      <c r="B1317" s="8" t="s">
        <v>4034</v>
      </c>
      <c r="C1317" s="8" t="s">
        <v>4035</v>
      </c>
      <c r="D1317" s="8" t="s">
        <v>4036</v>
      </c>
      <c r="E1317" s="8" t="s">
        <v>1189</v>
      </c>
      <c r="F1317" s="8" t="s">
        <v>4037</v>
      </c>
    </row>
    <row r="1318" customHeight="1" spans="1:6">
      <c r="A1318" s="6">
        <v>1317</v>
      </c>
      <c r="B1318" s="8" t="s">
        <v>4034</v>
      </c>
      <c r="C1318" s="8" t="s">
        <v>4035</v>
      </c>
      <c r="D1318" s="8" t="s">
        <v>4036</v>
      </c>
      <c r="E1318" s="8" t="s">
        <v>1189</v>
      </c>
      <c r="F1318" s="8" t="s">
        <v>4037</v>
      </c>
    </row>
    <row r="1319" customHeight="1" spans="1:6">
      <c r="A1319" s="6">
        <v>1318</v>
      </c>
      <c r="B1319" s="8" t="s">
        <v>4038</v>
      </c>
      <c r="C1319" s="8" t="s">
        <v>4039</v>
      </c>
      <c r="D1319" s="8" t="s">
        <v>4040</v>
      </c>
      <c r="E1319" s="8" t="s">
        <v>710</v>
      </c>
      <c r="F1319" s="8" t="s">
        <v>4041</v>
      </c>
    </row>
    <row r="1320" customHeight="1" spans="1:6">
      <c r="A1320" s="6">
        <v>1319</v>
      </c>
      <c r="B1320" s="8" t="s">
        <v>4038</v>
      </c>
      <c r="C1320" s="8" t="s">
        <v>4039</v>
      </c>
      <c r="D1320" s="8" t="s">
        <v>4040</v>
      </c>
      <c r="E1320" s="8" t="s">
        <v>710</v>
      </c>
      <c r="F1320" s="8" t="s">
        <v>4041</v>
      </c>
    </row>
    <row r="1321" customHeight="1" spans="1:6">
      <c r="A1321" s="6">
        <v>1320</v>
      </c>
      <c r="B1321" s="8" t="s">
        <v>4042</v>
      </c>
      <c r="C1321" s="8" t="s">
        <v>4043</v>
      </c>
      <c r="D1321" s="8" t="s">
        <v>4044</v>
      </c>
      <c r="E1321" s="8" t="s">
        <v>576</v>
      </c>
      <c r="F1321" s="8" t="s">
        <v>4045</v>
      </c>
    </row>
    <row r="1322" customHeight="1" spans="1:6">
      <c r="A1322" s="6">
        <v>1321</v>
      </c>
      <c r="B1322" s="8" t="s">
        <v>4042</v>
      </c>
      <c r="C1322" s="8" t="s">
        <v>4043</v>
      </c>
      <c r="D1322" s="8" t="s">
        <v>4044</v>
      </c>
      <c r="E1322" s="8" t="s">
        <v>576</v>
      </c>
      <c r="F1322" s="8" t="s">
        <v>4045</v>
      </c>
    </row>
    <row r="1323" customHeight="1" spans="1:6">
      <c r="A1323" s="6">
        <v>1322</v>
      </c>
      <c r="B1323" s="8" t="s">
        <v>4042</v>
      </c>
      <c r="C1323" s="8" t="s">
        <v>4043</v>
      </c>
      <c r="D1323" s="8" t="s">
        <v>4044</v>
      </c>
      <c r="E1323" s="8" t="s">
        <v>576</v>
      </c>
      <c r="F1323" s="8" t="s">
        <v>4045</v>
      </c>
    </row>
    <row r="1324" customHeight="1" spans="1:6">
      <c r="A1324" s="6">
        <v>1323</v>
      </c>
      <c r="B1324" s="7" t="str">
        <f>"978-7-121-40934-9"</f>
        <v>978-7-121-40934-9</v>
      </c>
      <c r="C1324" s="7" t="str">
        <f>"RPA财务机器人开发教程：基于UiPath"</f>
        <v>RPA财务机器人开发教程：基于UiPath</v>
      </c>
      <c r="D1324" s="7" t="str">
        <f>"程平编著"</f>
        <v>程平编著</v>
      </c>
      <c r="E1324" s="7" t="str">
        <f>"电子工业出版社"</f>
        <v>电子工业出版社</v>
      </c>
      <c r="F1324" s="7" t="str">
        <f>"F275/693=2D"</f>
        <v>F275/693=2D</v>
      </c>
    </row>
    <row r="1325" customHeight="1" spans="1:6">
      <c r="A1325" s="6">
        <v>1324</v>
      </c>
      <c r="B1325" s="7" t="str">
        <f>"978-7-121-40934-9"</f>
        <v>978-7-121-40934-9</v>
      </c>
      <c r="C1325" s="7" t="str">
        <f>"RPA财务机器人开发教程：基于UiPath"</f>
        <v>RPA财务机器人开发教程：基于UiPath</v>
      </c>
      <c r="D1325" s="7" t="str">
        <f>"程平编著"</f>
        <v>程平编著</v>
      </c>
      <c r="E1325" s="7" t="str">
        <f>"电子工业出版社"</f>
        <v>电子工业出版社</v>
      </c>
      <c r="F1325" s="7" t="str">
        <f>"F275/693=2D"</f>
        <v>F275/693=2D</v>
      </c>
    </row>
    <row r="1326" customHeight="1" spans="1:6">
      <c r="A1326" s="6">
        <v>1325</v>
      </c>
      <c r="B1326" s="7" t="str">
        <f t="shared" ref="B1326:B1328" si="102">"978-7-5429-6923-1"</f>
        <v>978-7-5429-6923-1</v>
      </c>
      <c r="C1326" s="7" t="str">
        <f t="shared" ref="C1326:C1328" si="103">"Excel在财务中的应用"</f>
        <v>Excel在财务中的应用</v>
      </c>
      <c r="D1326" s="7" t="str">
        <f t="shared" ref="D1326:D1328" si="104">"主编崔婕"</f>
        <v>主编崔婕</v>
      </c>
      <c r="E1326" s="7" t="str">
        <f t="shared" ref="E1326:E1328" si="105">"立信会计出版社"</f>
        <v>立信会计出版社</v>
      </c>
      <c r="F1326" s="7" t="str">
        <f t="shared" ref="F1326:F1328" si="106">"F275/796=2D"</f>
        <v>F275/796=2D</v>
      </c>
    </row>
    <row r="1327" customHeight="1" spans="1:6">
      <c r="A1327" s="6">
        <v>1326</v>
      </c>
      <c r="B1327" s="7" t="str">
        <f t="shared" si="102"/>
        <v>978-7-5429-6923-1</v>
      </c>
      <c r="C1327" s="7" t="str">
        <f t="shared" si="103"/>
        <v>Excel在财务中的应用</v>
      </c>
      <c r="D1327" s="7" t="str">
        <f t="shared" si="104"/>
        <v>主编崔婕</v>
      </c>
      <c r="E1327" s="7" t="str">
        <f t="shared" si="105"/>
        <v>立信会计出版社</v>
      </c>
      <c r="F1327" s="7" t="str">
        <f t="shared" si="106"/>
        <v>F275/796=2D</v>
      </c>
    </row>
    <row r="1328" customHeight="1" spans="1:6">
      <c r="A1328" s="6">
        <v>1327</v>
      </c>
      <c r="B1328" s="7" t="str">
        <f t="shared" si="102"/>
        <v>978-7-5429-6923-1</v>
      </c>
      <c r="C1328" s="7" t="str">
        <f t="shared" si="103"/>
        <v>Excel在财务中的应用</v>
      </c>
      <c r="D1328" s="7" t="str">
        <f t="shared" si="104"/>
        <v>主编崔婕</v>
      </c>
      <c r="E1328" s="7" t="str">
        <f t="shared" si="105"/>
        <v>立信会计出版社</v>
      </c>
      <c r="F1328" s="7" t="str">
        <f t="shared" si="106"/>
        <v>F275/796=2D</v>
      </c>
    </row>
    <row r="1329" customHeight="1" spans="1:6">
      <c r="A1329" s="6">
        <v>1328</v>
      </c>
      <c r="B1329" s="8" t="s">
        <v>4046</v>
      </c>
      <c r="C1329" s="8" t="s">
        <v>4047</v>
      </c>
      <c r="D1329" s="8" t="s">
        <v>4048</v>
      </c>
      <c r="E1329" s="8" t="s">
        <v>1667</v>
      </c>
      <c r="F1329" s="8" t="s">
        <v>4049</v>
      </c>
    </row>
    <row r="1330" customHeight="1" spans="1:6">
      <c r="A1330" s="6">
        <v>1329</v>
      </c>
      <c r="B1330" s="8" t="s">
        <v>4046</v>
      </c>
      <c r="C1330" s="8" t="s">
        <v>4047</v>
      </c>
      <c r="D1330" s="8" t="s">
        <v>4048</v>
      </c>
      <c r="E1330" s="8" t="s">
        <v>1667</v>
      </c>
      <c r="F1330" s="8" t="s">
        <v>4049</v>
      </c>
    </row>
    <row r="1331" customHeight="1" spans="1:6">
      <c r="A1331" s="6">
        <v>1330</v>
      </c>
      <c r="B1331" s="8" t="s">
        <v>4050</v>
      </c>
      <c r="C1331" s="8" t="s">
        <v>4051</v>
      </c>
      <c r="D1331" s="8" t="s">
        <v>4052</v>
      </c>
      <c r="E1331" s="8" t="s">
        <v>3180</v>
      </c>
      <c r="F1331" s="8" t="s">
        <v>4053</v>
      </c>
    </row>
    <row r="1332" customHeight="1" spans="1:6">
      <c r="A1332" s="6">
        <v>1331</v>
      </c>
      <c r="B1332" s="8" t="s">
        <v>4050</v>
      </c>
      <c r="C1332" s="8" t="s">
        <v>4051</v>
      </c>
      <c r="D1332" s="8" t="s">
        <v>4052</v>
      </c>
      <c r="E1332" s="8" t="s">
        <v>3180</v>
      </c>
      <c r="F1332" s="8" t="s">
        <v>4053</v>
      </c>
    </row>
    <row r="1333" customHeight="1" spans="1:6">
      <c r="A1333" s="6">
        <v>1332</v>
      </c>
      <c r="B1333" s="8" t="s">
        <v>4054</v>
      </c>
      <c r="C1333" s="8" t="s">
        <v>4055</v>
      </c>
      <c r="D1333" s="8" t="s">
        <v>4056</v>
      </c>
      <c r="E1333" s="8" t="s">
        <v>530</v>
      </c>
      <c r="F1333" s="8" t="s">
        <v>4057</v>
      </c>
    </row>
    <row r="1334" customHeight="1" spans="1:6">
      <c r="A1334" s="6">
        <v>1333</v>
      </c>
      <c r="B1334" s="8" t="s">
        <v>4054</v>
      </c>
      <c r="C1334" s="8" t="s">
        <v>4055</v>
      </c>
      <c r="D1334" s="8" t="s">
        <v>4056</v>
      </c>
      <c r="E1334" s="8" t="s">
        <v>530</v>
      </c>
      <c r="F1334" s="8" t="s">
        <v>4057</v>
      </c>
    </row>
    <row r="1335" customHeight="1" spans="1:6">
      <c r="A1335" s="6">
        <v>1334</v>
      </c>
      <c r="B1335" s="8" t="s">
        <v>4058</v>
      </c>
      <c r="C1335" s="8" t="s">
        <v>4047</v>
      </c>
      <c r="D1335" s="8" t="s">
        <v>4059</v>
      </c>
      <c r="E1335" s="8" t="s">
        <v>710</v>
      </c>
      <c r="F1335" s="8" t="s">
        <v>4060</v>
      </c>
    </row>
    <row r="1336" customHeight="1" spans="1:6">
      <c r="A1336" s="6">
        <v>1335</v>
      </c>
      <c r="B1336" s="8" t="s">
        <v>4058</v>
      </c>
      <c r="C1336" s="8" t="s">
        <v>4047</v>
      </c>
      <c r="D1336" s="8" t="s">
        <v>4059</v>
      </c>
      <c r="E1336" s="8" t="s">
        <v>710</v>
      </c>
      <c r="F1336" s="8" t="s">
        <v>4060</v>
      </c>
    </row>
    <row r="1337" customHeight="1" spans="1:6">
      <c r="A1337" s="6">
        <v>1336</v>
      </c>
      <c r="B1337" s="8" t="s">
        <v>4061</v>
      </c>
      <c r="C1337" s="8" t="s">
        <v>4055</v>
      </c>
      <c r="D1337" s="8" t="s">
        <v>4062</v>
      </c>
      <c r="E1337" s="8" t="s">
        <v>530</v>
      </c>
      <c r="F1337" s="8" t="s">
        <v>4063</v>
      </c>
    </row>
    <row r="1338" customHeight="1" spans="1:6">
      <c r="A1338" s="6">
        <v>1337</v>
      </c>
      <c r="B1338" s="8" t="s">
        <v>4061</v>
      </c>
      <c r="C1338" s="8" t="s">
        <v>4055</v>
      </c>
      <c r="D1338" s="8" t="s">
        <v>4062</v>
      </c>
      <c r="E1338" s="8" t="s">
        <v>530</v>
      </c>
      <c r="F1338" s="8" t="s">
        <v>4063</v>
      </c>
    </row>
    <row r="1339" customHeight="1" spans="1:6">
      <c r="A1339" s="6">
        <v>1338</v>
      </c>
      <c r="B1339" s="8" t="s">
        <v>4064</v>
      </c>
      <c r="C1339" s="8" t="s">
        <v>4065</v>
      </c>
      <c r="D1339" s="8" t="s">
        <v>4066</v>
      </c>
      <c r="E1339" s="8" t="s">
        <v>3146</v>
      </c>
      <c r="F1339" s="8" t="s">
        <v>4067</v>
      </c>
    </row>
    <row r="1340" customHeight="1" spans="1:6">
      <c r="A1340" s="6">
        <v>1339</v>
      </c>
      <c r="B1340" s="8" t="s">
        <v>4064</v>
      </c>
      <c r="C1340" s="8" t="s">
        <v>4065</v>
      </c>
      <c r="D1340" s="8" t="s">
        <v>4066</v>
      </c>
      <c r="E1340" s="8" t="s">
        <v>3146</v>
      </c>
      <c r="F1340" s="8" t="s">
        <v>4067</v>
      </c>
    </row>
    <row r="1341" customHeight="1" spans="1:6">
      <c r="A1341" s="6">
        <v>1340</v>
      </c>
      <c r="B1341" s="8" t="s">
        <v>4064</v>
      </c>
      <c r="C1341" s="8" t="s">
        <v>4065</v>
      </c>
      <c r="D1341" s="8" t="s">
        <v>4066</v>
      </c>
      <c r="E1341" s="8" t="s">
        <v>3146</v>
      </c>
      <c r="F1341" s="8" t="s">
        <v>4067</v>
      </c>
    </row>
    <row r="1342" customHeight="1" spans="1:6">
      <c r="A1342" s="6">
        <v>1341</v>
      </c>
      <c r="B1342" s="8" t="s">
        <v>4068</v>
      </c>
      <c r="C1342" s="8" t="s">
        <v>4069</v>
      </c>
      <c r="D1342" s="8" t="s">
        <v>4070</v>
      </c>
      <c r="E1342" s="8" t="s">
        <v>530</v>
      </c>
      <c r="F1342" s="8" t="s">
        <v>4071</v>
      </c>
    </row>
    <row r="1343" customHeight="1" spans="1:6">
      <c r="A1343" s="6">
        <v>1342</v>
      </c>
      <c r="B1343" s="8" t="s">
        <v>4068</v>
      </c>
      <c r="C1343" s="8" t="s">
        <v>4069</v>
      </c>
      <c r="D1343" s="8" t="s">
        <v>4070</v>
      </c>
      <c r="E1343" s="8" t="s">
        <v>530</v>
      </c>
      <c r="F1343" s="8" t="s">
        <v>4071</v>
      </c>
    </row>
    <row r="1344" customHeight="1" spans="1:6">
      <c r="A1344" s="6">
        <v>1343</v>
      </c>
      <c r="B1344" s="8" t="s">
        <v>4072</v>
      </c>
      <c r="C1344" s="8" t="s">
        <v>4073</v>
      </c>
      <c r="D1344" s="8" t="s">
        <v>4074</v>
      </c>
      <c r="E1344" s="8" t="s">
        <v>2161</v>
      </c>
      <c r="F1344" s="8" t="s">
        <v>4075</v>
      </c>
    </row>
    <row r="1345" customHeight="1" spans="1:6">
      <c r="A1345" s="6">
        <v>1344</v>
      </c>
      <c r="B1345" s="8" t="s">
        <v>4072</v>
      </c>
      <c r="C1345" s="8" t="s">
        <v>4073</v>
      </c>
      <c r="D1345" s="8" t="s">
        <v>4074</v>
      </c>
      <c r="E1345" s="8" t="s">
        <v>2161</v>
      </c>
      <c r="F1345" s="8" t="s">
        <v>4075</v>
      </c>
    </row>
    <row r="1346" customHeight="1" spans="1:6">
      <c r="A1346" s="6">
        <v>1345</v>
      </c>
      <c r="B1346" s="8" t="s">
        <v>4072</v>
      </c>
      <c r="C1346" s="8" t="s">
        <v>4073</v>
      </c>
      <c r="D1346" s="8" t="s">
        <v>4074</v>
      </c>
      <c r="E1346" s="8" t="s">
        <v>2161</v>
      </c>
      <c r="F1346" s="8" t="s">
        <v>4075</v>
      </c>
    </row>
    <row r="1347" customHeight="1" spans="1:6">
      <c r="A1347" s="6">
        <v>1346</v>
      </c>
      <c r="B1347" s="8" t="s">
        <v>4076</v>
      </c>
      <c r="C1347" s="8" t="s">
        <v>4077</v>
      </c>
      <c r="D1347" s="8" t="s">
        <v>4078</v>
      </c>
      <c r="E1347" s="8" t="s">
        <v>2566</v>
      </c>
      <c r="F1347" s="8" t="s">
        <v>4079</v>
      </c>
    </row>
    <row r="1348" customHeight="1" spans="1:6">
      <c r="A1348" s="6">
        <v>1347</v>
      </c>
      <c r="B1348" s="8" t="s">
        <v>4076</v>
      </c>
      <c r="C1348" s="8" t="s">
        <v>4077</v>
      </c>
      <c r="D1348" s="8" t="s">
        <v>4078</v>
      </c>
      <c r="E1348" s="8" t="s">
        <v>2566</v>
      </c>
      <c r="F1348" s="8" t="s">
        <v>4079</v>
      </c>
    </row>
    <row r="1349" customHeight="1" spans="1:6">
      <c r="A1349" s="6">
        <v>1348</v>
      </c>
      <c r="B1349" s="8" t="s">
        <v>4076</v>
      </c>
      <c r="C1349" s="8" t="s">
        <v>4077</v>
      </c>
      <c r="D1349" s="8" t="s">
        <v>4078</v>
      </c>
      <c r="E1349" s="8" t="s">
        <v>2566</v>
      </c>
      <c r="F1349" s="8" t="s">
        <v>4079</v>
      </c>
    </row>
    <row r="1350" customHeight="1" spans="1:6">
      <c r="A1350" s="6">
        <v>1349</v>
      </c>
      <c r="B1350" s="8" t="s">
        <v>4080</v>
      </c>
      <c r="C1350" s="8" t="s">
        <v>4073</v>
      </c>
      <c r="D1350" s="8" t="s">
        <v>4081</v>
      </c>
      <c r="E1350" s="8" t="s">
        <v>530</v>
      </c>
      <c r="F1350" s="8" t="s">
        <v>4082</v>
      </c>
    </row>
    <row r="1351" customHeight="1" spans="1:6">
      <c r="A1351" s="6">
        <v>1350</v>
      </c>
      <c r="B1351" s="8" t="s">
        <v>4080</v>
      </c>
      <c r="C1351" s="8" t="s">
        <v>4073</v>
      </c>
      <c r="D1351" s="8" t="s">
        <v>4081</v>
      </c>
      <c r="E1351" s="8" t="s">
        <v>530</v>
      </c>
      <c r="F1351" s="8" t="s">
        <v>4082</v>
      </c>
    </row>
    <row r="1352" customHeight="1" spans="1:6">
      <c r="A1352" s="6">
        <v>1351</v>
      </c>
      <c r="B1352" s="8" t="s">
        <v>4080</v>
      </c>
      <c r="C1352" s="8" t="s">
        <v>4073</v>
      </c>
      <c r="D1352" s="8" t="s">
        <v>4081</v>
      </c>
      <c r="E1352" s="8" t="s">
        <v>530</v>
      </c>
      <c r="F1352" s="8" t="s">
        <v>4082</v>
      </c>
    </row>
    <row r="1353" customHeight="1" spans="1:6">
      <c r="A1353" s="6">
        <v>1352</v>
      </c>
      <c r="B1353" s="8" t="s">
        <v>4083</v>
      </c>
      <c r="C1353" s="8" t="s">
        <v>4084</v>
      </c>
      <c r="D1353" s="8" t="s">
        <v>4085</v>
      </c>
      <c r="E1353" s="8" t="s">
        <v>1189</v>
      </c>
      <c r="F1353" s="8" t="s">
        <v>4086</v>
      </c>
    </row>
    <row r="1354" customHeight="1" spans="1:6">
      <c r="A1354" s="6">
        <v>1353</v>
      </c>
      <c r="B1354" s="8" t="s">
        <v>4083</v>
      </c>
      <c r="C1354" s="8" t="s">
        <v>4084</v>
      </c>
      <c r="D1354" s="8" t="s">
        <v>4085</v>
      </c>
      <c r="E1354" s="8" t="s">
        <v>1189</v>
      </c>
      <c r="F1354" s="8" t="s">
        <v>4086</v>
      </c>
    </row>
    <row r="1355" customHeight="1" spans="1:6">
      <c r="A1355" s="6">
        <v>1354</v>
      </c>
      <c r="B1355" s="8" t="s">
        <v>4083</v>
      </c>
      <c r="C1355" s="8" t="s">
        <v>4084</v>
      </c>
      <c r="D1355" s="8" t="s">
        <v>4085</v>
      </c>
      <c r="E1355" s="8" t="s">
        <v>1189</v>
      </c>
      <c r="F1355" s="8" t="s">
        <v>4086</v>
      </c>
    </row>
    <row r="1356" customHeight="1" spans="1:6">
      <c r="A1356" s="6">
        <v>1355</v>
      </c>
      <c r="B1356" s="8" t="s">
        <v>4087</v>
      </c>
      <c r="C1356" s="8" t="s">
        <v>4088</v>
      </c>
      <c r="D1356" s="8" t="s">
        <v>4089</v>
      </c>
      <c r="E1356" s="8" t="s">
        <v>239</v>
      </c>
      <c r="F1356" s="8" t="s">
        <v>4090</v>
      </c>
    </row>
    <row r="1357" customHeight="1" spans="1:6">
      <c r="A1357" s="6">
        <v>1356</v>
      </c>
      <c r="B1357" s="8" t="s">
        <v>4087</v>
      </c>
      <c r="C1357" s="8" t="s">
        <v>4088</v>
      </c>
      <c r="D1357" s="8" t="s">
        <v>4089</v>
      </c>
      <c r="E1357" s="8" t="s">
        <v>239</v>
      </c>
      <c r="F1357" s="8" t="s">
        <v>4090</v>
      </c>
    </row>
    <row r="1358" customHeight="1" spans="1:6">
      <c r="A1358" s="6">
        <v>1357</v>
      </c>
      <c r="B1358" s="8" t="s">
        <v>4091</v>
      </c>
      <c r="C1358" s="8" t="s">
        <v>4092</v>
      </c>
      <c r="D1358" s="8" t="s">
        <v>4093</v>
      </c>
      <c r="E1358" s="8" t="s">
        <v>1189</v>
      </c>
      <c r="F1358" s="8" t="s">
        <v>4094</v>
      </c>
    </row>
    <row r="1359" customHeight="1" spans="1:6">
      <c r="A1359" s="6">
        <v>1358</v>
      </c>
      <c r="B1359" s="8" t="s">
        <v>4091</v>
      </c>
      <c r="C1359" s="8" t="s">
        <v>4092</v>
      </c>
      <c r="D1359" s="8" t="s">
        <v>4093</v>
      </c>
      <c r="E1359" s="8" t="s">
        <v>1189</v>
      </c>
      <c r="F1359" s="8" t="s">
        <v>4094</v>
      </c>
    </row>
    <row r="1360" customHeight="1" spans="1:6">
      <c r="A1360" s="6">
        <v>1359</v>
      </c>
      <c r="B1360" s="8" t="s">
        <v>4091</v>
      </c>
      <c r="C1360" s="8" t="s">
        <v>4092</v>
      </c>
      <c r="D1360" s="8" t="s">
        <v>4093</v>
      </c>
      <c r="E1360" s="8" t="s">
        <v>1189</v>
      </c>
      <c r="F1360" s="8" t="s">
        <v>4094</v>
      </c>
    </row>
    <row r="1361" customHeight="1" spans="1:6">
      <c r="A1361" s="6">
        <v>1360</v>
      </c>
      <c r="B1361" s="8" t="s">
        <v>4095</v>
      </c>
      <c r="C1361" s="8" t="s">
        <v>4096</v>
      </c>
      <c r="D1361" s="8" t="s">
        <v>4097</v>
      </c>
      <c r="E1361" s="8" t="s">
        <v>530</v>
      </c>
      <c r="F1361" s="8" t="s">
        <v>4098</v>
      </c>
    </row>
    <row r="1362" customHeight="1" spans="1:6">
      <c r="A1362" s="6">
        <v>1361</v>
      </c>
      <c r="B1362" s="8" t="s">
        <v>4095</v>
      </c>
      <c r="C1362" s="8" t="s">
        <v>4096</v>
      </c>
      <c r="D1362" s="8" t="s">
        <v>4097</v>
      </c>
      <c r="E1362" s="8" t="s">
        <v>530</v>
      </c>
      <c r="F1362" s="8" t="s">
        <v>4098</v>
      </c>
    </row>
    <row r="1363" customHeight="1" spans="1:6">
      <c r="A1363" s="6">
        <v>1362</v>
      </c>
      <c r="B1363" s="8" t="s">
        <v>4099</v>
      </c>
      <c r="C1363" s="8" t="s">
        <v>4100</v>
      </c>
      <c r="D1363" s="8" t="s">
        <v>4101</v>
      </c>
      <c r="E1363" s="8" t="s">
        <v>375</v>
      </c>
      <c r="F1363" s="8" t="s">
        <v>4102</v>
      </c>
    </row>
    <row r="1364" customHeight="1" spans="1:6">
      <c r="A1364" s="6">
        <v>1363</v>
      </c>
      <c r="B1364" s="8" t="s">
        <v>4099</v>
      </c>
      <c r="C1364" s="8" t="s">
        <v>4100</v>
      </c>
      <c r="D1364" s="8" t="s">
        <v>4101</v>
      </c>
      <c r="E1364" s="8" t="s">
        <v>375</v>
      </c>
      <c r="F1364" s="8" t="s">
        <v>4102</v>
      </c>
    </row>
    <row r="1365" customHeight="1" spans="1:6">
      <c r="A1365" s="6">
        <v>1364</v>
      </c>
      <c r="B1365" s="8" t="s">
        <v>4103</v>
      </c>
      <c r="C1365" s="8" t="s">
        <v>4104</v>
      </c>
      <c r="D1365" s="8" t="s">
        <v>4105</v>
      </c>
      <c r="E1365" s="8" t="s">
        <v>2267</v>
      </c>
      <c r="F1365" s="8" t="s">
        <v>4106</v>
      </c>
    </row>
    <row r="1366" customHeight="1" spans="1:6">
      <c r="A1366" s="6">
        <v>1365</v>
      </c>
      <c r="B1366" s="8" t="s">
        <v>4103</v>
      </c>
      <c r="C1366" s="8" t="s">
        <v>4104</v>
      </c>
      <c r="D1366" s="8" t="s">
        <v>4105</v>
      </c>
      <c r="E1366" s="8" t="s">
        <v>2267</v>
      </c>
      <c r="F1366" s="8" t="s">
        <v>4106</v>
      </c>
    </row>
    <row r="1367" customHeight="1" spans="1:6">
      <c r="A1367" s="6">
        <v>1366</v>
      </c>
      <c r="B1367" s="8" t="s">
        <v>4107</v>
      </c>
      <c r="C1367" s="8" t="s">
        <v>4108</v>
      </c>
      <c r="D1367" s="8" t="s">
        <v>4109</v>
      </c>
      <c r="E1367" s="8" t="s">
        <v>2566</v>
      </c>
      <c r="F1367" s="8" t="s">
        <v>4110</v>
      </c>
    </row>
    <row r="1368" customHeight="1" spans="1:6">
      <c r="A1368" s="6">
        <v>1367</v>
      </c>
      <c r="B1368" s="8" t="s">
        <v>4107</v>
      </c>
      <c r="C1368" s="8" t="s">
        <v>4108</v>
      </c>
      <c r="D1368" s="8" t="s">
        <v>4109</v>
      </c>
      <c r="E1368" s="8" t="s">
        <v>2566</v>
      </c>
      <c r="F1368" s="8" t="s">
        <v>4110</v>
      </c>
    </row>
    <row r="1369" customHeight="1" spans="1:6">
      <c r="A1369" s="6">
        <v>1368</v>
      </c>
      <c r="B1369" s="8" t="s">
        <v>4107</v>
      </c>
      <c r="C1369" s="8" t="s">
        <v>4108</v>
      </c>
      <c r="D1369" s="8" t="s">
        <v>4109</v>
      </c>
      <c r="E1369" s="8" t="s">
        <v>2566</v>
      </c>
      <c r="F1369" s="8" t="s">
        <v>4110</v>
      </c>
    </row>
    <row r="1370" customHeight="1" spans="1:6">
      <c r="A1370" s="6">
        <v>1369</v>
      </c>
      <c r="B1370" s="8" t="s">
        <v>4111</v>
      </c>
      <c r="C1370" s="8" t="s">
        <v>4112</v>
      </c>
      <c r="D1370" s="8" t="s">
        <v>4113</v>
      </c>
      <c r="E1370" s="8" t="s">
        <v>1189</v>
      </c>
      <c r="F1370" s="8" t="s">
        <v>4114</v>
      </c>
    </row>
    <row r="1371" customHeight="1" spans="1:6">
      <c r="A1371" s="6">
        <v>1370</v>
      </c>
      <c r="B1371" s="8" t="s">
        <v>4111</v>
      </c>
      <c r="C1371" s="8" t="s">
        <v>4112</v>
      </c>
      <c r="D1371" s="8" t="s">
        <v>4113</v>
      </c>
      <c r="E1371" s="8" t="s">
        <v>1189</v>
      </c>
      <c r="F1371" s="8" t="s">
        <v>4114</v>
      </c>
    </row>
    <row r="1372" customHeight="1" spans="1:6">
      <c r="A1372" s="6">
        <v>1371</v>
      </c>
      <c r="B1372" s="8" t="s">
        <v>4111</v>
      </c>
      <c r="C1372" s="8" t="s">
        <v>4112</v>
      </c>
      <c r="D1372" s="8" t="s">
        <v>4113</v>
      </c>
      <c r="E1372" s="8" t="s">
        <v>1189</v>
      </c>
      <c r="F1372" s="8" t="s">
        <v>4114</v>
      </c>
    </row>
    <row r="1373" customHeight="1" spans="1:6">
      <c r="A1373" s="6">
        <v>1372</v>
      </c>
      <c r="B1373" s="8" t="s">
        <v>4115</v>
      </c>
      <c r="C1373" s="8" t="s">
        <v>4116</v>
      </c>
      <c r="D1373" s="8" t="s">
        <v>4117</v>
      </c>
      <c r="E1373" s="8" t="s">
        <v>76</v>
      </c>
      <c r="F1373" s="8" t="s">
        <v>4118</v>
      </c>
    </row>
    <row r="1374" customHeight="1" spans="1:6">
      <c r="A1374" s="6">
        <v>1373</v>
      </c>
      <c r="B1374" s="8" t="s">
        <v>4115</v>
      </c>
      <c r="C1374" s="8" t="s">
        <v>4116</v>
      </c>
      <c r="D1374" s="8" t="s">
        <v>4117</v>
      </c>
      <c r="E1374" s="8" t="s">
        <v>76</v>
      </c>
      <c r="F1374" s="8" t="s">
        <v>4118</v>
      </c>
    </row>
    <row r="1375" customHeight="1" spans="1:6">
      <c r="A1375" s="6">
        <v>1374</v>
      </c>
      <c r="B1375" s="8" t="s">
        <v>4115</v>
      </c>
      <c r="C1375" s="8" t="s">
        <v>4116</v>
      </c>
      <c r="D1375" s="8" t="s">
        <v>4117</v>
      </c>
      <c r="E1375" s="8" t="s">
        <v>76</v>
      </c>
      <c r="F1375" s="8" t="s">
        <v>4118</v>
      </c>
    </row>
    <row r="1376" customHeight="1" spans="1:6">
      <c r="A1376" s="6">
        <v>1375</v>
      </c>
      <c r="B1376" s="8" t="s">
        <v>4119</v>
      </c>
      <c r="C1376" s="8" t="s">
        <v>4120</v>
      </c>
      <c r="D1376" s="8" t="s">
        <v>3809</v>
      </c>
      <c r="E1376" s="8" t="s">
        <v>2284</v>
      </c>
      <c r="F1376" s="8" t="s">
        <v>4121</v>
      </c>
    </row>
    <row r="1377" customHeight="1" spans="1:6">
      <c r="A1377" s="6">
        <v>1376</v>
      </c>
      <c r="B1377" s="8" t="s">
        <v>4119</v>
      </c>
      <c r="C1377" s="8" t="s">
        <v>4120</v>
      </c>
      <c r="D1377" s="8" t="s">
        <v>3809</v>
      </c>
      <c r="E1377" s="8" t="s">
        <v>2284</v>
      </c>
      <c r="F1377" s="8" t="s">
        <v>4121</v>
      </c>
    </row>
    <row r="1378" customHeight="1" spans="1:6">
      <c r="A1378" s="6">
        <v>1377</v>
      </c>
      <c r="B1378" s="8" t="s">
        <v>4119</v>
      </c>
      <c r="C1378" s="8" t="s">
        <v>4120</v>
      </c>
      <c r="D1378" s="8" t="s">
        <v>3809</v>
      </c>
      <c r="E1378" s="8" t="s">
        <v>2284</v>
      </c>
      <c r="F1378" s="8" t="s">
        <v>4121</v>
      </c>
    </row>
    <row r="1379" customHeight="1" spans="1:6">
      <c r="A1379" s="6">
        <v>1378</v>
      </c>
      <c r="B1379" s="7" t="str">
        <f>"978-7-5576-9429-6"</f>
        <v>978-7-5576-9429-6</v>
      </c>
      <c r="C1379" s="7" t="str">
        <f>"小企业会计岗前实操"</f>
        <v>小企业会计岗前实操</v>
      </c>
      <c r="D1379" s="7" t="str">
        <f>"主编王秀娟， 孙晓敏， 王欢"</f>
        <v>主编王秀娟， 孙晓敏， 王欢</v>
      </c>
      <c r="E1379" s="7" t="str">
        <f>"天津科学技术出版社"</f>
        <v>天津科学技术出版社</v>
      </c>
      <c r="F1379" s="7" t="str">
        <f>"F276.3/325"</f>
        <v>F276.3/325</v>
      </c>
    </row>
    <row r="1380" customHeight="1" spans="1:6">
      <c r="A1380" s="6">
        <v>1379</v>
      </c>
      <c r="B1380" s="7" t="str">
        <f>"978-7-5576-9429-6"</f>
        <v>978-7-5576-9429-6</v>
      </c>
      <c r="C1380" s="7" t="str">
        <f>"小企业会计岗前实操"</f>
        <v>小企业会计岗前实操</v>
      </c>
      <c r="D1380" s="7" t="str">
        <f>"主编王秀娟， 孙晓敏， 王欢"</f>
        <v>主编王秀娟， 孙晓敏， 王欢</v>
      </c>
      <c r="E1380" s="7" t="str">
        <f>"天津科学技术出版社"</f>
        <v>天津科学技术出版社</v>
      </c>
      <c r="F1380" s="7" t="str">
        <f>"F276.3/325"</f>
        <v>F276.3/325</v>
      </c>
    </row>
    <row r="1381" customHeight="1" spans="1:6">
      <c r="A1381" s="6">
        <v>1380</v>
      </c>
      <c r="B1381" s="7" t="str">
        <f>"978-7-111-68080-2"</f>
        <v>978-7-111-68080-2</v>
      </c>
      <c r="C1381" s="7" t="str">
        <f>"中小企业融资：案例与实务指引"</f>
        <v>中小企业融资：案例与实务指引</v>
      </c>
      <c r="D1381" s="7" t="str">
        <f>"吴瑕， 千玉锦编著"</f>
        <v>吴瑕， 千玉锦编著</v>
      </c>
      <c r="E1381" s="7" t="str">
        <f>"机械工业出版社"</f>
        <v>机械工业出版社</v>
      </c>
      <c r="F1381" s="7" t="str">
        <f>"F276.3/326"</f>
        <v>F276.3/326</v>
      </c>
    </row>
    <row r="1382" customHeight="1" spans="1:6">
      <c r="A1382" s="6">
        <v>1381</v>
      </c>
      <c r="B1382" s="7" t="str">
        <f>"978-7-111-68080-2"</f>
        <v>978-7-111-68080-2</v>
      </c>
      <c r="C1382" s="7" t="str">
        <f>"中小企业融资：案例与实务指引"</f>
        <v>中小企业融资：案例与实务指引</v>
      </c>
      <c r="D1382" s="7" t="str">
        <f>"吴瑕， 千玉锦编著"</f>
        <v>吴瑕， 千玉锦编著</v>
      </c>
      <c r="E1382" s="7" t="str">
        <f>"机械工业出版社"</f>
        <v>机械工业出版社</v>
      </c>
      <c r="F1382" s="7" t="str">
        <f>"F276.3/326"</f>
        <v>F276.3/326</v>
      </c>
    </row>
    <row r="1383" customHeight="1" spans="1:6">
      <c r="A1383" s="6">
        <v>1382</v>
      </c>
      <c r="B1383" s="8" t="s">
        <v>4122</v>
      </c>
      <c r="C1383" s="8" t="s">
        <v>4123</v>
      </c>
      <c r="D1383" s="8" t="s">
        <v>4124</v>
      </c>
      <c r="E1383" s="8" t="s">
        <v>4125</v>
      </c>
      <c r="F1383" s="8" t="s">
        <v>4126</v>
      </c>
    </row>
    <row r="1384" customHeight="1" spans="1:6">
      <c r="A1384" s="6">
        <v>1383</v>
      </c>
      <c r="B1384" s="8" t="s">
        <v>4122</v>
      </c>
      <c r="C1384" s="8" t="s">
        <v>4123</v>
      </c>
      <c r="D1384" s="8" t="s">
        <v>4124</v>
      </c>
      <c r="E1384" s="8" t="s">
        <v>4125</v>
      </c>
      <c r="F1384" s="8" t="s">
        <v>4126</v>
      </c>
    </row>
    <row r="1385" customHeight="1" spans="1:6">
      <c r="A1385" s="6">
        <v>1384</v>
      </c>
      <c r="B1385" s="8" t="s">
        <v>4127</v>
      </c>
      <c r="C1385" s="8" t="s">
        <v>4128</v>
      </c>
      <c r="D1385" s="8" t="s">
        <v>4129</v>
      </c>
      <c r="E1385" s="8" t="s">
        <v>2566</v>
      </c>
      <c r="F1385" s="8" t="s">
        <v>4130</v>
      </c>
    </row>
    <row r="1386" customHeight="1" spans="1:6">
      <c r="A1386" s="6">
        <v>1385</v>
      </c>
      <c r="B1386" s="8" t="s">
        <v>4127</v>
      </c>
      <c r="C1386" s="8" t="s">
        <v>4128</v>
      </c>
      <c r="D1386" s="8" t="s">
        <v>4129</v>
      </c>
      <c r="E1386" s="8" t="s">
        <v>2566</v>
      </c>
      <c r="F1386" s="8" t="s">
        <v>4130</v>
      </c>
    </row>
    <row r="1387" customHeight="1" spans="1:6">
      <c r="A1387" s="6">
        <v>1386</v>
      </c>
      <c r="B1387" s="8" t="s">
        <v>4131</v>
      </c>
      <c r="C1387" s="8" t="s">
        <v>4132</v>
      </c>
      <c r="D1387" s="8" t="s">
        <v>4133</v>
      </c>
      <c r="E1387" s="8" t="s">
        <v>311</v>
      </c>
      <c r="F1387" s="8" t="s">
        <v>4134</v>
      </c>
    </row>
    <row r="1388" customHeight="1" spans="1:6">
      <c r="A1388" s="6">
        <v>1387</v>
      </c>
      <c r="B1388" s="8" t="s">
        <v>4131</v>
      </c>
      <c r="C1388" s="8" t="s">
        <v>4132</v>
      </c>
      <c r="D1388" s="8" t="s">
        <v>4133</v>
      </c>
      <c r="E1388" s="8" t="s">
        <v>311</v>
      </c>
      <c r="F1388" s="8" t="s">
        <v>4134</v>
      </c>
    </row>
    <row r="1389" customHeight="1" spans="1:6">
      <c r="A1389" s="6">
        <v>1388</v>
      </c>
      <c r="B1389" s="8" t="s">
        <v>4135</v>
      </c>
      <c r="C1389" s="8" t="s">
        <v>4136</v>
      </c>
      <c r="D1389" s="8" t="s">
        <v>4137</v>
      </c>
      <c r="E1389" s="8" t="s">
        <v>571</v>
      </c>
      <c r="F1389" s="8" t="s">
        <v>4138</v>
      </c>
    </row>
    <row r="1390" customHeight="1" spans="1:6">
      <c r="A1390" s="6">
        <v>1389</v>
      </c>
      <c r="B1390" s="8" t="s">
        <v>4135</v>
      </c>
      <c r="C1390" s="8" t="s">
        <v>4136</v>
      </c>
      <c r="D1390" s="8" t="s">
        <v>4137</v>
      </c>
      <c r="E1390" s="8" t="s">
        <v>571</v>
      </c>
      <c r="F1390" s="8" t="s">
        <v>4138</v>
      </c>
    </row>
    <row r="1391" customHeight="1" spans="1:6">
      <c r="A1391" s="6">
        <v>1390</v>
      </c>
      <c r="B1391" s="8" t="s">
        <v>4139</v>
      </c>
      <c r="C1391" s="8" t="s">
        <v>4140</v>
      </c>
      <c r="D1391" s="8" t="s">
        <v>4141</v>
      </c>
      <c r="E1391" s="8" t="s">
        <v>239</v>
      </c>
      <c r="F1391" s="8" t="s">
        <v>4142</v>
      </c>
    </row>
    <row r="1392" customHeight="1" spans="1:6">
      <c r="A1392" s="6">
        <v>1391</v>
      </c>
      <c r="B1392" s="8" t="s">
        <v>4139</v>
      </c>
      <c r="C1392" s="8" t="s">
        <v>4140</v>
      </c>
      <c r="D1392" s="8" t="s">
        <v>4141</v>
      </c>
      <c r="E1392" s="8" t="s">
        <v>239</v>
      </c>
      <c r="F1392" s="8" t="s">
        <v>4142</v>
      </c>
    </row>
    <row r="1393" customHeight="1" spans="1:6">
      <c r="A1393" s="6">
        <v>1392</v>
      </c>
      <c r="B1393" s="8" t="s">
        <v>4143</v>
      </c>
      <c r="C1393" s="8" t="s">
        <v>4144</v>
      </c>
      <c r="D1393" s="8" t="s">
        <v>4145</v>
      </c>
      <c r="E1393" s="8" t="s">
        <v>311</v>
      </c>
      <c r="F1393" s="8" t="s">
        <v>4146</v>
      </c>
    </row>
    <row r="1394" customHeight="1" spans="1:6">
      <c r="A1394" s="6">
        <v>1393</v>
      </c>
      <c r="B1394" s="8" t="s">
        <v>4143</v>
      </c>
      <c r="C1394" s="8" t="s">
        <v>4144</v>
      </c>
      <c r="D1394" s="8" t="s">
        <v>4145</v>
      </c>
      <c r="E1394" s="8" t="s">
        <v>311</v>
      </c>
      <c r="F1394" s="8" t="s">
        <v>4146</v>
      </c>
    </row>
    <row r="1395" customHeight="1" spans="1:6">
      <c r="A1395" s="6">
        <v>1394</v>
      </c>
      <c r="B1395" s="8" t="s">
        <v>4147</v>
      </c>
      <c r="C1395" s="8" t="s">
        <v>4148</v>
      </c>
      <c r="D1395" s="8" t="s">
        <v>4149</v>
      </c>
      <c r="E1395" s="8" t="s">
        <v>2230</v>
      </c>
      <c r="F1395" s="8" t="s">
        <v>4150</v>
      </c>
    </row>
    <row r="1396" customHeight="1" spans="1:6">
      <c r="A1396" s="6">
        <v>1395</v>
      </c>
      <c r="B1396" s="8" t="s">
        <v>4147</v>
      </c>
      <c r="C1396" s="8" t="s">
        <v>4148</v>
      </c>
      <c r="D1396" s="8" t="s">
        <v>4149</v>
      </c>
      <c r="E1396" s="8" t="s">
        <v>2230</v>
      </c>
      <c r="F1396" s="8" t="s">
        <v>4150</v>
      </c>
    </row>
    <row r="1397" customHeight="1" spans="1:6">
      <c r="A1397" s="6">
        <v>1396</v>
      </c>
      <c r="B1397" s="8" t="s">
        <v>4151</v>
      </c>
      <c r="C1397" s="8" t="s">
        <v>4152</v>
      </c>
      <c r="D1397" s="8" t="s">
        <v>4153</v>
      </c>
      <c r="E1397" s="8" t="s">
        <v>2212</v>
      </c>
      <c r="F1397" s="8" t="s">
        <v>4154</v>
      </c>
    </row>
    <row r="1398" customHeight="1" spans="1:6">
      <c r="A1398" s="6">
        <v>1397</v>
      </c>
      <c r="B1398" s="8" t="s">
        <v>4151</v>
      </c>
      <c r="C1398" s="8" t="s">
        <v>4152</v>
      </c>
      <c r="D1398" s="8" t="s">
        <v>4153</v>
      </c>
      <c r="E1398" s="8" t="s">
        <v>2212</v>
      </c>
      <c r="F1398" s="8" t="s">
        <v>4154</v>
      </c>
    </row>
    <row r="1399" customHeight="1" spans="1:6">
      <c r="A1399" s="6">
        <v>1398</v>
      </c>
      <c r="B1399" s="8" t="s">
        <v>4155</v>
      </c>
      <c r="C1399" s="8" t="s">
        <v>4156</v>
      </c>
      <c r="D1399" s="8" t="s">
        <v>70</v>
      </c>
      <c r="E1399" s="8" t="s">
        <v>2212</v>
      </c>
      <c r="F1399" s="8" t="s">
        <v>4157</v>
      </c>
    </row>
    <row r="1400" customHeight="1" spans="1:6">
      <c r="A1400" s="6">
        <v>1399</v>
      </c>
      <c r="B1400" s="8" t="s">
        <v>4155</v>
      </c>
      <c r="C1400" s="8" t="s">
        <v>4156</v>
      </c>
      <c r="D1400" s="8" t="s">
        <v>70</v>
      </c>
      <c r="E1400" s="8" t="s">
        <v>2212</v>
      </c>
      <c r="F1400" s="8" t="s">
        <v>4157</v>
      </c>
    </row>
    <row r="1401" customHeight="1" spans="1:6">
      <c r="A1401" s="6">
        <v>1400</v>
      </c>
      <c r="B1401" s="8" t="s">
        <v>4158</v>
      </c>
      <c r="C1401" s="8" t="s">
        <v>4159</v>
      </c>
      <c r="D1401" s="8" t="s">
        <v>4160</v>
      </c>
      <c r="E1401" s="8" t="s">
        <v>375</v>
      </c>
      <c r="F1401" s="8" t="s">
        <v>4161</v>
      </c>
    </row>
    <row r="1402" customHeight="1" spans="1:6">
      <c r="A1402" s="6">
        <v>1401</v>
      </c>
      <c r="B1402" s="8" t="s">
        <v>4158</v>
      </c>
      <c r="C1402" s="8" t="s">
        <v>4159</v>
      </c>
      <c r="D1402" s="8" t="s">
        <v>4160</v>
      </c>
      <c r="E1402" s="8" t="s">
        <v>375</v>
      </c>
      <c r="F1402" s="8" t="s">
        <v>4161</v>
      </c>
    </row>
    <row r="1403" customHeight="1" spans="1:6">
      <c r="A1403" s="6">
        <v>1402</v>
      </c>
      <c r="B1403" s="8" t="s">
        <v>4162</v>
      </c>
      <c r="C1403" s="8" t="s">
        <v>4163</v>
      </c>
      <c r="D1403" s="8" t="s">
        <v>4164</v>
      </c>
      <c r="E1403" s="8" t="s">
        <v>1636</v>
      </c>
      <c r="F1403" s="8" t="s">
        <v>4165</v>
      </c>
    </row>
    <row r="1404" customHeight="1" spans="1:6">
      <c r="A1404" s="6">
        <v>1403</v>
      </c>
      <c r="B1404" s="8" t="s">
        <v>4162</v>
      </c>
      <c r="C1404" s="8" t="s">
        <v>4163</v>
      </c>
      <c r="D1404" s="8" t="s">
        <v>4164</v>
      </c>
      <c r="E1404" s="8" t="s">
        <v>1636</v>
      </c>
      <c r="F1404" s="8" t="s">
        <v>4165</v>
      </c>
    </row>
    <row r="1405" customHeight="1" spans="1:6">
      <c r="A1405" s="6">
        <v>1404</v>
      </c>
      <c r="B1405" s="8" t="s">
        <v>4162</v>
      </c>
      <c r="C1405" s="8" t="s">
        <v>4163</v>
      </c>
      <c r="D1405" s="8" t="s">
        <v>4164</v>
      </c>
      <c r="E1405" s="8" t="s">
        <v>1636</v>
      </c>
      <c r="F1405" s="8" t="s">
        <v>4165</v>
      </c>
    </row>
    <row r="1406" customHeight="1" spans="1:6">
      <c r="A1406" s="6">
        <v>1405</v>
      </c>
      <c r="B1406" s="8" t="s">
        <v>4166</v>
      </c>
      <c r="C1406" s="8" t="s">
        <v>4167</v>
      </c>
      <c r="D1406" s="8" t="s">
        <v>4168</v>
      </c>
      <c r="E1406" s="8" t="s">
        <v>890</v>
      </c>
      <c r="F1406" s="8" t="s">
        <v>4169</v>
      </c>
    </row>
    <row r="1407" customHeight="1" spans="1:6">
      <c r="A1407" s="6">
        <v>1406</v>
      </c>
      <c r="B1407" s="8" t="s">
        <v>4166</v>
      </c>
      <c r="C1407" s="8" t="s">
        <v>4167</v>
      </c>
      <c r="D1407" s="8" t="s">
        <v>4168</v>
      </c>
      <c r="E1407" s="8" t="s">
        <v>890</v>
      </c>
      <c r="F1407" s="8" t="s">
        <v>4169</v>
      </c>
    </row>
    <row r="1408" customHeight="1" spans="1:6">
      <c r="A1408" s="6">
        <v>1407</v>
      </c>
      <c r="B1408" s="8" t="s">
        <v>4166</v>
      </c>
      <c r="C1408" s="8" t="s">
        <v>4167</v>
      </c>
      <c r="D1408" s="8" t="s">
        <v>4168</v>
      </c>
      <c r="E1408" s="8" t="s">
        <v>890</v>
      </c>
      <c r="F1408" s="8" t="s">
        <v>4169</v>
      </c>
    </row>
    <row r="1409" customHeight="1" spans="1:6">
      <c r="A1409" s="6">
        <v>1408</v>
      </c>
      <c r="B1409" s="8" t="s">
        <v>4170</v>
      </c>
      <c r="C1409" s="8" t="s">
        <v>4171</v>
      </c>
      <c r="D1409" s="8" t="s">
        <v>4172</v>
      </c>
      <c r="E1409" s="8" t="s">
        <v>890</v>
      </c>
      <c r="F1409" s="8" t="s">
        <v>4173</v>
      </c>
    </row>
    <row r="1410" customHeight="1" spans="1:6">
      <c r="A1410" s="6">
        <v>1409</v>
      </c>
      <c r="B1410" s="8" t="s">
        <v>4170</v>
      </c>
      <c r="C1410" s="8" t="s">
        <v>4171</v>
      </c>
      <c r="D1410" s="8" t="s">
        <v>4172</v>
      </c>
      <c r="E1410" s="8" t="s">
        <v>890</v>
      </c>
      <c r="F1410" s="8" t="s">
        <v>4173</v>
      </c>
    </row>
    <row r="1411" customHeight="1" spans="1:6">
      <c r="A1411" s="6">
        <v>1410</v>
      </c>
      <c r="B1411" s="8" t="s">
        <v>4170</v>
      </c>
      <c r="C1411" s="8" t="s">
        <v>4171</v>
      </c>
      <c r="D1411" s="8" t="s">
        <v>4172</v>
      </c>
      <c r="E1411" s="8" t="s">
        <v>890</v>
      </c>
      <c r="F1411" s="8" t="s">
        <v>4173</v>
      </c>
    </row>
    <row r="1412" customHeight="1" spans="1:6">
      <c r="A1412" s="6">
        <v>1411</v>
      </c>
      <c r="B1412" s="8" t="s">
        <v>4174</v>
      </c>
      <c r="C1412" s="8" t="s">
        <v>4175</v>
      </c>
      <c r="D1412" s="8" t="s">
        <v>4176</v>
      </c>
      <c r="E1412" s="8" t="s">
        <v>530</v>
      </c>
      <c r="F1412" s="8" t="s">
        <v>4177</v>
      </c>
    </row>
    <row r="1413" customHeight="1" spans="1:6">
      <c r="A1413" s="6">
        <v>1412</v>
      </c>
      <c r="B1413" s="8" t="s">
        <v>4174</v>
      </c>
      <c r="C1413" s="8" t="s">
        <v>4175</v>
      </c>
      <c r="D1413" s="8" t="s">
        <v>4176</v>
      </c>
      <c r="E1413" s="8" t="s">
        <v>530</v>
      </c>
      <c r="F1413" s="8" t="s">
        <v>4177</v>
      </c>
    </row>
    <row r="1414" customHeight="1" spans="1:6">
      <c r="A1414" s="6">
        <v>1413</v>
      </c>
      <c r="B1414" s="9" t="str">
        <f>"978-7-5473-1619-1"</f>
        <v>978-7-5473-1619-1</v>
      </c>
      <c r="C1414" s="9" t="str">
        <f>"直面危机：世界经典案例剖析：learning from world famous case studies"</f>
        <v>直面危机：世界经典案例剖析：learning from world famous case studies</v>
      </c>
      <c r="D1414" s="9" t="str">
        <f>"孙玉红， 王永， 周卫民编著"</f>
        <v>孙玉红， 王永， 周卫民编著</v>
      </c>
      <c r="E1414" s="9" t="str">
        <f>"东方出版中心"</f>
        <v>东方出版中心</v>
      </c>
      <c r="F1414" s="9" t="str">
        <f>"F279.1/16=D"</f>
        <v>F279.1/16=D</v>
      </c>
    </row>
    <row r="1415" customHeight="1" spans="1:6">
      <c r="A1415" s="6">
        <v>1414</v>
      </c>
      <c r="B1415" s="9" t="str">
        <f>"978-7-5473-1619-1"</f>
        <v>978-7-5473-1619-1</v>
      </c>
      <c r="C1415" s="9" t="str">
        <f>"直面危机：世界经典案例剖析：learning from world famous case studies"</f>
        <v>直面危机：世界经典案例剖析：learning from world famous case studies</v>
      </c>
      <c r="D1415" s="9" t="str">
        <f>"孙玉红， 王永， 周卫民编著"</f>
        <v>孙玉红， 王永， 周卫民编著</v>
      </c>
      <c r="E1415" s="9" t="str">
        <f>"东方出版中心"</f>
        <v>东方出版中心</v>
      </c>
      <c r="F1415" s="9" t="str">
        <f>"F279.1/16=D"</f>
        <v>F279.1/16=D</v>
      </c>
    </row>
    <row r="1416" customHeight="1" spans="1:6">
      <c r="A1416" s="6">
        <v>1415</v>
      </c>
      <c r="B1416" s="7" t="str">
        <f>"978-7-111-67825-0"</f>
        <v>978-7-111-67825-0</v>
      </c>
      <c r="C1416" s="7" t="str">
        <f>"设计未来：福特、丰田及其他世界顶级企业的创新和转型之道：how Ford， Toyota， and other world-class organization use lean product development to drive innovation and transform their business"</f>
        <v>设计未来：福特、丰田及其他世界顶级企业的创新和转型之道：how Ford， Toyota， and other world-class organization use lean product development to drive innovation and transform their business</v>
      </c>
      <c r="D1416" s="7" t="str">
        <f>"(美) 詹姆斯·M. 摩根，  杰佛瑞·K. 莱克著James M. Morgan， Jeffrey K. Liker；张炯煜， 李志芳， 洪郁修译"</f>
        <v>(美) 詹姆斯·M. 摩根，  杰佛瑞·K. 莱克著James M. Morgan， Jeffrey K. Liker；张炯煜， 李志芳， 洪郁修译</v>
      </c>
      <c r="E1416" s="7" t="str">
        <f>"机械工业出版社"</f>
        <v>机械工业出版社</v>
      </c>
      <c r="F1416" s="7" t="str">
        <f>"F279.12/13"</f>
        <v>F279.12/13</v>
      </c>
    </row>
    <row r="1417" customHeight="1" spans="1:6">
      <c r="A1417" s="6">
        <v>1416</v>
      </c>
      <c r="B1417" s="7" t="str">
        <f>"978-7-111-67825-0"</f>
        <v>978-7-111-67825-0</v>
      </c>
      <c r="C1417" s="7" t="str">
        <f>"设计未来：福特、丰田及其他世界顶级企业的创新和转型之道：how Ford， Toyota， and other world-class organization use lean product development to drive innovation and transform their business"</f>
        <v>设计未来：福特、丰田及其他世界顶级企业的创新和转型之道：how Ford， Toyota， and other world-class organization use lean product development to drive innovation and transform their business</v>
      </c>
      <c r="D1417" s="7" t="str">
        <f>"(美) 詹姆斯·M. 摩根，  杰佛瑞·K. 莱克著James M. Morgan， Jeffrey K. Liker；张炯煜， 李志芳， 洪郁修译"</f>
        <v>(美) 詹姆斯·M. 摩根，  杰佛瑞·K. 莱克著James M. Morgan， Jeffrey K. Liker；张炯煜， 李志芳， 洪郁修译</v>
      </c>
      <c r="E1417" s="7" t="str">
        <f>"机械工业出版社"</f>
        <v>机械工业出版社</v>
      </c>
      <c r="F1417" s="7" t="str">
        <f>"F279.12/13"</f>
        <v>F279.12/13</v>
      </c>
    </row>
    <row r="1418" customHeight="1" spans="1:6">
      <c r="A1418" s="6">
        <v>1417</v>
      </c>
      <c r="B1418" s="7" t="str">
        <f>"978-7-5164-2471-1"</f>
        <v>978-7-5164-2471-1</v>
      </c>
      <c r="C1418" s="7" t="str">
        <f>"2021中国500强企业发展报告"</f>
        <v>2021中国500强企业发展报告</v>
      </c>
      <c r="D1418" s="7" t="str">
        <f>"中国企业联合会， 中国企业家协会编"</f>
        <v>中国企业联合会， 中国企业家协会编</v>
      </c>
      <c r="E1418" s="7" t="str">
        <f>"企业管理出版社"</f>
        <v>企业管理出版社</v>
      </c>
      <c r="F1418" s="7" t="str">
        <f>"F279.2/143/2021"</f>
        <v>F279.2/143/2021</v>
      </c>
    </row>
    <row r="1419" customHeight="1" spans="1:6">
      <c r="A1419" s="6">
        <v>1418</v>
      </c>
      <c r="B1419" s="8" t="s">
        <v>4178</v>
      </c>
      <c r="C1419" s="8" t="s">
        <v>4179</v>
      </c>
      <c r="D1419" s="8" t="s">
        <v>4180</v>
      </c>
      <c r="E1419" s="8" t="s">
        <v>239</v>
      </c>
      <c r="F1419" s="8" t="s">
        <v>4181</v>
      </c>
    </row>
    <row r="1420" customHeight="1" spans="1:6">
      <c r="A1420" s="6">
        <v>1419</v>
      </c>
      <c r="B1420" s="8" t="s">
        <v>4178</v>
      </c>
      <c r="C1420" s="8" t="s">
        <v>4179</v>
      </c>
      <c r="D1420" s="8" t="s">
        <v>4180</v>
      </c>
      <c r="E1420" s="8" t="s">
        <v>239</v>
      </c>
      <c r="F1420" s="8" t="s">
        <v>4181</v>
      </c>
    </row>
    <row r="1421" customHeight="1" spans="1:6">
      <c r="A1421" s="6">
        <v>1420</v>
      </c>
      <c r="B1421" s="8" t="s">
        <v>4178</v>
      </c>
      <c r="C1421" s="8" t="s">
        <v>4179</v>
      </c>
      <c r="D1421" s="8" t="s">
        <v>4180</v>
      </c>
      <c r="E1421" s="8" t="s">
        <v>239</v>
      </c>
      <c r="F1421" s="8" t="s">
        <v>4181</v>
      </c>
    </row>
    <row r="1422" customHeight="1" spans="1:6">
      <c r="A1422" s="6">
        <v>1421</v>
      </c>
      <c r="B1422" s="8" t="s">
        <v>4182</v>
      </c>
      <c r="C1422" s="8" t="s">
        <v>4183</v>
      </c>
      <c r="D1422" s="8" t="s">
        <v>4184</v>
      </c>
      <c r="E1422" s="8" t="s">
        <v>48</v>
      </c>
      <c r="F1422" s="8" t="s">
        <v>4185</v>
      </c>
    </row>
    <row r="1423" customHeight="1" spans="1:6">
      <c r="A1423" s="6">
        <v>1422</v>
      </c>
      <c r="B1423" s="8" t="s">
        <v>4182</v>
      </c>
      <c r="C1423" s="8" t="s">
        <v>4183</v>
      </c>
      <c r="D1423" s="8" t="s">
        <v>4184</v>
      </c>
      <c r="E1423" s="8" t="s">
        <v>48</v>
      </c>
      <c r="F1423" s="8" t="s">
        <v>4185</v>
      </c>
    </row>
    <row r="1424" customHeight="1" spans="1:6">
      <c r="A1424" s="6">
        <v>1423</v>
      </c>
      <c r="B1424" s="7" t="str">
        <f>"978-7-5164-2457-5"</f>
        <v>978-7-5164-2457-5</v>
      </c>
      <c r="C1424" s="7" t="str">
        <f>"中国企业品牌国际化路径研究：跨国并购视角"</f>
        <v>中国企业品牌国际化路径研究：跨国并购视角</v>
      </c>
      <c r="D1424" s="7" t="str">
        <f>"谌飞龙著"</f>
        <v>谌飞龙著</v>
      </c>
      <c r="E1424" s="7" t="str">
        <f>"企业管理出版社"</f>
        <v>企业管理出版社</v>
      </c>
      <c r="F1424" s="7" t="str">
        <f>"F279.214/6"</f>
        <v>F279.214/6</v>
      </c>
    </row>
    <row r="1425" customHeight="1" spans="1:6">
      <c r="A1425" s="6">
        <v>1424</v>
      </c>
      <c r="B1425" s="7" t="str">
        <f>"978-7-5164-2457-5"</f>
        <v>978-7-5164-2457-5</v>
      </c>
      <c r="C1425" s="7" t="str">
        <f>"中国企业品牌国际化路径研究：跨国并购视角"</f>
        <v>中国企业品牌国际化路径研究：跨国并购视角</v>
      </c>
      <c r="D1425" s="7" t="str">
        <f>"谌飞龙著"</f>
        <v>谌飞龙著</v>
      </c>
      <c r="E1425" s="7" t="str">
        <f>"企业管理出版社"</f>
        <v>企业管理出版社</v>
      </c>
      <c r="F1425" s="7" t="str">
        <f>"F279.214/6"</f>
        <v>F279.214/6</v>
      </c>
    </row>
    <row r="1426" customHeight="1" spans="1:6">
      <c r="A1426" s="6">
        <v>1425</v>
      </c>
      <c r="B1426" s="8" t="s">
        <v>4186</v>
      </c>
      <c r="C1426" s="8" t="s">
        <v>4187</v>
      </c>
      <c r="D1426" s="8" t="s">
        <v>4188</v>
      </c>
      <c r="E1426" s="8" t="s">
        <v>2284</v>
      </c>
      <c r="F1426" s="8" t="s">
        <v>4189</v>
      </c>
    </row>
    <row r="1427" customHeight="1" spans="1:6">
      <c r="A1427" s="6">
        <v>1426</v>
      </c>
      <c r="B1427" s="8" t="s">
        <v>4186</v>
      </c>
      <c r="C1427" s="8" t="s">
        <v>4187</v>
      </c>
      <c r="D1427" s="8" t="s">
        <v>4188</v>
      </c>
      <c r="E1427" s="8" t="s">
        <v>2284</v>
      </c>
      <c r="F1427" s="8" t="s">
        <v>4189</v>
      </c>
    </row>
    <row r="1428" customHeight="1" spans="1:6">
      <c r="A1428" s="6">
        <v>1427</v>
      </c>
      <c r="B1428" s="8" t="s">
        <v>4190</v>
      </c>
      <c r="C1428" s="8" t="s">
        <v>4191</v>
      </c>
      <c r="D1428" s="8" t="s">
        <v>4188</v>
      </c>
      <c r="E1428" s="8" t="s">
        <v>2284</v>
      </c>
      <c r="F1428" s="8" t="s">
        <v>4192</v>
      </c>
    </row>
    <row r="1429" customHeight="1" spans="1:6">
      <c r="A1429" s="6">
        <v>1428</v>
      </c>
      <c r="B1429" s="8" t="s">
        <v>4190</v>
      </c>
      <c r="C1429" s="8" t="s">
        <v>4191</v>
      </c>
      <c r="D1429" s="8" t="s">
        <v>4188</v>
      </c>
      <c r="E1429" s="8" t="s">
        <v>2284</v>
      </c>
      <c r="F1429" s="8" t="s">
        <v>4192</v>
      </c>
    </row>
    <row r="1430" customHeight="1" spans="1:6">
      <c r="A1430" s="6">
        <v>1429</v>
      </c>
      <c r="B1430" s="7" t="str">
        <f>"978-7-5155-2185-5"</f>
        <v>978-7-5155-2185-5</v>
      </c>
      <c r="C1430" s="7" t="str">
        <f>"中国创业数据调查报告"</f>
        <v>中国创业数据调查报告</v>
      </c>
      <c r="D1430" s="7" t="str">
        <f>"经济日报社中国经济趋势研究院， 北京市长城企业战略研究所著"</f>
        <v>经济日报社中国经济趋势研究院， 北京市长城企业战略研究所著</v>
      </c>
      <c r="E1430" s="7" t="str">
        <f>"金城出版社"</f>
        <v>金城出版社</v>
      </c>
      <c r="F1430" s="7" t="str">
        <f>"F279.23/1060"</f>
        <v>F279.23/1060</v>
      </c>
    </row>
    <row r="1431" customHeight="1" spans="1:6">
      <c r="A1431" s="6">
        <v>1430</v>
      </c>
      <c r="B1431" s="7" t="str">
        <f>"978-7-5155-2185-5"</f>
        <v>978-7-5155-2185-5</v>
      </c>
      <c r="C1431" s="7" t="str">
        <f>"中国创业数据调查报告"</f>
        <v>中国创业数据调查报告</v>
      </c>
      <c r="D1431" s="7" t="str">
        <f>"经济日报社中国经济趋势研究院， 北京市长城企业战略研究所著"</f>
        <v>经济日报社中国经济趋势研究院， 北京市长城企业战略研究所著</v>
      </c>
      <c r="E1431" s="7" t="str">
        <f>"金城出版社"</f>
        <v>金城出版社</v>
      </c>
      <c r="F1431" s="7" t="str">
        <f>"F279.23/1060"</f>
        <v>F279.23/1060</v>
      </c>
    </row>
    <row r="1432" customHeight="1" spans="1:6">
      <c r="A1432" s="6">
        <v>1431</v>
      </c>
      <c r="B1432" s="7" t="str">
        <f>"978-7-5217-2412-7"</f>
        <v>978-7-5217-2412-7</v>
      </c>
      <c r="C1432" s="7" t="str">
        <f>"中国式创新：新型创新企业的商业模式"</f>
        <v>中国式创新：新型创新企业的商业模式</v>
      </c>
      <c r="D1432" s="7" t="str">
        <f>"(荷) 马克·格瑞文， (美) 叶恩华， 韦薇著；法意， 王加骥译"</f>
        <v>(荷) 马克·格瑞文， (美) 叶恩华， 韦薇著；法意， 王加骥译</v>
      </c>
      <c r="E1432" s="7" t="str">
        <f>"中信出版集团股份有限公司"</f>
        <v>中信出版集团股份有限公司</v>
      </c>
      <c r="F1432" s="7" t="str">
        <f>"F279.23/1061"</f>
        <v>F279.23/1061</v>
      </c>
    </row>
    <row r="1433" customHeight="1" spans="1:6">
      <c r="A1433" s="6">
        <v>1432</v>
      </c>
      <c r="B1433" s="7" t="str">
        <f>"978-7-5217-2412-7"</f>
        <v>978-7-5217-2412-7</v>
      </c>
      <c r="C1433" s="7" t="str">
        <f>"中国式创新：新型创新企业的商业模式"</f>
        <v>中国式创新：新型创新企业的商业模式</v>
      </c>
      <c r="D1433" s="7" t="str">
        <f>"(荷) 马克·格瑞文， (美) 叶恩华， 韦薇著；法意， 王加骥译"</f>
        <v>(荷) 马克·格瑞文， (美) 叶恩华， 韦薇著；法意， 王加骥译</v>
      </c>
      <c r="E1433" s="7" t="str">
        <f>"中信出版集团股份有限公司"</f>
        <v>中信出版集团股份有限公司</v>
      </c>
      <c r="F1433" s="7" t="str">
        <f>"F279.23/1061"</f>
        <v>F279.23/1061</v>
      </c>
    </row>
    <row r="1434" customHeight="1" spans="1:6">
      <c r="A1434" s="6">
        <v>1433</v>
      </c>
      <c r="B1434" s="7" t="str">
        <f>"978-7-5164-2458-2"</f>
        <v>978-7-5164-2458-2</v>
      </c>
      <c r="C1434" s="7" t="str">
        <f>"新时期中国企业高质量发展问题研究"</f>
        <v>新时期中国企业高质量发展问题研究</v>
      </c>
      <c r="D1434" s="7" t="str">
        <f>"魏成龙等著"</f>
        <v>魏成龙等著</v>
      </c>
      <c r="E1434" s="7" t="str">
        <f>"企业管理出版社"</f>
        <v>企业管理出版社</v>
      </c>
      <c r="F1434" s="7" t="str">
        <f>"F279.23/1062"</f>
        <v>F279.23/1062</v>
      </c>
    </row>
    <row r="1435" customHeight="1" spans="1:6">
      <c r="A1435" s="6">
        <v>1434</v>
      </c>
      <c r="B1435" s="7" t="str">
        <f>"978-7-5164-2458-2"</f>
        <v>978-7-5164-2458-2</v>
      </c>
      <c r="C1435" s="7" t="str">
        <f>"新时期中国企业高质量发展问题研究"</f>
        <v>新时期中国企业高质量发展问题研究</v>
      </c>
      <c r="D1435" s="7" t="str">
        <f>"魏成龙等著"</f>
        <v>魏成龙等著</v>
      </c>
      <c r="E1435" s="7" t="str">
        <f>"企业管理出版社"</f>
        <v>企业管理出版社</v>
      </c>
      <c r="F1435" s="7" t="str">
        <f>"F279.23/1062"</f>
        <v>F279.23/1062</v>
      </c>
    </row>
    <row r="1436" customHeight="1" spans="1:6">
      <c r="A1436" s="6">
        <v>1435</v>
      </c>
      <c r="B1436" s="7" t="str">
        <f>"978-7-5096-8066-7"</f>
        <v>978-7-5096-8066-7</v>
      </c>
      <c r="C1436" s="7" t="str">
        <f>"中国独角兽企业研究"</f>
        <v>中国独角兽企业研究</v>
      </c>
      <c r="D1436" s="7" t="str">
        <f>"范合君等著"</f>
        <v>范合君等著</v>
      </c>
      <c r="E1436" s="7" t="str">
        <f>"经济管理出版社"</f>
        <v>经济管理出版社</v>
      </c>
      <c r="F1436" s="7" t="str">
        <f>"F279.23/1063"</f>
        <v>F279.23/1063</v>
      </c>
    </row>
    <row r="1437" customHeight="1" spans="1:6">
      <c r="A1437" s="6">
        <v>1436</v>
      </c>
      <c r="B1437" s="7" t="str">
        <f>"978-7-5096-8066-7"</f>
        <v>978-7-5096-8066-7</v>
      </c>
      <c r="C1437" s="7" t="str">
        <f>"中国独角兽企业研究"</f>
        <v>中国独角兽企业研究</v>
      </c>
      <c r="D1437" s="7" t="str">
        <f>"范合君等著"</f>
        <v>范合君等著</v>
      </c>
      <c r="E1437" s="7" t="str">
        <f>"经济管理出版社"</f>
        <v>经济管理出版社</v>
      </c>
      <c r="F1437" s="7" t="str">
        <f>"F279.23/1063"</f>
        <v>F279.23/1063</v>
      </c>
    </row>
    <row r="1438" customHeight="1" spans="1:6">
      <c r="A1438" s="6">
        <v>1437</v>
      </c>
      <c r="B1438" s="7" t="str">
        <f>"978-7-5615-8303-6"</f>
        <v>978-7-5615-8303-6</v>
      </c>
      <c r="C1438" s="7" t="str">
        <f>"中国企业国际化的理论与实践"</f>
        <v>中国企业国际化的理论与实践</v>
      </c>
      <c r="D1438" s="7" t="str">
        <f>"陈福添编著"</f>
        <v>陈福添编著</v>
      </c>
      <c r="E1438" s="7" t="str">
        <f>"厦门大学出版社"</f>
        <v>厦门大学出版社</v>
      </c>
      <c r="F1438" s="7" t="str">
        <f>"F279.23/1064"</f>
        <v>F279.23/1064</v>
      </c>
    </row>
    <row r="1439" customHeight="1" spans="1:6">
      <c r="A1439" s="6">
        <v>1438</v>
      </c>
      <c r="B1439" s="7" t="str">
        <f>"978-7-5615-8303-6"</f>
        <v>978-7-5615-8303-6</v>
      </c>
      <c r="C1439" s="7" t="str">
        <f>"中国企业国际化的理论与实践"</f>
        <v>中国企业国际化的理论与实践</v>
      </c>
      <c r="D1439" s="7" t="str">
        <f>"陈福添编著"</f>
        <v>陈福添编著</v>
      </c>
      <c r="E1439" s="7" t="str">
        <f>"厦门大学出版社"</f>
        <v>厦门大学出版社</v>
      </c>
      <c r="F1439" s="7" t="str">
        <f>"F279.23/1064"</f>
        <v>F279.23/1064</v>
      </c>
    </row>
    <row r="1440" customHeight="1" spans="1:6">
      <c r="A1440" s="6">
        <v>1439</v>
      </c>
      <c r="B1440" s="8" t="s">
        <v>4193</v>
      </c>
      <c r="C1440" s="8" t="s">
        <v>4194</v>
      </c>
      <c r="D1440" s="8" t="s">
        <v>4195</v>
      </c>
      <c r="E1440" s="8" t="s">
        <v>375</v>
      </c>
      <c r="F1440" s="8" t="s">
        <v>4196</v>
      </c>
    </row>
    <row r="1441" customHeight="1" spans="1:6">
      <c r="A1441" s="6">
        <v>1440</v>
      </c>
      <c r="B1441" s="8" t="s">
        <v>4193</v>
      </c>
      <c r="C1441" s="8" t="s">
        <v>4194</v>
      </c>
      <c r="D1441" s="8" t="s">
        <v>4195</v>
      </c>
      <c r="E1441" s="8" t="s">
        <v>375</v>
      </c>
      <c r="F1441" s="8" t="s">
        <v>4196</v>
      </c>
    </row>
    <row r="1442" customHeight="1" spans="1:6">
      <c r="A1442" s="6">
        <v>1441</v>
      </c>
      <c r="B1442" s="8" t="s">
        <v>4197</v>
      </c>
      <c r="C1442" s="8" t="s">
        <v>4198</v>
      </c>
      <c r="D1442" s="8" t="s">
        <v>4199</v>
      </c>
      <c r="E1442" s="8" t="s">
        <v>571</v>
      </c>
      <c r="F1442" s="8" t="s">
        <v>4200</v>
      </c>
    </row>
    <row r="1443" customHeight="1" spans="1:6">
      <c r="A1443" s="6">
        <v>1442</v>
      </c>
      <c r="B1443" s="8" t="s">
        <v>4197</v>
      </c>
      <c r="C1443" s="8" t="s">
        <v>4198</v>
      </c>
      <c r="D1443" s="8" t="s">
        <v>4199</v>
      </c>
      <c r="E1443" s="8" t="s">
        <v>571</v>
      </c>
      <c r="F1443" s="8" t="s">
        <v>4200</v>
      </c>
    </row>
    <row r="1444" customHeight="1" spans="1:6">
      <c r="A1444" s="6">
        <v>1443</v>
      </c>
      <c r="B1444" s="8" t="s">
        <v>4201</v>
      </c>
      <c r="C1444" s="8" t="s">
        <v>4202</v>
      </c>
      <c r="D1444" s="8" t="s">
        <v>4203</v>
      </c>
      <c r="E1444" s="8" t="s">
        <v>239</v>
      </c>
      <c r="F1444" s="8" t="s">
        <v>4204</v>
      </c>
    </row>
    <row r="1445" customHeight="1" spans="1:6">
      <c r="A1445" s="6">
        <v>1444</v>
      </c>
      <c r="B1445" s="8" t="s">
        <v>4201</v>
      </c>
      <c r="C1445" s="8" t="s">
        <v>4202</v>
      </c>
      <c r="D1445" s="8" t="s">
        <v>4203</v>
      </c>
      <c r="E1445" s="8" t="s">
        <v>239</v>
      </c>
      <c r="F1445" s="8" t="s">
        <v>4204</v>
      </c>
    </row>
    <row r="1446" customHeight="1" spans="1:6">
      <c r="A1446" s="6">
        <v>1445</v>
      </c>
      <c r="B1446" s="8" t="s">
        <v>4201</v>
      </c>
      <c r="C1446" s="8" t="s">
        <v>4202</v>
      </c>
      <c r="D1446" s="8" t="s">
        <v>4203</v>
      </c>
      <c r="E1446" s="8" t="s">
        <v>239</v>
      </c>
      <c r="F1446" s="8" t="s">
        <v>4204</v>
      </c>
    </row>
    <row r="1447" customHeight="1" spans="1:6">
      <c r="A1447" s="6">
        <v>1446</v>
      </c>
      <c r="B1447" s="8" t="s">
        <v>4205</v>
      </c>
      <c r="C1447" s="8" t="s">
        <v>4206</v>
      </c>
      <c r="D1447" s="8" t="s">
        <v>4207</v>
      </c>
      <c r="E1447" s="8" t="s">
        <v>2566</v>
      </c>
      <c r="F1447" s="8" t="s">
        <v>4208</v>
      </c>
    </row>
    <row r="1448" customHeight="1" spans="1:6">
      <c r="A1448" s="6">
        <v>1447</v>
      </c>
      <c r="B1448" s="8" t="s">
        <v>4205</v>
      </c>
      <c r="C1448" s="8" t="s">
        <v>4206</v>
      </c>
      <c r="D1448" s="8" t="s">
        <v>4207</v>
      </c>
      <c r="E1448" s="8" t="s">
        <v>2566</v>
      </c>
      <c r="F1448" s="8" t="s">
        <v>4208</v>
      </c>
    </row>
    <row r="1449" customHeight="1" spans="1:6">
      <c r="A1449" s="6">
        <v>1448</v>
      </c>
      <c r="B1449" s="8" t="s">
        <v>4205</v>
      </c>
      <c r="C1449" s="8" t="s">
        <v>4206</v>
      </c>
      <c r="D1449" s="8" t="s">
        <v>4207</v>
      </c>
      <c r="E1449" s="8" t="s">
        <v>2566</v>
      </c>
      <c r="F1449" s="8" t="s">
        <v>4208</v>
      </c>
    </row>
    <row r="1450" customHeight="1" spans="1:6">
      <c r="A1450" s="6">
        <v>1449</v>
      </c>
      <c r="B1450" s="8" t="s">
        <v>4209</v>
      </c>
      <c r="C1450" s="8" t="s">
        <v>4210</v>
      </c>
      <c r="D1450" s="8" t="s">
        <v>1065</v>
      </c>
      <c r="E1450" s="8" t="s">
        <v>2284</v>
      </c>
      <c r="F1450" s="8" t="s">
        <v>4211</v>
      </c>
    </row>
    <row r="1451" customHeight="1" spans="1:6">
      <c r="A1451" s="6">
        <v>1450</v>
      </c>
      <c r="B1451" s="8" t="s">
        <v>4212</v>
      </c>
      <c r="C1451" s="8" t="s">
        <v>4213</v>
      </c>
      <c r="D1451" s="8" t="s">
        <v>4214</v>
      </c>
      <c r="E1451" s="8" t="s">
        <v>239</v>
      </c>
      <c r="F1451" s="8" t="s">
        <v>4215</v>
      </c>
    </row>
    <row r="1452" customHeight="1" spans="1:6">
      <c r="A1452" s="6">
        <v>1451</v>
      </c>
      <c r="B1452" s="8" t="s">
        <v>4212</v>
      </c>
      <c r="C1452" s="8" t="s">
        <v>4213</v>
      </c>
      <c r="D1452" s="8" t="s">
        <v>4214</v>
      </c>
      <c r="E1452" s="8" t="s">
        <v>239</v>
      </c>
      <c r="F1452" s="8" t="s">
        <v>4215</v>
      </c>
    </row>
    <row r="1453" customHeight="1" spans="1:6">
      <c r="A1453" s="6">
        <v>1452</v>
      </c>
      <c r="B1453" s="8" t="s">
        <v>4216</v>
      </c>
      <c r="C1453" s="8" t="s">
        <v>4217</v>
      </c>
      <c r="D1453" s="8" t="s">
        <v>4218</v>
      </c>
      <c r="E1453" s="8" t="s">
        <v>530</v>
      </c>
      <c r="F1453" s="8" t="s">
        <v>4219</v>
      </c>
    </row>
    <row r="1454" customHeight="1" spans="1:6">
      <c r="A1454" s="6">
        <v>1453</v>
      </c>
      <c r="B1454" s="8" t="s">
        <v>4216</v>
      </c>
      <c r="C1454" s="8" t="s">
        <v>4217</v>
      </c>
      <c r="D1454" s="8" t="s">
        <v>4218</v>
      </c>
      <c r="E1454" s="8" t="s">
        <v>530</v>
      </c>
      <c r="F1454" s="8" t="s">
        <v>4219</v>
      </c>
    </row>
    <row r="1455" customHeight="1" spans="1:6">
      <c r="A1455" s="6">
        <v>1454</v>
      </c>
      <c r="B1455" s="8" t="s">
        <v>4220</v>
      </c>
      <c r="C1455" s="8" t="s">
        <v>4221</v>
      </c>
      <c r="D1455" s="8" t="s">
        <v>4222</v>
      </c>
      <c r="E1455" s="8" t="s">
        <v>2284</v>
      </c>
      <c r="F1455" s="8" t="s">
        <v>4223</v>
      </c>
    </row>
    <row r="1456" customHeight="1" spans="1:6">
      <c r="A1456" s="6">
        <v>1455</v>
      </c>
      <c r="B1456" s="8" t="s">
        <v>4220</v>
      </c>
      <c r="C1456" s="8" t="s">
        <v>4221</v>
      </c>
      <c r="D1456" s="8" t="s">
        <v>4222</v>
      </c>
      <c r="E1456" s="8" t="s">
        <v>2284</v>
      </c>
      <c r="F1456" s="8" t="s">
        <v>4223</v>
      </c>
    </row>
    <row r="1457" customHeight="1" spans="1:6">
      <c r="A1457" s="6">
        <v>1456</v>
      </c>
      <c r="B1457" s="8" t="s">
        <v>4224</v>
      </c>
      <c r="C1457" s="8" t="s">
        <v>4225</v>
      </c>
      <c r="D1457" s="8" t="s">
        <v>4226</v>
      </c>
      <c r="E1457" s="8" t="s">
        <v>2566</v>
      </c>
      <c r="F1457" s="8" t="s">
        <v>4227</v>
      </c>
    </row>
    <row r="1458" customHeight="1" spans="1:6">
      <c r="A1458" s="6">
        <v>1457</v>
      </c>
      <c r="B1458" s="8" t="s">
        <v>4224</v>
      </c>
      <c r="C1458" s="8" t="s">
        <v>4225</v>
      </c>
      <c r="D1458" s="8" t="s">
        <v>4226</v>
      </c>
      <c r="E1458" s="8" t="s">
        <v>2566</v>
      </c>
      <c r="F1458" s="8" t="s">
        <v>4227</v>
      </c>
    </row>
    <row r="1459" customHeight="1" spans="1:6">
      <c r="A1459" s="6">
        <v>1458</v>
      </c>
      <c r="B1459" s="8" t="s">
        <v>4228</v>
      </c>
      <c r="C1459" s="8" t="s">
        <v>4229</v>
      </c>
      <c r="D1459" s="8" t="s">
        <v>4230</v>
      </c>
      <c r="E1459" s="8" t="s">
        <v>1189</v>
      </c>
      <c r="F1459" s="8" t="s">
        <v>4231</v>
      </c>
    </row>
    <row r="1460" customHeight="1" spans="1:6">
      <c r="A1460" s="6">
        <v>1459</v>
      </c>
      <c r="B1460" s="8" t="s">
        <v>4228</v>
      </c>
      <c r="C1460" s="8" t="s">
        <v>4229</v>
      </c>
      <c r="D1460" s="8" t="s">
        <v>4230</v>
      </c>
      <c r="E1460" s="8" t="s">
        <v>1189</v>
      </c>
      <c r="F1460" s="8" t="s">
        <v>4231</v>
      </c>
    </row>
    <row r="1461" customHeight="1" spans="1:6">
      <c r="A1461" s="6">
        <v>1460</v>
      </c>
      <c r="B1461" s="8" t="s">
        <v>4228</v>
      </c>
      <c r="C1461" s="8" t="s">
        <v>4229</v>
      </c>
      <c r="D1461" s="8" t="s">
        <v>4230</v>
      </c>
      <c r="E1461" s="8" t="s">
        <v>1189</v>
      </c>
      <c r="F1461" s="8" t="s">
        <v>4231</v>
      </c>
    </row>
    <row r="1462" customHeight="1" spans="1:6">
      <c r="A1462" s="6">
        <v>1461</v>
      </c>
      <c r="B1462" s="8" t="s">
        <v>4232</v>
      </c>
      <c r="C1462" s="8" t="s">
        <v>4233</v>
      </c>
      <c r="D1462" s="8" t="s">
        <v>4234</v>
      </c>
      <c r="E1462" s="8" t="s">
        <v>239</v>
      </c>
      <c r="F1462" s="8" t="s">
        <v>4235</v>
      </c>
    </row>
    <row r="1463" customHeight="1" spans="1:6">
      <c r="A1463" s="6">
        <v>1462</v>
      </c>
      <c r="B1463" s="8" t="s">
        <v>4232</v>
      </c>
      <c r="C1463" s="8" t="s">
        <v>4233</v>
      </c>
      <c r="D1463" s="8" t="s">
        <v>4234</v>
      </c>
      <c r="E1463" s="8" t="s">
        <v>239</v>
      </c>
      <c r="F1463" s="8" t="s">
        <v>4235</v>
      </c>
    </row>
    <row r="1464" customHeight="1" spans="1:6">
      <c r="A1464" s="6">
        <v>1463</v>
      </c>
      <c r="B1464" s="8" t="s">
        <v>4236</v>
      </c>
      <c r="C1464" s="8" t="s">
        <v>4237</v>
      </c>
      <c r="D1464" s="8" t="s">
        <v>4238</v>
      </c>
      <c r="E1464" s="8" t="s">
        <v>256</v>
      </c>
      <c r="F1464" s="8" t="s">
        <v>4239</v>
      </c>
    </row>
    <row r="1465" customHeight="1" spans="1:6">
      <c r="A1465" s="6">
        <v>1464</v>
      </c>
      <c r="B1465" s="8" t="s">
        <v>4236</v>
      </c>
      <c r="C1465" s="8" t="s">
        <v>4237</v>
      </c>
      <c r="D1465" s="8" t="s">
        <v>4238</v>
      </c>
      <c r="E1465" s="8" t="s">
        <v>256</v>
      </c>
      <c r="F1465" s="8" t="s">
        <v>4239</v>
      </c>
    </row>
    <row r="1466" customHeight="1" spans="1:6">
      <c r="A1466" s="6">
        <v>1465</v>
      </c>
      <c r="B1466" s="8" t="s">
        <v>4236</v>
      </c>
      <c r="C1466" s="8" t="s">
        <v>4237</v>
      </c>
      <c r="D1466" s="8" t="s">
        <v>4238</v>
      </c>
      <c r="E1466" s="8" t="s">
        <v>256</v>
      </c>
      <c r="F1466" s="8" t="s">
        <v>4239</v>
      </c>
    </row>
    <row r="1467" customHeight="1" spans="1:6">
      <c r="A1467" s="6">
        <v>1466</v>
      </c>
      <c r="B1467" s="8" t="s">
        <v>4240</v>
      </c>
      <c r="C1467" s="8" t="s">
        <v>4241</v>
      </c>
      <c r="D1467" s="8" t="s">
        <v>4242</v>
      </c>
      <c r="E1467" s="8" t="s">
        <v>311</v>
      </c>
      <c r="F1467" s="8" t="s">
        <v>4243</v>
      </c>
    </row>
    <row r="1468" customHeight="1" spans="1:6">
      <c r="A1468" s="6">
        <v>1467</v>
      </c>
      <c r="B1468" s="8" t="s">
        <v>4240</v>
      </c>
      <c r="C1468" s="8" t="s">
        <v>4241</v>
      </c>
      <c r="D1468" s="8" t="s">
        <v>4242</v>
      </c>
      <c r="E1468" s="8" t="s">
        <v>311</v>
      </c>
      <c r="F1468" s="8" t="s">
        <v>4243</v>
      </c>
    </row>
    <row r="1469" customHeight="1" spans="1:6">
      <c r="A1469" s="6">
        <v>1468</v>
      </c>
      <c r="B1469" s="8" t="s">
        <v>4240</v>
      </c>
      <c r="C1469" s="8" t="s">
        <v>4241</v>
      </c>
      <c r="D1469" s="8" t="s">
        <v>4242</v>
      </c>
      <c r="E1469" s="8" t="s">
        <v>311</v>
      </c>
      <c r="F1469" s="8" t="s">
        <v>4243</v>
      </c>
    </row>
    <row r="1470" customHeight="1" spans="1:6">
      <c r="A1470" s="6">
        <v>1469</v>
      </c>
      <c r="B1470" s="8" t="s">
        <v>4244</v>
      </c>
      <c r="C1470" s="8" t="s">
        <v>4245</v>
      </c>
      <c r="D1470" s="8" t="s">
        <v>4246</v>
      </c>
      <c r="E1470" s="8" t="s">
        <v>311</v>
      </c>
      <c r="F1470" s="8" t="s">
        <v>4247</v>
      </c>
    </row>
    <row r="1471" customHeight="1" spans="1:6">
      <c r="A1471" s="6">
        <v>1470</v>
      </c>
      <c r="B1471" s="8" t="s">
        <v>4244</v>
      </c>
      <c r="C1471" s="8" t="s">
        <v>4245</v>
      </c>
      <c r="D1471" s="8" t="s">
        <v>4246</v>
      </c>
      <c r="E1471" s="8" t="s">
        <v>311</v>
      </c>
      <c r="F1471" s="8" t="s">
        <v>4247</v>
      </c>
    </row>
    <row r="1472" customHeight="1" spans="1:6">
      <c r="A1472" s="6">
        <v>1471</v>
      </c>
      <c r="B1472" s="8" t="s">
        <v>4248</v>
      </c>
      <c r="C1472" s="8" t="s">
        <v>4249</v>
      </c>
      <c r="D1472" s="8" t="s">
        <v>4250</v>
      </c>
      <c r="E1472" s="8" t="s">
        <v>1967</v>
      </c>
      <c r="F1472" s="8" t="s">
        <v>4251</v>
      </c>
    </row>
    <row r="1473" customHeight="1" spans="1:6">
      <c r="A1473" s="6">
        <v>1472</v>
      </c>
      <c r="B1473" s="8" t="s">
        <v>4248</v>
      </c>
      <c r="C1473" s="8" t="s">
        <v>4249</v>
      </c>
      <c r="D1473" s="8" t="s">
        <v>4250</v>
      </c>
      <c r="E1473" s="8" t="s">
        <v>1967</v>
      </c>
      <c r="F1473" s="8" t="s">
        <v>4251</v>
      </c>
    </row>
    <row r="1474" customHeight="1" spans="1:6">
      <c r="A1474" s="6">
        <v>1473</v>
      </c>
      <c r="B1474" s="8" t="s">
        <v>4248</v>
      </c>
      <c r="C1474" s="8" t="s">
        <v>4249</v>
      </c>
      <c r="D1474" s="8" t="s">
        <v>4250</v>
      </c>
      <c r="E1474" s="8" t="s">
        <v>1967</v>
      </c>
      <c r="F1474" s="8" t="s">
        <v>4251</v>
      </c>
    </row>
    <row r="1475" customHeight="1" spans="1:6">
      <c r="A1475" s="6">
        <v>1474</v>
      </c>
      <c r="B1475" s="8" t="s">
        <v>4252</v>
      </c>
      <c r="C1475" s="8" t="s">
        <v>4253</v>
      </c>
      <c r="D1475" s="8" t="s">
        <v>4254</v>
      </c>
      <c r="E1475" s="8" t="s">
        <v>2566</v>
      </c>
      <c r="F1475" s="8" t="s">
        <v>4255</v>
      </c>
    </row>
    <row r="1476" customHeight="1" spans="1:6">
      <c r="A1476" s="6">
        <v>1475</v>
      </c>
      <c r="B1476" s="8" t="s">
        <v>4252</v>
      </c>
      <c r="C1476" s="8" t="s">
        <v>4253</v>
      </c>
      <c r="D1476" s="8" t="s">
        <v>4254</v>
      </c>
      <c r="E1476" s="8" t="s">
        <v>2566</v>
      </c>
      <c r="F1476" s="8" t="s">
        <v>4255</v>
      </c>
    </row>
    <row r="1477" customHeight="1" spans="1:6">
      <c r="A1477" s="6">
        <v>1476</v>
      </c>
      <c r="B1477" s="8" t="s">
        <v>4256</v>
      </c>
      <c r="C1477" s="8" t="s">
        <v>4257</v>
      </c>
      <c r="D1477" s="8" t="s">
        <v>4258</v>
      </c>
      <c r="E1477" s="8" t="s">
        <v>340</v>
      </c>
      <c r="F1477" s="8" t="s">
        <v>4259</v>
      </c>
    </row>
    <row r="1478" customHeight="1" spans="1:6">
      <c r="A1478" s="6">
        <v>1477</v>
      </c>
      <c r="B1478" s="8" t="s">
        <v>4256</v>
      </c>
      <c r="C1478" s="8" t="s">
        <v>4257</v>
      </c>
      <c r="D1478" s="8" t="s">
        <v>4258</v>
      </c>
      <c r="E1478" s="8" t="s">
        <v>340</v>
      </c>
      <c r="F1478" s="8" t="s">
        <v>4259</v>
      </c>
    </row>
    <row r="1479" customHeight="1" spans="1:6">
      <c r="A1479" s="6">
        <v>1478</v>
      </c>
      <c r="B1479" s="8" t="s">
        <v>4260</v>
      </c>
      <c r="C1479" s="8" t="s">
        <v>4261</v>
      </c>
      <c r="D1479" s="8" t="s">
        <v>4262</v>
      </c>
      <c r="E1479" s="8" t="s">
        <v>216</v>
      </c>
      <c r="F1479" s="8" t="s">
        <v>4263</v>
      </c>
    </row>
    <row r="1480" customHeight="1" spans="1:6">
      <c r="A1480" s="6">
        <v>1479</v>
      </c>
      <c r="B1480" s="8" t="s">
        <v>4260</v>
      </c>
      <c r="C1480" s="8" t="s">
        <v>4261</v>
      </c>
      <c r="D1480" s="8" t="s">
        <v>4262</v>
      </c>
      <c r="E1480" s="8" t="s">
        <v>216</v>
      </c>
      <c r="F1480" s="8" t="s">
        <v>4263</v>
      </c>
    </row>
    <row r="1481" customHeight="1" spans="1:6">
      <c r="A1481" s="6">
        <v>1480</v>
      </c>
      <c r="B1481" s="8" t="s">
        <v>4264</v>
      </c>
      <c r="C1481" s="8" t="s">
        <v>4265</v>
      </c>
      <c r="D1481" s="8" t="s">
        <v>4266</v>
      </c>
      <c r="E1481" s="8" t="s">
        <v>1189</v>
      </c>
      <c r="F1481" s="8" t="s">
        <v>4267</v>
      </c>
    </row>
    <row r="1482" customHeight="1" spans="1:6">
      <c r="A1482" s="6">
        <v>1481</v>
      </c>
      <c r="B1482" s="8" t="s">
        <v>4264</v>
      </c>
      <c r="C1482" s="8" t="s">
        <v>4265</v>
      </c>
      <c r="D1482" s="8" t="s">
        <v>4266</v>
      </c>
      <c r="E1482" s="8" t="s">
        <v>1189</v>
      </c>
      <c r="F1482" s="8" t="s">
        <v>4267</v>
      </c>
    </row>
    <row r="1483" customHeight="1" spans="1:6">
      <c r="A1483" s="6">
        <v>1482</v>
      </c>
      <c r="B1483" s="8" t="s">
        <v>4264</v>
      </c>
      <c r="C1483" s="8" t="s">
        <v>4265</v>
      </c>
      <c r="D1483" s="8" t="s">
        <v>4266</v>
      </c>
      <c r="E1483" s="8" t="s">
        <v>1189</v>
      </c>
      <c r="F1483" s="8" t="s">
        <v>4267</v>
      </c>
    </row>
    <row r="1484" customHeight="1" spans="1:6">
      <c r="A1484" s="6">
        <v>1483</v>
      </c>
      <c r="B1484" s="8" t="s">
        <v>4268</v>
      </c>
      <c r="C1484" s="8" t="s">
        <v>4269</v>
      </c>
      <c r="D1484" s="8" t="s">
        <v>4262</v>
      </c>
      <c r="E1484" s="8" t="s">
        <v>2161</v>
      </c>
      <c r="F1484" s="8" t="s">
        <v>4270</v>
      </c>
    </row>
    <row r="1485" customHeight="1" spans="1:6">
      <c r="A1485" s="6">
        <v>1484</v>
      </c>
      <c r="B1485" s="8" t="s">
        <v>4271</v>
      </c>
      <c r="C1485" s="8" t="s">
        <v>4272</v>
      </c>
      <c r="D1485" s="8" t="s">
        <v>4262</v>
      </c>
      <c r="E1485" s="8" t="s">
        <v>2161</v>
      </c>
      <c r="F1485" s="8" t="s">
        <v>4273</v>
      </c>
    </row>
    <row r="1486" customHeight="1" spans="1:6">
      <c r="A1486" s="6">
        <v>1485</v>
      </c>
      <c r="B1486" s="8" t="s">
        <v>4271</v>
      </c>
      <c r="C1486" s="8" t="s">
        <v>4272</v>
      </c>
      <c r="D1486" s="8" t="s">
        <v>4262</v>
      </c>
      <c r="E1486" s="8" t="s">
        <v>2161</v>
      </c>
      <c r="F1486" s="8" t="s">
        <v>4273</v>
      </c>
    </row>
    <row r="1487" customHeight="1" spans="1:6">
      <c r="A1487" s="6">
        <v>1486</v>
      </c>
      <c r="B1487" s="8" t="s">
        <v>4271</v>
      </c>
      <c r="C1487" s="8" t="s">
        <v>4272</v>
      </c>
      <c r="D1487" s="8" t="s">
        <v>4262</v>
      </c>
      <c r="E1487" s="8" t="s">
        <v>2161</v>
      </c>
      <c r="F1487" s="8" t="s">
        <v>4273</v>
      </c>
    </row>
    <row r="1488" customHeight="1" spans="1:6">
      <c r="A1488" s="6">
        <v>1487</v>
      </c>
      <c r="B1488" s="8" t="s">
        <v>4274</v>
      </c>
      <c r="C1488" s="8" t="s">
        <v>4275</v>
      </c>
      <c r="D1488" s="8" t="s">
        <v>4262</v>
      </c>
      <c r="E1488" s="8" t="s">
        <v>216</v>
      </c>
      <c r="F1488" s="8" t="s">
        <v>4276</v>
      </c>
    </row>
    <row r="1489" customHeight="1" spans="1:6">
      <c r="A1489" s="6">
        <v>1488</v>
      </c>
      <c r="B1489" s="8" t="s">
        <v>4274</v>
      </c>
      <c r="C1489" s="8" t="s">
        <v>4275</v>
      </c>
      <c r="D1489" s="8" t="s">
        <v>4262</v>
      </c>
      <c r="E1489" s="8" t="s">
        <v>216</v>
      </c>
      <c r="F1489" s="8" t="s">
        <v>4276</v>
      </c>
    </row>
    <row r="1490" customHeight="1" spans="1:6">
      <c r="A1490" s="6">
        <v>1489</v>
      </c>
      <c r="B1490" s="8" t="s">
        <v>4277</v>
      </c>
      <c r="C1490" s="8" t="s">
        <v>4278</v>
      </c>
      <c r="D1490" s="8" t="s">
        <v>4279</v>
      </c>
      <c r="E1490" s="8" t="s">
        <v>2161</v>
      </c>
      <c r="F1490" s="8" t="s">
        <v>4280</v>
      </c>
    </row>
    <row r="1491" customHeight="1" spans="1:6">
      <c r="A1491" s="6">
        <v>1490</v>
      </c>
      <c r="B1491" s="8" t="s">
        <v>4277</v>
      </c>
      <c r="C1491" s="8" t="s">
        <v>4278</v>
      </c>
      <c r="D1491" s="8" t="s">
        <v>4279</v>
      </c>
      <c r="E1491" s="8" t="s">
        <v>2161</v>
      </c>
      <c r="F1491" s="8" t="s">
        <v>4280</v>
      </c>
    </row>
    <row r="1492" customHeight="1" spans="1:6">
      <c r="A1492" s="6">
        <v>1491</v>
      </c>
      <c r="B1492" s="8" t="s">
        <v>4277</v>
      </c>
      <c r="C1492" s="8" t="s">
        <v>4278</v>
      </c>
      <c r="D1492" s="8" t="s">
        <v>4279</v>
      </c>
      <c r="E1492" s="8" t="s">
        <v>2161</v>
      </c>
      <c r="F1492" s="8" t="s">
        <v>4280</v>
      </c>
    </row>
    <row r="1493" customHeight="1" spans="1:6">
      <c r="A1493" s="6">
        <v>1492</v>
      </c>
      <c r="B1493" s="8" t="s">
        <v>4281</v>
      </c>
      <c r="C1493" s="8" t="s">
        <v>4282</v>
      </c>
      <c r="D1493" s="8" t="s">
        <v>4262</v>
      </c>
      <c r="E1493" s="8" t="s">
        <v>216</v>
      </c>
      <c r="F1493" s="8" t="s">
        <v>4283</v>
      </c>
    </row>
    <row r="1494" customHeight="1" spans="1:6">
      <c r="A1494" s="6">
        <v>1493</v>
      </c>
      <c r="B1494" s="8" t="s">
        <v>4281</v>
      </c>
      <c r="C1494" s="8" t="s">
        <v>4282</v>
      </c>
      <c r="D1494" s="8" t="s">
        <v>4262</v>
      </c>
      <c r="E1494" s="8" t="s">
        <v>216</v>
      </c>
      <c r="F1494" s="8" t="s">
        <v>4283</v>
      </c>
    </row>
    <row r="1495" customHeight="1" spans="1:6">
      <c r="A1495" s="6">
        <v>1494</v>
      </c>
      <c r="B1495" s="8" t="s">
        <v>4284</v>
      </c>
      <c r="C1495" s="8" t="s">
        <v>4285</v>
      </c>
      <c r="D1495" s="8" t="s">
        <v>4286</v>
      </c>
      <c r="E1495" s="8" t="s">
        <v>48</v>
      </c>
      <c r="F1495" s="8" t="s">
        <v>4287</v>
      </c>
    </row>
    <row r="1496" customHeight="1" spans="1:6">
      <c r="A1496" s="6">
        <v>1495</v>
      </c>
      <c r="B1496" s="8" t="s">
        <v>4284</v>
      </c>
      <c r="C1496" s="8" t="s">
        <v>4285</v>
      </c>
      <c r="D1496" s="8" t="s">
        <v>4286</v>
      </c>
      <c r="E1496" s="8" t="s">
        <v>48</v>
      </c>
      <c r="F1496" s="8" t="s">
        <v>4287</v>
      </c>
    </row>
    <row r="1497" customHeight="1" spans="1:6">
      <c r="A1497" s="6">
        <v>1496</v>
      </c>
      <c r="B1497" s="8" t="s">
        <v>4288</v>
      </c>
      <c r="C1497" s="8" t="s">
        <v>4289</v>
      </c>
      <c r="D1497" s="8" t="s">
        <v>4279</v>
      </c>
      <c r="E1497" s="8" t="s">
        <v>2161</v>
      </c>
      <c r="F1497" s="8" t="s">
        <v>4290</v>
      </c>
    </row>
    <row r="1498" customHeight="1" spans="1:6">
      <c r="A1498" s="6">
        <v>1497</v>
      </c>
      <c r="B1498" s="8" t="s">
        <v>4288</v>
      </c>
      <c r="C1498" s="8" t="s">
        <v>4289</v>
      </c>
      <c r="D1498" s="8" t="s">
        <v>4279</v>
      </c>
      <c r="E1498" s="8" t="s">
        <v>2161</v>
      </c>
      <c r="F1498" s="8" t="s">
        <v>4290</v>
      </c>
    </row>
    <row r="1499" customHeight="1" spans="1:6">
      <c r="A1499" s="6">
        <v>1498</v>
      </c>
      <c r="B1499" s="8" t="s">
        <v>4288</v>
      </c>
      <c r="C1499" s="8" t="s">
        <v>4289</v>
      </c>
      <c r="D1499" s="8" t="s">
        <v>4279</v>
      </c>
      <c r="E1499" s="8" t="s">
        <v>2161</v>
      </c>
      <c r="F1499" s="8" t="s">
        <v>4290</v>
      </c>
    </row>
    <row r="1500" customHeight="1" spans="1:6">
      <c r="A1500" s="6">
        <v>1499</v>
      </c>
      <c r="B1500" s="8" t="s">
        <v>4291</v>
      </c>
      <c r="C1500" s="8" t="s">
        <v>4292</v>
      </c>
      <c r="D1500" s="8" t="s">
        <v>4262</v>
      </c>
      <c r="E1500" s="8" t="s">
        <v>2161</v>
      </c>
      <c r="F1500" s="8" t="s">
        <v>4293</v>
      </c>
    </row>
    <row r="1501" customHeight="1" spans="1:6">
      <c r="A1501" s="6">
        <v>1500</v>
      </c>
      <c r="B1501" s="8" t="s">
        <v>4291</v>
      </c>
      <c r="C1501" s="8" t="s">
        <v>4292</v>
      </c>
      <c r="D1501" s="8" t="s">
        <v>4262</v>
      </c>
      <c r="E1501" s="8" t="s">
        <v>2161</v>
      </c>
      <c r="F1501" s="8" t="s">
        <v>4293</v>
      </c>
    </row>
    <row r="1502" customHeight="1" spans="1:6">
      <c r="A1502" s="6">
        <v>1501</v>
      </c>
      <c r="B1502" s="8" t="s">
        <v>4291</v>
      </c>
      <c r="C1502" s="8" t="s">
        <v>4294</v>
      </c>
      <c r="D1502" s="8" t="s">
        <v>4262</v>
      </c>
      <c r="E1502" s="8" t="s">
        <v>2161</v>
      </c>
      <c r="F1502" s="8" t="s">
        <v>4295</v>
      </c>
    </row>
    <row r="1503" customHeight="1" spans="1:6">
      <c r="A1503" s="6">
        <v>1502</v>
      </c>
      <c r="B1503" s="8" t="s">
        <v>4291</v>
      </c>
      <c r="C1503" s="8" t="s">
        <v>4294</v>
      </c>
      <c r="D1503" s="8" t="s">
        <v>4262</v>
      </c>
      <c r="E1503" s="8" t="s">
        <v>2161</v>
      </c>
      <c r="F1503" s="8" t="s">
        <v>4295</v>
      </c>
    </row>
    <row r="1504" customHeight="1" spans="1:6">
      <c r="A1504" s="6">
        <v>1503</v>
      </c>
      <c r="B1504" s="8" t="s">
        <v>4296</v>
      </c>
      <c r="C1504" s="8" t="s">
        <v>4297</v>
      </c>
      <c r="D1504" s="8" t="s">
        <v>4298</v>
      </c>
      <c r="E1504" s="8" t="s">
        <v>48</v>
      </c>
      <c r="F1504" s="8" t="s">
        <v>4299</v>
      </c>
    </row>
    <row r="1505" customHeight="1" spans="1:6">
      <c r="A1505" s="6">
        <v>1504</v>
      </c>
      <c r="B1505" s="8" t="s">
        <v>4296</v>
      </c>
      <c r="C1505" s="8" t="s">
        <v>4297</v>
      </c>
      <c r="D1505" s="8" t="s">
        <v>4298</v>
      </c>
      <c r="E1505" s="8" t="s">
        <v>48</v>
      </c>
      <c r="F1505" s="8" t="s">
        <v>4299</v>
      </c>
    </row>
    <row r="1506" customHeight="1" spans="1:6">
      <c r="A1506" s="6">
        <v>1505</v>
      </c>
      <c r="B1506" s="8" t="s">
        <v>4300</v>
      </c>
      <c r="C1506" s="8" t="s">
        <v>4301</v>
      </c>
      <c r="D1506" s="8" t="s">
        <v>4302</v>
      </c>
      <c r="E1506" s="8" t="s">
        <v>189</v>
      </c>
      <c r="F1506" s="8" t="s">
        <v>4303</v>
      </c>
    </row>
    <row r="1507" customHeight="1" spans="1:6">
      <c r="A1507" s="6">
        <v>1506</v>
      </c>
      <c r="B1507" s="8" t="s">
        <v>4300</v>
      </c>
      <c r="C1507" s="8" t="s">
        <v>4301</v>
      </c>
      <c r="D1507" s="8" t="s">
        <v>4302</v>
      </c>
      <c r="E1507" s="8" t="s">
        <v>189</v>
      </c>
      <c r="F1507" s="8" t="s">
        <v>4303</v>
      </c>
    </row>
    <row r="1508" customHeight="1" spans="1:6">
      <c r="A1508" s="6">
        <v>1507</v>
      </c>
      <c r="B1508" s="8" t="s">
        <v>4304</v>
      </c>
      <c r="C1508" s="8" t="s">
        <v>4305</v>
      </c>
      <c r="D1508" s="8" t="s">
        <v>4306</v>
      </c>
      <c r="E1508" s="8" t="s">
        <v>33</v>
      </c>
      <c r="F1508" s="8" t="s">
        <v>4307</v>
      </c>
    </row>
    <row r="1509" customHeight="1" spans="1:6">
      <c r="A1509" s="6">
        <v>1508</v>
      </c>
      <c r="B1509" s="8" t="s">
        <v>4304</v>
      </c>
      <c r="C1509" s="8" t="s">
        <v>4305</v>
      </c>
      <c r="D1509" s="8" t="s">
        <v>4306</v>
      </c>
      <c r="E1509" s="8" t="s">
        <v>33</v>
      </c>
      <c r="F1509" s="8" t="s">
        <v>4307</v>
      </c>
    </row>
    <row r="1510" customHeight="1" spans="1:6">
      <c r="A1510" s="6">
        <v>1509</v>
      </c>
      <c r="B1510" s="7" t="str">
        <f>"978-7-5577-0793-4"</f>
        <v>978-7-5577-0793-4</v>
      </c>
      <c r="C1510" s="7" t="str">
        <f>"数字经济时代下企业市场营销发展研究"</f>
        <v>数字经济时代下企业市场营销发展研究</v>
      </c>
      <c r="D1510" s="7" t="str">
        <f>"陆生堂， 卫振中著"</f>
        <v>陆生堂， 卫振中著</v>
      </c>
      <c r="E1510" s="7" t="str">
        <f>"山西经济出版社"</f>
        <v>山西经济出版社</v>
      </c>
      <c r="F1510" s="7" t="str">
        <f>"F279.23-39/3"</f>
        <v>F279.23-39/3</v>
      </c>
    </row>
    <row r="1511" customHeight="1" spans="1:6">
      <c r="A1511" s="6">
        <v>1510</v>
      </c>
      <c r="B1511" s="7" t="str">
        <f>"978-7-5577-0793-4"</f>
        <v>978-7-5577-0793-4</v>
      </c>
      <c r="C1511" s="7" t="str">
        <f>"数字经济时代下企业市场营销发展研究"</f>
        <v>数字经济时代下企业市场营销发展研究</v>
      </c>
      <c r="D1511" s="7" t="str">
        <f>"陆生堂， 卫振中著"</f>
        <v>陆生堂， 卫振中著</v>
      </c>
      <c r="E1511" s="7" t="str">
        <f>"山西经济出版社"</f>
        <v>山西经济出版社</v>
      </c>
      <c r="F1511" s="7" t="str">
        <f>"F279.23-39/3"</f>
        <v>F279.23-39/3</v>
      </c>
    </row>
    <row r="1512" customHeight="1" spans="1:6">
      <c r="A1512" s="6">
        <v>1511</v>
      </c>
      <c r="B1512" s="8" t="s">
        <v>4308</v>
      </c>
      <c r="C1512" s="8" t="s">
        <v>4309</v>
      </c>
      <c r="D1512" s="8" t="s">
        <v>4310</v>
      </c>
      <c r="E1512" s="8" t="s">
        <v>2161</v>
      </c>
      <c r="F1512" s="8" t="s">
        <v>4311</v>
      </c>
    </row>
    <row r="1513" customHeight="1" spans="1:6">
      <c r="A1513" s="6">
        <v>1512</v>
      </c>
      <c r="B1513" s="8" t="s">
        <v>4308</v>
      </c>
      <c r="C1513" s="8" t="s">
        <v>4309</v>
      </c>
      <c r="D1513" s="8" t="s">
        <v>4310</v>
      </c>
      <c r="E1513" s="8" t="s">
        <v>2161</v>
      </c>
      <c r="F1513" s="8" t="s">
        <v>4311</v>
      </c>
    </row>
    <row r="1514" customHeight="1" spans="1:6">
      <c r="A1514" s="6">
        <v>1513</v>
      </c>
      <c r="B1514" s="8" t="s">
        <v>4308</v>
      </c>
      <c r="C1514" s="8" t="s">
        <v>4309</v>
      </c>
      <c r="D1514" s="8" t="s">
        <v>4310</v>
      </c>
      <c r="E1514" s="8" t="s">
        <v>2161</v>
      </c>
      <c r="F1514" s="8" t="s">
        <v>4311</v>
      </c>
    </row>
    <row r="1515" customHeight="1" spans="1:6">
      <c r="A1515" s="6">
        <v>1514</v>
      </c>
      <c r="B1515" s="8" t="s">
        <v>4312</v>
      </c>
      <c r="C1515" s="8" t="s">
        <v>4313</v>
      </c>
      <c r="D1515" s="8" t="s">
        <v>4314</v>
      </c>
      <c r="E1515" s="8" t="s">
        <v>2161</v>
      </c>
      <c r="F1515" s="8" t="s">
        <v>4315</v>
      </c>
    </row>
    <row r="1516" customHeight="1" spans="1:6">
      <c r="A1516" s="6">
        <v>1515</v>
      </c>
      <c r="B1516" s="8" t="s">
        <v>4312</v>
      </c>
      <c r="C1516" s="8" t="s">
        <v>4313</v>
      </c>
      <c r="D1516" s="8" t="s">
        <v>4314</v>
      </c>
      <c r="E1516" s="8" t="s">
        <v>2161</v>
      </c>
      <c r="F1516" s="8" t="s">
        <v>4315</v>
      </c>
    </row>
    <row r="1517" customHeight="1" spans="1:6">
      <c r="A1517" s="6">
        <v>1516</v>
      </c>
      <c r="B1517" s="8" t="s">
        <v>4312</v>
      </c>
      <c r="C1517" s="8" t="s">
        <v>4313</v>
      </c>
      <c r="D1517" s="8" t="s">
        <v>4314</v>
      </c>
      <c r="E1517" s="8" t="s">
        <v>2161</v>
      </c>
      <c r="F1517" s="8" t="s">
        <v>4315</v>
      </c>
    </row>
    <row r="1518" customHeight="1" spans="1:6">
      <c r="A1518" s="6">
        <v>1517</v>
      </c>
      <c r="B1518" s="8" t="s">
        <v>4316</v>
      </c>
      <c r="C1518" s="8" t="s">
        <v>4317</v>
      </c>
      <c r="D1518" s="8" t="s">
        <v>3753</v>
      </c>
      <c r="E1518" s="8" t="s">
        <v>2161</v>
      </c>
      <c r="F1518" s="8" t="s">
        <v>4318</v>
      </c>
    </row>
    <row r="1519" customHeight="1" spans="1:6">
      <c r="A1519" s="6">
        <v>1518</v>
      </c>
      <c r="B1519" s="8" t="s">
        <v>4316</v>
      </c>
      <c r="C1519" s="8" t="s">
        <v>4317</v>
      </c>
      <c r="D1519" s="8" t="s">
        <v>3753</v>
      </c>
      <c r="E1519" s="8" t="s">
        <v>2161</v>
      </c>
      <c r="F1519" s="8" t="s">
        <v>4318</v>
      </c>
    </row>
    <row r="1520" customHeight="1" spans="1:6">
      <c r="A1520" s="6">
        <v>1519</v>
      </c>
      <c r="B1520" s="8" t="s">
        <v>4319</v>
      </c>
      <c r="C1520" s="8" t="s">
        <v>4320</v>
      </c>
      <c r="D1520" s="8" t="s">
        <v>4321</v>
      </c>
      <c r="E1520" s="8" t="s">
        <v>1436</v>
      </c>
      <c r="F1520" s="8" t="s">
        <v>4322</v>
      </c>
    </row>
    <row r="1521" customHeight="1" spans="1:6">
      <c r="A1521" s="6">
        <v>1520</v>
      </c>
      <c r="B1521" s="8" t="s">
        <v>4319</v>
      </c>
      <c r="C1521" s="8" t="s">
        <v>4320</v>
      </c>
      <c r="D1521" s="8" t="s">
        <v>4321</v>
      </c>
      <c r="E1521" s="8" t="s">
        <v>1436</v>
      </c>
      <c r="F1521" s="8" t="s">
        <v>4322</v>
      </c>
    </row>
    <row r="1522" customHeight="1" spans="1:6">
      <c r="A1522" s="6">
        <v>1521</v>
      </c>
      <c r="B1522" s="8" t="s">
        <v>4319</v>
      </c>
      <c r="C1522" s="8" t="s">
        <v>4320</v>
      </c>
      <c r="D1522" s="8" t="s">
        <v>4321</v>
      </c>
      <c r="E1522" s="8" t="s">
        <v>1436</v>
      </c>
      <c r="F1522" s="8" t="s">
        <v>4322</v>
      </c>
    </row>
    <row r="1523" customHeight="1" spans="1:6">
      <c r="A1523" s="6">
        <v>1522</v>
      </c>
      <c r="B1523" s="8" t="s">
        <v>4323</v>
      </c>
      <c r="C1523" s="8" t="s">
        <v>4324</v>
      </c>
      <c r="D1523" s="8" t="s">
        <v>4325</v>
      </c>
      <c r="E1523" s="8" t="s">
        <v>311</v>
      </c>
      <c r="F1523" s="8" t="s">
        <v>4326</v>
      </c>
    </row>
    <row r="1524" customHeight="1" spans="1:6">
      <c r="A1524" s="6">
        <v>1523</v>
      </c>
      <c r="B1524" s="8" t="s">
        <v>4323</v>
      </c>
      <c r="C1524" s="8" t="s">
        <v>4324</v>
      </c>
      <c r="D1524" s="8" t="s">
        <v>4325</v>
      </c>
      <c r="E1524" s="8" t="s">
        <v>311</v>
      </c>
      <c r="F1524" s="8" t="s">
        <v>4326</v>
      </c>
    </row>
    <row r="1525" customHeight="1" spans="1:6">
      <c r="A1525" s="6">
        <v>1524</v>
      </c>
      <c r="B1525" s="8" t="s">
        <v>4327</v>
      </c>
      <c r="C1525" s="8" t="s">
        <v>4328</v>
      </c>
      <c r="D1525" s="8" t="s">
        <v>4329</v>
      </c>
      <c r="E1525" s="8" t="s">
        <v>261</v>
      </c>
      <c r="F1525" s="8" t="s">
        <v>4330</v>
      </c>
    </row>
    <row r="1526" customHeight="1" spans="1:6">
      <c r="A1526" s="6">
        <v>1525</v>
      </c>
      <c r="B1526" s="8" t="s">
        <v>4327</v>
      </c>
      <c r="C1526" s="8" t="s">
        <v>4328</v>
      </c>
      <c r="D1526" s="8" t="s">
        <v>4329</v>
      </c>
      <c r="E1526" s="8" t="s">
        <v>261</v>
      </c>
      <c r="F1526" s="8" t="s">
        <v>4330</v>
      </c>
    </row>
    <row r="1527" customHeight="1" spans="1:6">
      <c r="A1527" s="6">
        <v>1526</v>
      </c>
      <c r="B1527" s="8" t="s">
        <v>4327</v>
      </c>
      <c r="C1527" s="8" t="s">
        <v>4328</v>
      </c>
      <c r="D1527" s="8" t="s">
        <v>4329</v>
      </c>
      <c r="E1527" s="8" t="s">
        <v>261</v>
      </c>
      <c r="F1527" s="8" t="s">
        <v>4330</v>
      </c>
    </row>
    <row r="1528" customHeight="1" spans="1:6">
      <c r="A1528" s="6">
        <v>1527</v>
      </c>
      <c r="B1528" s="8" t="s">
        <v>4331</v>
      </c>
      <c r="C1528" s="8" t="s">
        <v>4332</v>
      </c>
      <c r="D1528" s="8" t="s">
        <v>4333</v>
      </c>
      <c r="E1528" s="8" t="s">
        <v>311</v>
      </c>
      <c r="F1528" s="8" t="s">
        <v>4334</v>
      </c>
    </row>
    <row r="1529" customHeight="1" spans="1:6">
      <c r="A1529" s="6">
        <v>1528</v>
      </c>
      <c r="B1529" s="8" t="s">
        <v>4331</v>
      </c>
      <c r="C1529" s="8" t="s">
        <v>4332</v>
      </c>
      <c r="D1529" s="8" t="s">
        <v>4333</v>
      </c>
      <c r="E1529" s="8" t="s">
        <v>311</v>
      </c>
      <c r="F1529" s="8" t="s">
        <v>4334</v>
      </c>
    </row>
    <row r="1530" customHeight="1" spans="1:6">
      <c r="A1530" s="6">
        <v>1529</v>
      </c>
      <c r="B1530" s="8" t="s">
        <v>4335</v>
      </c>
      <c r="C1530" s="8" t="s">
        <v>4336</v>
      </c>
      <c r="D1530" s="8" t="s">
        <v>4040</v>
      </c>
      <c r="E1530" s="8" t="s">
        <v>1564</v>
      </c>
      <c r="F1530" s="8" t="s">
        <v>4337</v>
      </c>
    </row>
    <row r="1531" customHeight="1" spans="1:6">
      <c r="A1531" s="6">
        <v>1530</v>
      </c>
      <c r="B1531" s="8" t="s">
        <v>4335</v>
      </c>
      <c r="C1531" s="8" t="s">
        <v>4336</v>
      </c>
      <c r="D1531" s="8" t="s">
        <v>4040</v>
      </c>
      <c r="E1531" s="8" t="s">
        <v>1564</v>
      </c>
      <c r="F1531" s="8" t="s">
        <v>4337</v>
      </c>
    </row>
    <row r="1532" customHeight="1" spans="1:6">
      <c r="A1532" s="6">
        <v>1531</v>
      </c>
      <c r="B1532" s="8" t="s">
        <v>4338</v>
      </c>
      <c r="C1532" s="8" t="s">
        <v>4339</v>
      </c>
      <c r="D1532" s="8" t="s">
        <v>4340</v>
      </c>
      <c r="E1532" s="8" t="s">
        <v>311</v>
      </c>
      <c r="F1532" s="8" t="s">
        <v>4341</v>
      </c>
    </row>
    <row r="1533" customHeight="1" spans="1:6">
      <c r="A1533" s="6">
        <v>1532</v>
      </c>
      <c r="B1533" s="8" t="s">
        <v>4338</v>
      </c>
      <c r="C1533" s="8" t="s">
        <v>4339</v>
      </c>
      <c r="D1533" s="8" t="s">
        <v>4340</v>
      </c>
      <c r="E1533" s="8" t="s">
        <v>311</v>
      </c>
      <c r="F1533" s="8" t="s">
        <v>4341</v>
      </c>
    </row>
    <row r="1534" customHeight="1" spans="1:6">
      <c r="A1534" s="6">
        <v>1533</v>
      </c>
      <c r="B1534" s="8" t="s">
        <v>4342</v>
      </c>
      <c r="C1534" s="8" t="s">
        <v>4343</v>
      </c>
      <c r="D1534" s="8" t="s">
        <v>4344</v>
      </c>
      <c r="E1534" s="8" t="s">
        <v>4345</v>
      </c>
      <c r="F1534" s="8" t="s">
        <v>4346</v>
      </c>
    </row>
    <row r="1535" customHeight="1" spans="1:6">
      <c r="A1535" s="6">
        <v>1534</v>
      </c>
      <c r="B1535" s="8" t="s">
        <v>4342</v>
      </c>
      <c r="C1535" s="8" t="s">
        <v>4343</v>
      </c>
      <c r="D1535" s="8" t="s">
        <v>4344</v>
      </c>
      <c r="E1535" s="8" t="s">
        <v>4345</v>
      </c>
      <c r="F1535" s="8" t="s">
        <v>4346</v>
      </c>
    </row>
    <row r="1536" customHeight="1" spans="1:6">
      <c r="A1536" s="6">
        <v>1535</v>
      </c>
      <c r="B1536" s="7" t="str">
        <f>"978-7-5096-7742-1"</f>
        <v>978-7-5096-7742-1</v>
      </c>
      <c r="C1536" s="7" t="str">
        <f>"混合所有制改革下国有企业控制权的合理配置"</f>
        <v>混合所有制改革下国有企业控制权的合理配置</v>
      </c>
      <c r="D1536" s="7" t="str">
        <f t="shared" ref="D1536:D1539" si="107">"郭斌著"</f>
        <v>郭斌著</v>
      </c>
      <c r="E1536" s="7" t="str">
        <f>"经济管理出版社"</f>
        <v>经济管理出版社</v>
      </c>
      <c r="F1536" s="7" t="str">
        <f>"F279.241/185"</f>
        <v>F279.241/185</v>
      </c>
    </row>
    <row r="1537" customHeight="1" spans="1:6">
      <c r="A1537" s="6">
        <v>1536</v>
      </c>
      <c r="B1537" s="7" t="str">
        <f>"978-7-5096-7742-1"</f>
        <v>978-7-5096-7742-1</v>
      </c>
      <c r="C1537" s="7" t="str">
        <f>"混合所有制改革下国有企业控制权的合理配置"</f>
        <v>混合所有制改革下国有企业控制权的合理配置</v>
      </c>
      <c r="D1537" s="7" t="str">
        <f t="shared" si="107"/>
        <v>郭斌著</v>
      </c>
      <c r="E1537" s="7" t="str">
        <f>"经济管理出版社"</f>
        <v>经济管理出版社</v>
      </c>
      <c r="F1537" s="7" t="str">
        <f>"F279.241/185"</f>
        <v>F279.241/185</v>
      </c>
    </row>
    <row r="1538" customHeight="1" spans="1:6">
      <c r="A1538" s="6">
        <v>1537</v>
      </c>
      <c r="B1538" s="7" t="str">
        <f>"978-7-5136-6608-4"</f>
        <v>978-7-5136-6608-4</v>
      </c>
      <c r="C1538" s="7" t="str">
        <f>"国有企业混合所有制改革的多国模式比较与路径借鉴"</f>
        <v>国有企业混合所有制改革的多国模式比较与路径借鉴</v>
      </c>
      <c r="D1538" s="7" t="str">
        <f t="shared" si="107"/>
        <v>郭斌著</v>
      </c>
      <c r="E1538" s="7" t="str">
        <f>"中国经济出版社"</f>
        <v>中国经济出版社</v>
      </c>
      <c r="F1538" s="7" t="str">
        <f>"F279.241/186"</f>
        <v>F279.241/186</v>
      </c>
    </row>
    <row r="1539" customHeight="1" spans="1:6">
      <c r="A1539" s="6">
        <v>1538</v>
      </c>
      <c r="B1539" s="7" t="str">
        <f>"978-7-5136-6608-4"</f>
        <v>978-7-5136-6608-4</v>
      </c>
      <c r="C1539" s="7" t="str">
        <f>"国有企业混合所有制改革的多国模式比较与路径借鉴"</f>
        <v>国有企业混合所有制改革的多国模式比较与路径借鉴</v>
      </c>
      <c r="D1539" s="7" t="str">
        <f t="shared" si="107"/>
        <v>郭斌著</v>
      </c>
      <c r="E1539" s="7" t="str">
        <f>"中国经济出版社"</f>
        <v>中国经济出版社</v>
      </c>
      <c r="F1539" s="7" t="str">
        <f>"F279.241/186"</f>
        <v>F279.241/186</v>
      </c>
    </row>
    <row r="1540" customHeight="1" spans="1:6">
      <c r="A1540" s="6">
        <v>1539</v>
      </c>
      <c r="B1540" s="8" t="s">
        <v>4347</v>
      </c>
      <c r="C1540" s="8" t="s">
        <v>4348</v>
      </c>
      <c r="D1540" s="8" t="s">
        <v>4349</v>
      </c>
      <c r="E1540" s="8" t="s">
        <v>311</v>
      </c>
      <c r="F1540" s="8" t="s">
        <v>4350</v>
      </c>
    </row>
    <row r="1541" customHeight="1" spans="1:6">
      <c r="A1541" s="6">
        <v>1540</v>
      </c>
      <c r="B1541" s="8" t="s">
        <v>4347</v>
      </c>
      <c r="C1541" s="8" t="s">
        <v>4348</v>
      </c>
      <c r="D1541" s="8" t="s">
        <v>4349</v>
      </c>
      <c r="E1541" s="8" t="s">
        <v>311</v>
      </c>
      <c r="F1541" s="8" t="s">
        <v>4350</v>
      </c>
    </row>
    <row r="1542" customHeight="1" spans="1:6">
      <c r="A1542" s="6">
        <v>1541</v>
      </c>
      <c r="B1542" s="7" t="str">
        <f>"978-7-5164-2417-9"</f>
        <v>978-7-5164-2417-9</v>
      </c>
      <c r="C1542" s="7" t="str">
        <f>"我国中小银行功能定位与中小企业融资问题研究"</f>
        <v>我国中小银行功能定位与中小企业融资问题研究</v>
      </c>
      <c r="D1542" s="7" t="str">
        <f>"胡国晖著"</f>
        <v>胡国晖著</v>
      </c>
      <c r="E1542" s="7" t="str">
        <f>"企业管理出版社"</f>
        <v>企业管理出版社</v>
      </c>
      <c r="F1542" s="7" t="str">
        <f>"F279.243/171"</f>
        <v>F279.243/171</v>
      </c>
    </row>
    <row r="1543" customHeight="1" spans="1:6">
      <c r="A1543" s="6">
        <v>1542</v>
      </c>
      <c r="B1543" s="7" t="str">
        <f>"978-7-5164-2417-9"</f>
        <v>978-7-5164-2417-9</v>
      </c>
      <c r="C1543" s="7" t="str">
        <f>"我国中小银行功能定位与中小企业融资问题研究"</f>
        <v>我国中小银行功能定位与中小企业融资问题研究</v>
      </c>
      <c r="D1543" s="7" t="str">
        <f>"胡国晖著"</f>
        <v>胡国晖著</v>
      </c>
      <c r="E1543" s="7" t="str">
        <f>"企业管理出版社"</f>
        <v>企业管理出版社</v>
      </c>
      <c r="F1543" s="7" t="str">
        <f>"F279.243/171"</f>
        <v>F279.243/171</v>
      </c>
    </row>
    <row r="1544" customHeight="1" spans="1:6">
      <c r="A1544" s="6">
        <v>1543</v>
      </c>
      <c r="B1544" s="8" t="s">
        <v>4351</v>
      </c>
      <c r="C1544" s="8" t="s">
        <v>4352</v>
      </c>
      <c r="D1544" s="8" t="s">
        <v>4353</v>
      </c>
      <c r="E1544" s="8" t="s">
        <v>311</v>
      </c>
      <c r="F1544" s="8" t="s">
        <v>4354</v>
      </c>
    </row>
    <row r="1545" customHeight="1" spans="1:6">
      <c r="A1545" s="6">
        <v>1544</v>
      </c>
      <c r="B1545" s="8" t="s">
        <v>4351</v>
      </c>
      <c r="C1545" s="8" t="s">
        <v>4352</v>
      </c>
      <c r="D1545" s="8" t="s">
        <v>4353</v>
      </c>
      <c r="E1545" s="8" t="s">
        <v>311</v>
      </c>
      <c r="F1545" s="8" t="s">
        <v>4354</v>
      </c>
    </row>
    <row r="1546" customHeight="1" spans="1:6">
      <c r="A1546" s="6">
        <v>1545</v>
      </c>
      <c r="B1546" s="8" t="s">
        <v>4355</v>
      </c>
      <c r="C1546" s="8" t="s">
        <v>4356</v>
      </c>
      <c r="D1546" s="8" t="s">
        <v>4262</v>
      </c>
      <c r="E1546" s="8" t="s">
        <v>2161</v>
      </c>
      <c r="F1546" s="8" t="s">
        <v>4357</v>
      </c>
    </row>
    <row r="1547" customHeight="1" spans="1:6">
      <c r="A1547" s="6">
        <v>1546</v>
      </c>
      <c r="B1547" s="8" t="s">
        <v>4355</v>
      </c>
      <c r="C1547" s="8" t="s">
        <v>4356</v>
      </c>
      <c r="D1547" s="8" t="s">
        <v>4262</v>
      </c>
      <c r="E1547" s="8" t="s">
        <v>2161</v>
      </c>
      <c r="F1547" s="8" t="s">
        <v>4357</v>
      </c>
    </row>
    <row r="1548" customHeight="1" spans="1:6">
      <c r="A1548" s="6">
        <v>1547</v>
      </c>
      <c r="B1548" s="8" t="s">
        <v>4355</v>
      </c>
      <c r="C1548" s="8" t="s">
        <v>4356</v>
      </c>
      <c r="D1548" s="8" t="s">
        <v>4262</v>
      </c>
      <c r="E1548" s="8" t="s">
        <v>2161</v>
      </c>
      <c r="F1548" s="8" t="s">
        <v>4357</v>
      </c>
    </row>
    <row r="1549" customHeight="1" spans="1:6">
      <c r="A1549" s="6">
        <v>1548</v>
      </c>
      <c r="B1549" s="8" t="s">
        <v>4358</v>
      </c>
      <c r="C1549" s="8" t="s">
        <v>4359</v>
      </c>
      <c r="D1549" s="8" t="s">
        <v>4360</v>
      </c>
      <c r="E1549" s="8" t="s">
        <v>311</v>
      </c>
      <c r="F1549" s="8" t="s">
        <v>4361</v>
      </c>
    </row>
    <row r="1550" customHeight="1" spans="1:6">
      <c r="A1550" s="6">
        <v>1549</v>
      </c>
      <c r="B1550" s="8" t="s">
        <v>4358</v>
      </c>
      <c r="C1550" s="8" t="s">
        <v>4359</v>
      </c>
      <c r="D1550" s="8" t="s">
        <v>4360</v>
      </c>
      <c r="E1550" s="8" t="s">
        <v>311</v>
      </c>
      <c r="F1550" s="8" t="s">
        <v>4361</v>
      </c>
    </row>
    <row r="1551" customHeight="1" spans="1:6">
      <c r="A1551" s="6">
        <v>1550</v>
      </c>
      <c r="B1551" s="8" t="s">
        <v>4358</v>
      </c>
      <c r="C1551" s="8" t="s">
        <v>4359</v>
      </c>
      <c r="D1551" s="8" t="s">
        <v>4360</v>
      </c>
      <c r="E1551" s="8" t="s">
        <v>311</v>
      </c>
      <c r="F1551" s="8" t="s">
        <v>4361</v>
      </c>
    </row>
    <row r="1552" customHeight="1" spans="1:6">
      <c r="A1552" s="6">
        <v>1551</v>
      </c>
      <c r="B1552" s="8" t="s">
        <v>4362</v>
      </c>
      <c r="C1552" s="8" t="s">
        <v>4363</v>
      </c>
      <c r="D1552" s="8" t="s">
        <v>4364</v>
      </c>
      <c r="E1552" s="8" t="s">
        <v>4365</v>
      </c>
      <c r="F1552" s="8" t="s">
        <v>4366</v>
      </c>
    </row>
    <row r="1553" customHeight="1" spans="1:6">
      <c r="A1553" s="6">
        <v>1552</v>
      </c>
      <c r="B1553" s="8" t="s">
        <v>4362</v>
      </c>
      <c r="C1553" s="8" t="s">
        <v>4363</v>
      </c>
      <c r="D1553" s="8" t="s">
        <v>4364</v>
      </c>
      <c r="E1553" s="8" t="s">
        <v>4365</v>
      </c>
      <c r="F1553" s="8" t="s">
        <v>4366</v>
      </c>
    </row>
    <row r="1554" customHeight="1" spans="1:6">
      <c r="A1554" s="6">
        <v>1553</v>
      </c>
      <c r="B1554" s="8" t="s">
        <v>4362</v>
      </c>
      <c r="C1554" s="8" t="s">
        <v>4363</v>
      </c>
      <c r="D1554" s="8" t="s">
        <v>4364</v>
      </c>
      <c r="E1554" s="8" t="s">
        <v>4365</v>
      </c>
      <c r="F1554" s="8" t="s">
        <v>4366</v>
      </c>
    </row>
    <row r="1555" customHeight="1" spans="1:6">
      <c r="A1555" s="6">
        <v>1554</v>
      </c>
      <c r="B1555" s="8" t="s">
        <v>4367</v>
      </c>
      <c r="C1555" s="8" t="s">
        <v>4368</v>
      </c>
      <c r="D1555" s="8" t="s">
        <v>4369</v>
      </c>
      <c r="E1555" s="8" t="s">
        <v>3146</v>
      </c>
      <c r="F1555" s="8" t="s">
        <v>4370</v>
      </c>
    </row>
    <row r="1556" customHeight="1" spans="1:6">
      <c r="A1556" s="6">
        <v>1555</v>
      </c>
      <c r="B1556" s="8" t="s">
        <v>4367</v>
      </c>
      <c r="C1556" s="8" t="s">
        <v>4368</v>
      </c>
      <c r="D1556" s="8" t="s">
        <v>4369</v>
      </c>
      <c r="E1556" s="8" t="s">
        <v>3146</v>
      </c>
      <c r="F1556" s="8" t="s">
        <v>4370</v>
      </c>
    </row>
    <row r="1557" customHeight="1" spans="1:6">
      <c r="A1557" s="6">
        <v>1556</v>
      </c>
      <c r="B1557" s="7" t="str">
        <f>"978-7-121-41687-3"</f>
        <v>978-7-121-41687-3</v>
      </c>
      <c r="C1557" s="7" t="str">
        <f>"沸腾新十年：移动互联网丛林里的勇敢穿越者．上"</f>
        <v>沸腾新十年：移动互联网丛林里的勇敢穿越者．上</v>
      </c>
      <c r="D1557" s="7" t="str">
        <f t="shared" ref="D1557:D1560" si="108">"林军， 胡喆著"</f>
        <v>林军， 胡喆著</v>
      </c>
      <c r="E1557" s="7" t="str">
        <f t="shared" ref="E1557:E1560" si="109">"电子工业出版社"</f>
        <v>电子工业出版社</v>
      </c>
      <c r="F1557" s="7" t="str">
        <f>"F279.244.4/58/1"</f>
        <v>F279.244.4/58/1</v>
      </c>
    </row>
    <row r="1558" customHeight="1" spans="1:6">
      <c r="A1558" s="6">
        <v>1557</v>
      </c>
      <c r="B1558" s="7" t="str">
        <f>"978-7-121-41687-3"</f>
        <v>978-7-121-41687-3</v>
      </c>
      <c r="C1558" s="7" t="str">
        <f>"沸腾新十年：移动互联网丛林里的勇敢穿越者．上"</f>
        <v>沸腾新十年：移动互联网丛林里的勇敢穿越者．上</v>
      </c>
      <c r="D1558" s="7" t="str">
        <f t="shared" si="108"/>
        <v>林军， 胡喆著</v>
      </c>
      <c r="E1558" s="7" t="str">
        <f t="shared" si="109"/>
        <v>电子工业出版社</v>
      </c>
      <c r="F1558" s="7" t="str">
        <f>"F279.244.4/58/1"</f>
        <v>F279.244.4/58/1</v>
      </c>
    </row>
    <row r="1559" customHeight="1" spans="1:6">
      <c r="A1559" s="6">
        <v>1558</v>
      </c>
      <c r="B1559" s="7" t="str">
        <f>"978-7-121-41754-2"</f>
        <v>978-7-121-41754-2</v>
      </c>
      <c r="C1559" s="7" t="str">
        <f>"沸腾新十年：移动互联网丛林里的勇敢穿越者．下"</f>
        <v>沸腾新十年：移动互联网丛林里的勇敢穿越者．下</v>
      </c>
      <c r="D1559" s="7" t="str">
        <f t="shared" si="108"/>
        <v>林军， 胡喆著</v>
      </c>
      <c r="E1559" s="7" t="str">
        <f t="shared" si="109"/>
        <v>电子工业出版社</v>
      </c>
      <c r="F1559" s="7" t="str">
        <f>"F279.244.4/58/2"</f>
        <v>F279.244.4/58/2</v>
      </c>
    </row>
    <row r="1560" customHeight="1" spans="1:6">
      <c r="A1560" s="6">
        <v>1559</v>
      </c>
      <c r="B1560" s="7" t="str">
        <f>"978-7-121-41754-2"</f>
        <v>978-7-121-41754-2</v>
      </c>
      <c r="C1560" s="7" t="str">
        <f>"沸腾新十年：移动互联网丛林里的勇敢穿越者．下"</f>
        <v>沸腾新十年：移动互联网丛林里的勇敢穿越者．下</v>
      </c>
      <c r="D1560" s="7" t="str">
        <f t="shared" si="108"/>
        <v>林军， 胡喆著</v>
      </c>
      <c r="E1560" s="7" t="str">
        <f t="shared" si="109"/>
        <v>电子工业出版社</v>
      </c>
      <c r="F1560" s="7" t="str">
        <f>"F279.244.4/58/2"</f>
        <v>F279.244.4/58/2</v>
      </c>
    </row>
    <row r="1561" customHeight="1" spans="1:6">
      <c r="A1561" s="6">
        <v>1560</v>
      </c>
      <c r="B1561" s="8" t="s">
        <v>4371</v>
      </c>
      <c r="C1561" s="8" t="s">
        <v>4372</v>
      </c>
      <c r="D1561" s="8" t="s">
        <v>4373</v>
      </c>
      <c r="E1561" s="8" t="s">
        <v>311</v>
      </c>
      <c r="F1561" s="8" t="s">
        <v>4374</v>
      </c>
    </row>
    <row r="1562" customHeight="1" spans="1:6">
      <c r="A1562" s="6">
        <v>1561</v>
      </c>
      <c r="B1562" s="8" t="s">
        <v>4371</v>
      </c>
      <c r="C1562" s="8" t="s">
        <v>4372</v>
      </c>
      <c r="D1562" s="8" t="s">
        <v>4373</v>
      </c>
      <c r="E1562" s="8" t="s">
        <v>311</v>
      </c>
      <c r="F1562" s="8" t="s">
        <v>4374</v>
      </c>
    </row>
    <row r="1563" customHeight="1" spans="1:6">
      <c r="A1563" s="6">
        <v>1562</v>
      </c>
      <c r="B1563" s="8" t="s">
        <v>4375</v>
      </c>
      <c r="C1563" s="8" t="s">
        <v>4376</v>
      </c>
      <c r="D1563" s="8" t="s">
        <v>4377</v>
      </c>
      <c r="E1563" s="8" t="s">
        <v>239</v>
      </c>
      <c r="F1563" s="8" t="s">
        <v>4378</v>
      </c>
    </row>
    <row r="1564" customHeight="1" spans="1:6">
      <c r="A1564" s="6">
        <v>1563</v>
      </c>
      <c r="B1564" s="8" t="s">
        <v>4375</v>
      </c>
      <c r="C1564" s="8" t="s">
        <v>4376</v>
      </c>
      <c r="D1564" s="8" t="s">
        <v>4377</v>
      </c>
      <c r="E1564" s="8" t="s">
        <v>239</v>
      </c>
      <c r="F1564" s="8" t="s">
        <v>4378</v>
      </c>
    </row>
    <row r="1565" customHeight="1" spans="1:6">
      <c r="A1565" s="6">
        <v>1564</v>
      </c>
      <c r="B1565" s="7" t="str">
        <f>"978-7-5682-9368-6"</f>
        <v>978-7-5682-9368-6</v>
      </c>
      <c r="C1565" s="7" t="str">
        <f>"民营企业投融资决策选择与资本结构动态调整研究"</f>
        <v>民营企业投融资决策选择与资本结构动态调整研究</v>
      </c>
      <c r="D1565" s="7" t="str">
        <f>"陈绍宇著"</f>
        <v>陈绍宇著</v>
      </c>
      <c r="E1565" s="7" t="str">
        <f>"北京理工大学出版社"</f>
        <v>北京理工大学出版社</v>
      </c>
      <c r="F1565" s="7" t="str">
        <f>"F279.245/177"</f>
        <v>F279.245/177</v>
      </c>
    </row>
    <row r="1566" customHeight="1" spans="1:6">
      <c r="A1566" s="6">
        <v>1565</v>
      </c>
      <c r="B1566" s="7" t="str">
        <f>"978-7-5682-9368-6"</f>
        <v>978-7-5682-9368-6</v>
      </c>
      <c r="C1566" s="7" t="str">
        <f>"民营企业投融资决策选择与资本结构动态调整研究"</f>
        <v>民营企业投融资决策选择与资本结构动态调整研究</v>
      </c>
      <c r="D1566" s="7" t="str">
        <f>"陈绍宇著"</f>
        <v>陈绍宇著</v>
      </c>
      <c r="E1566" s="7" t="str">
        <f>"北京理工大学出版社"</f>
        <v>北京理工大学出版社</v>
      </c>
      <c r="F1566" s="7" t="str">
        <f>"F279.245/177"</f>
        <v>F279.245/177</v>
      </c>
    </row>
    <row r="1567" customHeight="1" spans="1:6">
      <c r="A1567" s="6">
        <v>1566</v>
      </c>
      <c r="B1567" s="7" t="str">
        <f>"978-7-309-15495-5"</f>
        <v>978-7-309-15495-5</v>
      </c>
      <c r="C1567" s="7" t="str">
        <f>"中国式家族期望与创业坚持"</f>
        <v>中国式家族期望与创业坚持</v>
      </c>
      <c r="D1567" s="7" t="str">
        <f>"吕斐斐著"</f>
        <v>吕斐斐著</v>
      </c>
      <c r="E1567" s="7" t="str">
        <f>"复旦大学出版社"</f>
        <v>复旦大学出版社</v>
      </c>
      <c r="F1567" s="7" t="str">
        <f>"F279.245/178"</f>
        <v>F279.245/178</v>
      </c>
    </row>
    <row r="1568" customHeight="1" spans="1:6">
      <c r="A1568" s="6">
        <v>1567</v>
      </c>
      <c r="B1568" s="7" t="str">
        <f>"978-7-309-15495-5"</f>
        <v>978-7-309-15495-5</v>
      </c>
      <c r="C1568" s="7" t="str">
        <f>"中国式家族期望与创业坚持"</f>
        <v>中国式家族期望与创业坚持</v>
      </c>
      <c r="D1568" s="7" t="str">
        <f>"吕斐斐著"</f>
        <v>吕斐斐著</v>
      </c>
      <c r="E1568" s="7" t="str">
        <f>"复旦大学出版社"</f>
        <v>复旦大学出版社</v>
      </c>
      <c r="F1568" s="7" t="str">
        <f>"F279.245/178"</f>
        <v>F279.245/178</v>
      </c>
    </row>
    <row r="1569" customHeight="1" spans="1:6">
      <c r="A1569" s="6">
        <v>1568</v>
      </c>
      <c r="B1569" s="8" t="s">
        <v>4379</v>
      </c>
      <c r="C1569" s="8" t="s">
        <v>4380</v>
      </c>
      <c r="D1569" s="8" t="s">
        <v>4381</v>
      </c>
      <c r="E1569" s="8" t="s">
        <v>76</v>
      </c>
      <c r="F1569" s="8" t="s">
        <v>4382</v>
      </c>
    </row>
    <row r="1570" customHeight="1" spans="1:6">
      <c r="A1570" s="6">
        <v>1569</v>
      </c>
      <c r="B1570" s="8" t="s">
        <v>4379</v>
      </c>
      <c r="C1570" s="8" t="s">
        <v>4380</v>
      </c>
      <c r="D1570" s="8" t="s">
        <v>4381</v>
      </c>
      <c r="E1570" s="8" t="s">
        <v>76</v>
      </c>
      <c r="F1570" s="8" t="s">
        <v>4382</v>
      </c>
    </row>
    <row r="1571" customHeight="1" spans="1:6">
      <c r="A1571" s="6">
        <v>1570</v>
      </c>
      <c r="B1571" s="8" t="s">
        <v>4383</v>
      </c>
      <c r="C1571" s="8" t="s">
        <v>4384</v>
      </c>
      <c r="D1571" s="8" t="s">
        <v>4385</v>
      </c>
      <c r="E1571" s="8" t="s">
        <v>350</v>
      </c>
      <c r="F1571" s="8" t="s">
        <v>4386</v>
      </c>
    </row>
    <row r="1572" customHeight="1" spans="1:6">
      <c r="A1572" s="6">
        <v>1571</v>
      </c>
      <c r="B1572" s="8" t="s">
        <v>4383</v>
      </c>
      <c r="C1572" s="8" t="s">
        <v>4384</v>
      </c>
      <c r="D1572" s="8" t="s">
        <v>4385</v>
      </c>
      <c r="E1572" s="8" t="s">
        <v>350</v>
      </c>
      <c r="F1572" s="8" t="s">
        <v>4386</v>
      </c>
    </row>
    <row r="1573" customHeight="1" spans="1:6">
      <c r="A1573" s="6">
        <v>1572</v>
      </c>
      <c r="B1573" s="8" t="s">
        <v>4387</v>
      </c>
      <c r="C1573" s="8" t="s">
        <v>4388</v>
      </c>
      <c r="D1573" s="8" t="s">
        <v>4389</v>
      </c>
      <c r="E1573" s="8" t="s">
        <v>288</v>
      </c>
      <c r="F1573" s="8" t="s">
        <v>4390</v>
      </c>
    </row>
    <row r="1574" customHeight="1" spans="1:6">
      <c r="A1574" s="6">
        <v>1573</v>
      </c>
      <c r="B1574" s="8" t="s">
        <v>4387</v>
      </c>
      <c r="C1574" s="8" t="s">
        <v>4388</v>
      </c>
      <c r="D1574" s="8" t="s">
        <v>4389</v>
      </c>
      <c r="E1574" s="8" t="s">
        <v>288</v>
      </c>
      <c r="F1574" s="8" t="s">
        <v>4390</v>
      </c>
    </row>
    <row r="1575" customHeight="1" spans="1:6">
      <c r="A1575" s="6">
        <v>1574</v>
      </c>
      <c r="B1575" s="7" t="str">
        <f>"978-7-5504-4873-5"</f>
        <v>978-7-5504-4873-5</v>
      </c>
      <c r="C1575" s="7" t="str">
        <f>"中国上市公司企业社会责任行为研究"</f>
        <v>中国上市公司企业社会责任行为研究</v>
      </c>
      <c r="D1575" s="7" t="str">
        <f>"万鹏， 陈翔宇著"</f>
        <v>万鹏， 陈翔宇著</v>
      </c>
      <c r="E1575" s="7" t="str">
        <f>"西南财经大学出版社"</f>
        <v>西南财经大学出版社</v>
      </c>
      <c r="F1575" s="7" t="str">
        <f>"F279.246/319"</f>
        <v>F279.246/319</v>
      </c>
    </row>
    <row r="1576" customHeight="1" spans="1:6">
      <c r="A1576" s="6">
        <v>1575</v>
      </c>
      <c r="B1576" s="7" t="str">
        <f>"978-7-5504-4873-5"</f>
        <v>978-7-5504-4873-5</v>
      </c>
      <c r="C1576" s="7" t="str">
        <f>"中国上市公司企业社会责任行为研究"</f>
        <v>中国上市公司企业社会责任行为研究</v>
      </c>
      <c r="D1576" s="7" t="str">
        <f>"万鹏， 陈翔宇著"</f>
        <v>万鹏， 陈翔宇著</v>
      </c>
      <c r="E1576" s="7" t="str">
        <f>"西南财经大学出版社"</f>
        <v>西南财经大学出版社</v>
      </c>
      <c r="F1576" s="7" t="str">
        <f>"F279.246/319"</f>
        <v>F279.246/319</v>
      </c>
    </row>
    <row r="1577" customHeight="1" spans="1:6">
      <c r="A1577" s="6">
        <v>1576</v>
      </c>
      <c r="B1577" s="7" t="str">
        <f>"978-7-300-29351-6"</f>
        <v>978-7-300-29351-6</v>
      </c>
      <c r="C1577" s="7" t="str">
        <f>"掌控与激励：公司治理的中国故事"</f>
        <v>掌控与激励：公司治理的中国故事</v>
      </c>
      <c r="D1577" s="7" t="str">
        <f>"郑志刚著"</f>
        <v>郑志刚著</v>
      </c>
      <c r="E1577" s="7" t="str">
        <f>"中国人民大学出版社"</f>
        <v>中国人民大学出版社</v>
      </c>
      <c r="F1577" s="7" t="str">
        <f>"F279.246/320"</f>
        <v>F279.246/320</v>
      </c>
    </row>
    <row r="1578" customHeight="1" spans="1:6">
      <c r="A1578" s="6">
        <v>1577</v>
      </c>
      <c r="B1578" s="7" t="str">
        <f>"978-7-300-29351-6"</f>
        <v>978-7-300-29351-6</v>
      </c>
      <c r="C1578" s="7" t="str">
        <f>"掌控与激励：公司治理的中国故事"</f>
        <v>掌控与激励：公司治理的中国故事</v>
      </c>
      <c r="D1578" s="7" t="str">
        <f>"郑志刚著"</f>
        <v>郑志刚著</v>
      </c>
      <c r="E1578" s="7" t="str">
        <f>"中国人民大学出版社"</f>
        <v>中国人民大学出版社</v>
      </c>
      <c r="F1578" s="7" t="str">
        <f>"F279.246/320"</f>
        <v>F279.246/320</v>
      </c>
    </row>
    <row r="1579" customHeight="1" spans="1:6">
      <c r="A1579" s="6">
        <v>1578</v>
      </c>
      <c r="B1579" s="8" t="s">
        <v>4391</v>
      </c>
      <c r="C1579" s="8" t="s">
        <v>4392</v>
      </c>
      <c r="D1579" s="8" t="s">
        <v>4393</v>
      </c>
      <c r="E1579" s="8" t="s">
        <v>288</v>
      </c>
      <c r="F1579" s="8" t="s">
        <v>4394</v>
      </c>
    </row>
    <row r="1580" customHeight="1" spans="1:6">
      <c r="A1580" s="6">
        <v>1579</v>
      </c>
      <c r="B1580" s="8" t="s">
        <v>4391</v>
      </c>
      <c r="C1580" s="8" t="s">
        <v>4392</v>
      </c>
      <c r="D1580" s="8" t="s">
        <v>4393</v>
      </c>
      <c r="E1580" s="8" t="s">
        <v>288</v>
      </c>
      <c r="F1580" s="8" t="s">
        <v>4394</v>
      </c>
    </row>
    <row r="1581" customHeight="1" spans="1:6">
      <c r="A1581" s="6">
        <v>1580</v>
      </c>
      <c r="B1581" s="8" t="s">
        <v>4395</v>
      </c>
      <c r="C1581" s="8" t="s">
        <v>4396</v>
      </c>
      <c r="D1581" s="8" t="s">
        <v>4397</v>
      </c>
      <c r="E1581" s="8" t="s">
        <v>710</v>
      </c>
      <c r="F1581" s="8" t="s">
        <v>4398</v>
      </c>
    </row>
    <row r="1582" customHeight="1" spans="1:6">
      <c r="A1582" s="6">
        <v>1581</v>
      </c>
      <c r="B1582" s="8" t="s">
        <v>4395</v>
      </c>
      <c r="C1582" s="8" t="s">
        <v>4396</v>
      </c>
      <c r="D1582" s="8" t="s">
        <v>4397</v>
      </c>
      <c r="E1582" s="8" t="s">
        <v>710</v>
      </c>
      <c r="F1582" s="8" t="s">
        <v>4398</v>
      </c>
    </row>
    <row r="1583" customHeight="1" spans="1:6">
      <c r="A1583" s="6">
        <v>1582</v>
      </c>
      <c r="B1583" s="8" t="s">
        <v>4399</v>
      </c>
      <c r="C1583" s="8" t="s">
        <v>4400</v>
      </c>
      <c r="D1583" s="8" t="s">
        <v>4401</v>
      </c>
      <c r="E1583" s="8" t="s">
        <v>1400</v>
      </c>
      <c r="F1583" s="8" t="s">
        <v>4402</v>
      </c>
    </row>
    <row r="1584" customHeight="1" spans="1:6">
      <c r="A1584" s="6">
        <v>1583</v>
      </c>
      <c r="B1584" s="8" t="s">
        <v>4399</v>
      </c>
      <c r="C1584" s="8" t="s">
        <v>4400</v>
      </c>
      <c r="D1584" s="8" t="s">
        <v>4401</v>
      </c>
      <c r="E1584" s="8" t="s">
        <v>1400</v>
      </c>
      <c r="F1584" s="8" t="s">
        <v>4402</v>
      </c>
    </row>
    <row r="1585" customHeight="1" spans="1:6">
      <c r="A1585" s="6">
        <v>1584</v>
      </c>
      <c r="B1585" s="8" t="s">
        <v>4399</v>
      </c>
      <c r="C1585" s="8" t="s">
        <v>4400</v>
      </c>
      <c r="D1585" s="8" t="s">
        <v>4401</v>
      </c>
      <c r="E1585" s="8" t="s">
        <v>1400</v>
      </c>
      <c r="F1585" s="8" t="s">
        <v>4402</v>
      </c>
    </row>
    <row r="1586" customHeight="1" spans="1:6">
      <c r="A1586" s="6">
        <v>1585</v>
      </c>
      <c r="B1586" s="8" t="s">
        <v>4403</v>
      </c>
      <c r="C1586" s="8" t="s">
        <v>4404</v>
      </c>
      <c r="D1586" s="8" t="s">
        <v>4405</v>
      </c>
      <c r="E1586" s="8" t="s">
        <v>283</v>
      </c>
      <c r="F1586" s="8" t="s">
        <v>4406</v>
      </c>
    </row>
    <row r="1587" customHeight="1" spans="1:6">
      <c r="A1587" s="6">
        <v>1586</v>
      </c>
      <c r="B1587" s="8" t="s">
        <v>4403</v>
      </c>
      <c r="C1587" s="8" t="s">
        <v>4404</v>
      </c>
      <c r="D1587" s="8" t="s">
        <v>4405</v>
      </c>
      <c r="E1587" s="8" t="s">
        <v>283</v>
      </c>
      <c r="F1587" s="8" t="s">
        <v>4406</v>
      </c>
    </row>
    <row r="1588" customHeight="1" spans="1:6">
      <c r="A1588" s="6">
        <v>1587</v>
      </c>
      <c r="B1588" s="7" t="str">
        <f>"978-7-5096-7951-7"</f>
        <v>978-7-5096-7951-7</v>
      </c>
      <c r="C1588" s="7" t="str">
        <f>"新时代浙商商业模式创新经验"</f>
        <v>新时代浙商商业模式创新经验</v>
      </c>
      <c r="D1588" s="7" t="str">
        <f>"罗兴武编著"</f>
        <v>罗兴武编著</v>
      </c>
      <c r="E1588" s="7" t="str">
        <f>"经济管理出版社"</f>
        <v>经济管理出版社</v>
      </c>
      <c r="F1588" s="7" t="str">
        <f>"F279.275.5/3"</f>
        <v>F279.275.5/3</v>
      </c>
    </row>
    <row r="1589" customHeight="1" spans="1:6">
      <c r="A1589" s="6">
        <v>1588</v>
      </c>
      <c r="B1589" s="7" t="str">
        <f>"978-7-5096-7951-7"</f>
        <v>978-7-5096-7951-7</v>
      </c>
      <c r="C1589" s="7" t="str">
        <f>"新时代浙商商业模式创新经验"</f>
        <v>新时代浙商商业模式创新经验</v>
      </c>
      <c r="D1589" s="7" t="str">
        <f>"罗兴武编著"</f>
        <v>罗兴武编著</v>
      </c>
      <c r="E1589" s="7" t="str">
        <f>"经济管理出版社"</f>
        <v>经济管理出版社</v>
      </c>
      <c r="F1589" s="7" t="str">
        <f>"F279.275.5/3"</f>
        <v>F279.275.5/3</v>
      </c>
    </row>
    <row r="1590" customHeight="1" spans="1:6">
      <c r="A1590" s="6">
        <v>1589</v>
      </c>
      <c r="B1590" s="8" t="s">
        <v>4407</v>
      </c>
      <c r="C1590" s="8" t="s">
        <v>4408</v>
      </c>
      <c r="D1590" s="8" t="s">
        <v>4409</v>
      </c>
      <c r="E1590" s="8" t="s">
        <v>810</v>
      </c>
      <c r="F1590" s="8" t="s">
        <v>4410</v>
      </c>
    </row>
    <row r="1591" customHeight="1" spans="1:6">
      <c r="A1591" s="6">
        <v>1590</v>
      </c>
      <c r="B1591" s="8" t="s">
        <v>4407</v>
      </c>
      <c r="C1591" s="8" t="s">
        <v>4408</v>
      </c>
      <c r="D1591" s="8" t="s">
        <v>4409</v>
      </c>
      <c r="E1591" s="8" t="s">
        <v>810</v>
      </c>
      <c r="F1591" s="8" t="s">
        <v>4410</v>
      </c>
    </row>
    <row r="1592" customHeight="1" spans="1:6">
      <c r="A1592" s="6">
        <v>1591</v>
      </c>
      <c r="B1592" s="8" t="s">
        <v>4407</v>
      </c>
      <c r="C1592" s="8" t="s">
        <v>4408</v>
      </c>
      <c r="D1592" s="8" t="s">
        <v>4409</v>
      </c>
      <c r="E1592" s="8" t="s">
        <v>810</v>
      </c>
      <c r="F1592" s="8" t="s">
        <v>4410</v>
      </c>
    </row>
    <row r="1593" customHeight="1" spans="1:6">
      <c r="A1593" s="6">
        <v>1592</v>
      </c>
      <c r="B1593" s="8" t="s">
        <v>4411</v>
      </c>
      <c r="C1593" s="8" t="s">
        <v>4412</v>
      </c>
      <c r="D1593" s="8" t="s">
        <v>4413</v>
      </c>
      <c r="E1593" s="8" t="s">
        <v>13</v>
      </c>
      <c r="F1593" s="8" t="s">
        <v>4414</v>
      </c>
    </row>
    <row r="1594" customHeight="1" spans="1:6">
      <c r="A1594" s="6">
        <v>1593</v>
      </c>
      <c r="B1594" s="8" t="s">
        <v>4411</v>
      </c>
      <c r="C1594" s="8" t="s">
        <v>4412</v>
      </c>
      <c r="D1594" s="8" t="s">
        <v>4413</v>
      </c>
      <c r="E1594" s="8" t="s">
        <v>13</v>
      </c>
      <c r="F1594" s="8" t="s">
        <v>4414</v>
      </c>
    </row>
    <row r="1595" customHeight="1" spans="1:6">
      <c r="A1595" s="6">
        <v>1594</v>
      </c>
      <c r="B1595" s="8" t="s">
        <v>4415</v>
      </c>
      <c r="C1595" s="8" t="s">
        <v>4416</v>
      </c>
      <c r="D1595" s="8" t="s">
        <v>4417</v>
      </c>
      <c r="E1595" s="8" t="s">
        <v>530</v>
      </c>
      <c r="F1595" s="8" t="s">
        <v>4418</v>
      </c>
    </row>
    <row r="1596" customHeight="1" spans="1:6">
      <c r="A1596" s="6">
        <v>1595</v>
      </c>
      <c r="B1596" s="8" t="s">
        <v>4415</v>
      </c>
      <c r="C1596" s="8" t="s">
        <v>4416</v>
      </c>
      <c r="D1596" s="8" t="s">
        <v>4417</v>
      </c>
      <c r="E1596" s="8" t="s">
        <v>530</v>
      </c>
      <c r="F1596" s="8" t="s">
        <v>4418</v>
      </c>
    </row>
    <row r="1597" customHeight="1" spans="1:6">
      <c r="A1597" s="6">
        <v>1596</v>
      </c>
      <c r="B1597" s="8" t="s">
        <v>4419</v>
      </c>
      <c r="C1597" s="8" t="s">
        <v>4420</v>
      </c>
      <c r="D1597" s="8" t="s">
        <v>4421</v>
      </c>
      <c r="E1597" s="8" t="s">
        <v>2267</v>
      </c>
      <c r="F1597" s="8" t="s">
        <v>4422</v>
      </c>
    </row>
    <row r="1598" customHeight="1" spans="1:6">
      <c r="A1598" s="6">
        <v>1597</v>
      </c>
      <c r="B1598" s="8" t="s">
        <v>4419</v>
      </c>
      <c r="C1598" s="8" t="s">
        <v>4420</v>
      </c>
      <c r="D1598" s="8" t="s">
        <v>4421</v>
      </c>
      <c r="E1598" s="8" t="s">
        <v>2267</v>
      </c>
      <c r="F1598" s="8" t="s">
        <v>4422</v>
      </c>
    </row>
    <row r="1599" customHeight="1" spans="1:6">
      <c r="A1599" s="6">
        <v>1598</v>
      </c>
      <c r="B1599" s="8" t="s">
        <v>4419</v>
      </c>
      <c r="C1599" s="8" t="s">
        <v>4420</v>
      </c>
      <c r="D1599" s="8" t="s">
        <v>4421</v>
      </c>
      <c r="E1599" s="8" t="s">
        <v>2267</v>
      </c>
      <c r="F1599" s="8" t="s">
        <v>4422</v>
      </c>
    </row>
    <row r="1600" customHeight="1" spans="1:6">
      <c r="A1600" s="6">
        <v>1599</v>
      </c>
      <c r="B1600" s="8" t="s">
        <v>4423</v>
      </c>
      <c r="C1600" s="8" t="s">
        <v>4424</v>
      </c>
      <c r="D1600" s="8" t="s">
        <v>4425</v>
      </c>
      <c r="E1600" s="8" t="s">
        <v>810</v>
      </c>
      <c r="F1600" s="8" t="s">
        <v>4426</v>
      </c>
    </row>
    <row r="1601" customHeight="1" spans="1:6">
      <c r="A1601" s="6">
        <v>1600</v>
      </c>
      <c r="B1601" s="8" t="s">
        <v>4423</v>
      </c>
      <c r="C1601" s="8" t="s">
        <v>4424</v>
      </c>
      <c r="D1601" s="8" t="s">
        <v>4425</v>
      </c>
      <c r="E1601" s="8" t="s">
        <v>810</v>
      </c>
      <c r="F1601" s="8" t="s">
        <v>4426</v>
      </c>
    </row>
    <row r="1602" customHeight="1" spans="1:6">
      <c r="A1602" s="6">
        <v>1601</v>
      </c>
      <c r="B1602" s="8" t="s">
        <v>4427</v>
      </c>
      <c r="C1602" s="8" t="s">
        <v>4428</v>
      </c>
      <c r="D1602" s="8" t="s">
        <v>4429</v>
      </c>
      <c r="E1602" s="8" t="s">
        <v>1189</v>
      </c>
      <c r="F1602" s="8" t="s">
        <v>4430</v>
      </c>
    </row>
    <row r="1603" customHeight="1" spans="1:6">
      <c r="A1603" s="6">
        <v>1602</v>
      </c>
      <c r="B1603" s="8" t="s">
        <v>4427</v>
      </c>
      <c r="C1603" s="8" t="s">
        <v>4428</v>
      </c>
      <c r="D1603" s="8" t="s">
        <v>4429</v>
      </c>
      <c r="E1603" s="8" t="s">
        <v>1189</v>
      </c>
      <c r="F1603" s="8" t="s">
        <v>4430</v>
      </c>
    </row>
    <row r="1604" customHeight="1" spans="1:6">
      <c r="A1604" s="6">
        <v>1603</v>
      </c>
      <c r="B1604" s="8" t="s">
        <v>4427</v>
      </c>
      <c r="C1604" s="8" t="s">
        <v>4428</v>
      </c>
      <c r="D1604" s="8" t="s">
        <v>4429</v>
      </c>
      <c r="E1604" s="8" t="s">
        <v>1189</v>
      </c>
      <c r="F1604" s="8" t="s">
        <v>4430</v>
      </c>
    </row>
    <row r="1605" customHeight="1" spans="1:6">
      <c r="A1605" s="6">
        <v>1604</v>
      </c>
      <c r="B1605" s="8" t="s">
        <v>4431</v>
      </c>
      <c r="C1605" s="8" t="s">
        <v>4432</v>
      </c>
      <c r="D1605" s="8" t="s">
        <v>4433</v>
      </c>
      <c r="E1605" s="8" t="s">
        <v>216</v>
      </c>
      <c r="F1605" s="8" t="s">
        <v>4434</v>
      </c>
    </row>
    <row r="1606" customHeight="1" spans="1:6">
      <c r="A1606" s="6">
        <v>1605</v>
      </c>
      <c r="B1606" s="8" t="s">
        <v>4431</v>
      </c>
      <c r="C1606" s="8" t="s">
        <v>4432</v>
      </c>
      <c r="D1606" s="8" t="s">
        <v>4433</v>
      </c>
      <c r="E1606" s="8" t="s">
        <v>216</v>
      </c>
      <c r="F1606" s="8" t="s">
        <v>4434</v>
      </c>
    </row>
    <row r="1607" customHeight="1" spans="1:6">
      <c r="A1607" s="6">
        <v>1606</v>
      </c>
      <c r="B1607" s="8" t="s">
        <v>4435</v>
      </c>
      <c r="C1607" s="8" t="s">
        <v>4436</v>
      </c>
      <c r="D1607" s="8" t="s">
        <v>4437</v>
      </c>
      <c r="E1607" s="8" t="s">
        <v>256</v>
      </c>
      <c r="F1607" s="8" t="s">
        <v>4438</v>
      </c>
    </row>
    <row r="1608" customHeight="1" spans="1:6">
      <c r="A1608" s="6">
        <v>1607</v>
      </c>
      <c r="B1608" s="8" t="s">
        <v>4435</v>
      </c>
      <c r="C1608" s="8" t="s">
        <v>4436</v>
      </c>
      <c r="D1608" s="8" t="s">
        <v>4437</v>
      </c>
      <c r="E1608" s="8" t="s">
        <v>256</v>
      </c>
      <c r="F1608" s="8" t="s">
        <v>4438</v>
      </c>
    </row>
    <row r="1609" customHeight="1" spans="1:6">
      <c r="A1609" s="6">
        <v>1608</v>
      </c>
      <c r="B1609" s="7" t="str">
        <f>"978-7-113-27767-3"</f>
        <v>978-7-113-27767-3</v>
      </c>
      <c r="C1609" s="7" t="str">
        <f>"房地产企业会计岗位实操大全：流程+成本+做账+税法"</f>
        <v>房地产企业会计岗位实操大全：流程+成本+做账+税法</v>
      </c>
      <c r="D1609" s="7" t="str">
        <f>"会计真账实操训练营编著"</f>
        <v>会计真账实操训练营编著</v>
      </c>
      <c r="E1609" s="7" t="str">
        <f>"中国铁道出版社有限公司"</f>
        <v>中国铁道出版社有限公司</v>
      </c>
      <c r="F1609" s="7" t="str">
        <f>"F293.342/19"</f>
        <v>F293.342/19</v>
      </c>
    </row>
    <row r="1610" customHeight="1" spans="1:6">
      <c r="A1610" s="6">
        <v>1609</v>
      </c>
      <c r="B1610" s="7" t="str">
        <f>"978-7-113-27767-3"</f>
        <v>978-7-113-27767-3</v>
      </c>
      <c r="C1610" s="7" t="str">
        <f>"房地产企业会计岗位实操大全：流程+成本+做账+税法"</f>
        <v>房地产企业会计岗位实操大全：流程+成本+做账+税法</v>
      </c>
      <c r="D1610" s="7" t="str">
        <f>"会计真账实操训练营编著"</f>
        <v>会计真账实操训练营编著</v>
      </c>
      <c r="E1610" s="7" t="str">
        <f>"中国铁道出版社有限公司"</f>
        <v>中国铁道出版社有限公司</v>
      </c>
      <c r="F1610" s="7" t="str">
        <f>"F293.342/19"</f>
        <v>F293.342/19</v>
      </c>
    </row>
    <row r="1611" customHeight="1" spans="1:6">
      <c r="A1611" s="6">
        <v>1610</v>
      </c>
      <c r="B1611" s="7" t="str">
        <f>"978-7-5615-8190-2"</f>
        <v>978-7-5615-8190-2</v>
      </c>
      <c r="C1611" s="7" t="str">
        <f>"物业服务项目管理实务"</f>
        <v>物业服务项目管理实务</v>
      </c>
      <c r="D1611" s="7" t="str">
        <f>"福建省物业管理协会， 福建江夏学院工商管理学院编著"</f>
        <v>福建省物业管理协会， 福建江夏学院工商管理学院编著</v>
      </c>
      <c r="E1611" s="7" t="str">
        <f>"厦门大学出版社"</f>
        <v>厦门大学出版社</v>
      </c>
      <c r="F1611" s="7" t="str">
        <f>"F293.347/21"</f>
        <v>F293.347/21</v>
      </c>
    </row>
    <row r="1612" customHeight="1" spans="1:6">
      <c r="A1612" s="6">
        <v>1611</v>
      </c>
      <c r="B1612" s="7" t="str">
        <f>"978-7-5615-8190-2"</f>
        <v>978-7-5615-8190-2</v>
      </c>
      <c r="C1612" s="7" t="str">
        <f>"物业服务项目管理实务"</f>
        <v>物业服务项目管理实务</v>
      </c>
      <c r="D1612" s="7" t="str">
        <f>"福建省物业管理协会， 福建江夏学院工商管理学院编著"</f>
        <v>福建省物业管理协会， 福建江夏学院工商管理学院编著</v>
      </c>
      <c r="E1612" s="7" t="str">
        <f>"厦门大学出版社"</f>
        <v>厦门大学出版社</v>
      </c>
      <c r="F1612" s="7" t="str">
        <f>"F293.347/21"</f>
        <v>F293.347/21</v>
      </c>
    </row>
    <row r="1613" customHeight="1" spans="1:6">
      <c r="A1613" s="6">
        <v>1612</v>
      </c>
      <c r="B1613" s="8" t="s">
        <v>4439</v>
      </c>
      <c r="C1613" s="8" t="s">
        <v>4440</v>
      </c>
      <c r="D1613" s="8" t="s">
        <v>4441</v>
      </c>
      <c r="E1613" s="8" t="s">
        <v>530</v>
      </c>
      <c r="F1613" s="8" t="s">
        <v>4442</v>
      </c>
    </row>
    <row r="1614" customHeight="1" spans="1:6">
      <c r="A1614" s="6">
        <v>1613</v>
      </c>
      <c r="B1614" s="8" t="s">
        <v>4439</v>
      </c>
      <c r="C1614" s="8" t="s">
        <v>4440</v>
      </c>
      <c r="D1614" s="8" t="s">
        <v>4441</v>
      </c>
      <c r="E1614" s="8" t="s">
        <v>530</v>
      </c>
      <c r="F1614" s="8" t="s">
        <v>4442</v>
      </c>
    </row>
    <row r="1615" customHeight="1" spans="1:6">
      <c r="A1615" s="6">
        <v>1614</v>
      </c>
      <c r="B1615" s="8" t="s">
        <v>4443</v>
      </c>
      <c r="C1615" s="8" t="s">
        <v>4444</v>
      </c>
      <c r="D1615" s="8" t="s">
        <v>4445</v>
      </c>
      <c r="E1615" s="8" t="s">
        <v>530</v>
      </c>
      <c r="F1615" s="8" t="s">
        <v>4446</v>
      </c>
    </row>
    <row r="1616" customHeight="1" spans="1:6">
      <c r="A1616" s="6">
        <v>1615</v>
      </c>
      <c r="B1616" s="8" t="s">
        <v>4443</v>
      </c>
      <c r="C1616" s="8" t="s">
        <v>4444</v>
      </c>
      <c r="D1616" s="8" t="s">
        <v>4445</v>
      </c>
      <c r="E1616" s="8" t="s">
        <v>530</v>
      </c>
      <c r="F1616" s="8" t="s">
        <v>4446</v>
      </c>
    </row>
    <row r="1617" customHeight="1" spans="1:6">
      <c r="A1617" s="6">
        <v>1616</v>
      </c>
      <c r="B1617" s="8" t="s">
        <v>4447</v>
      </c>
      <c r="C1617" s="8" t="s">
        <v>4448</v>
      </c>
      <c r="D1617" s="8" t="s">
        <v>4449</v>
      </c>
      <c r="E1617" s="8" t="s">
        <v>4450</v>
      </c>
      <c r="F1617" s="8" t="s">
        <v>4451</v>
      </c>
    </row>
    <row r="1618" customHeight="1" spans="1:6">
      <c r="A1618" s="6">
        <v>1617</v>
      </c>
      <c r="B1618" s="8" t="s">
        <v>4447</v>
      </c>
      <c r="C1618" s="8" t="s">
        <v>4448</v>
      </c>
      <c r="D1618" s="8" t="s">
        <v>4449</v>
      </c>
      <c r="E1618" s="8" t="s">
        <v>4450</v>
      </c>
      <c r="F1618" s="8" t="s">
        <v>4451</v>
      </c>
    </row>
    <row r="1619" customHeight="1" spans="1:6">
      <c r="A1619" s="6">
        <v>1618</v>
      </c>
      <c r="B1619" s="8" t="s">
        <v>4452</v>
      </c>
      <c r="C1619" s="8" t="s">
        <v>4453</v>
      </c>
      <c r="D1619" s="8" t="s">
        <v>4454</v>
      </c>
      <c r="E1619" s="8" t="s">
        <v>530</v>
      </c>
      <c r="F1619" s="8" t="s">
        <v>4455</v>
      </c>
    </row>
    <row r="1620" customHeight="1" spans="1:6">
      <c r="A1620" s="6">
        <v>1619</v>
      </c>
      <c r="B1620" s="8" t="s">
        <v>4452</v>
      </c>
      <c r="C1620" s="8" t="s">
        <v>4453</v>
      </c>
      <c r="D1620" s="8" t="s">
        <v>4454</v>
      </c>
      <c r="E1620" s="8" t="s">
        <v>530</v>
      </c>
      <c r="F1620" s="8" t="s">
        <v>4455</v>
      </c>
    </row>
    <row r="1621" customHeight="1" spans="1:6">
      <c r="A1621" s="6">
        <v>1620</v>
      </c>
      <c r="B1621" s="8" t="s">
        <v>4452</v>
      </c>
      <c r="C1621" s="8" t="s">
        <v>4453</v>
      </c>
      <c r="D1621" s="8" t="s">
        <v>4454</v>
      </c>
      <c r="E1621" s="8" t="s">
        <v>530</v>
      </c>
      <c r="F1621" s="8" t="s">
        <v>4455</v>
      </c>
    </row>
    <row r="1622" customHeight="1" spans="1:6">
      <c r="A1622" s="6">
        <v>1621</v>
      </c>
      <c r="B1622" s="8" t="s">
        <v>4456</v>
      </c>
      <c r="C1622" s="8" t="s">
        <v>4457</v>
      </c>
      <c r="D1622" s="8" t="s">
        <v>4458</v>
      </c>
      <c r="E1622" s="8" t="s">
        <v>415</v>
      </c>
      <c r="F1622" s="8" t="s">
        <v>4459</v>
      </c>
    </row>
    <row r="1623" customHeight="1" spans="1:6">
      <c r="A1623" s="6">
        <v>1622</v>
      </c>
      <c r="B1623" s="8" t="s">
        <v>4456</v>
      </c>
      <c r="C1623" s="8" t="s">
        <v>4457</v>
      </c>
      <c r="D1623" s="8" t="s">
        <v>4458</v>
      </c>
      <c r="E1623" s="8" t="s">
        <v>415</v>
      </c>
      <c r="F1623" s="8" t="s">
        <v>4459</v>
      </c>
    </row>
    <row r="1624" customHeight="1" spans="1:6">
      <c r="A1624" s="6">
        <v>1623</v>
      </c>
      <c r="B1624" s="8" t="s">
        <v>4460</v>
      </c>
      <c r="C1624" s="8" t="s">
        <v>4461</v>
      </c>
      <c r="D1624" s="8" t="s">
        <v>4462</v>
      </c>
      <c r="E1624" s="8" t="s">
        <v>2790</v>
      </c>
      <c r="F1624" s="8" t="s">
        <v>4463</v>
      </c>
    </row>
    <row r="1625" customHeight="1" spans="1:6">
      <c r="A1625" s="6">
        <v>1624</v>
      </c>
      <c r="B1625" s="8" t="s">
        <v>4460</v>
      </c>
      <c r="C1625" s="8" t="s">
        <v>4461</v>
      </c>
      <c r="D1625" s="8" t="s">
        <v>4462</v>
      </c>
      <c r="E1625" s="8" t="s">
        <v>2790</v>
      </c>
      <c r="F1625" s="8" t="s">
        <v>4463</v>
      </c>
    </row>
    <row r="1626" customHeight="1" spans="1:6">
      <c r="A1626" s="6">
        <v>1625</v>
      </c>
      <c r="B1626" s="8" t="s">
        <v>4464</v>
      </c>
      <c r="C1626" s="8" t="s">
        <v>4465</v>
      </c>
      <c r="D1626" s="8" t="s">
        <v>4466</v>
      </c>
      <c r="E1626" s="8" t="s">
        <v>438</v>
      </c>
      <c r="F1626" s="8" t="s">
        <v>4467</v>
      </c>
    </row>
    <row r="1627" customHeight="1" spans="1:6">
      <c r="A1627" s="6">
        <v>1626</v>
      </c>
      <c r="B1627" s="8" t="s">
        <v>4464</v>
      </c>
      <c r="C1627" s="8" t="s">
        <v>4465</v>
      </c>
      <c r="D1627" s="8" t="s">
        <v>4466</v>
      </c>
      <c r="E1627" s="8" t="s">
        <v>438</v>
      </c>
      <c r="F1627" s="8" t="s">
        <v>4467</v>
      </c>
    </row>
    <row r="1628" customHeight="1" spans="1:6">
      <c r="A1628" s="6">
        <v>1627</v>
      </c>
      <c r="B1628" s="8" t="s">
        <v>4468</v>
      </c>
      <c r="C1628" s="8" t="s">
        <v>4469</v>
      </c>
      <c r="D1628" s="8" t="s">
        <v>4470</v>
      </c>
      <c r="E1628" s="8" t="s">
        <v>438</v>
      </c>
      <c r="F1628" s="8" t="s">
        <v>4471</v>
      </c>
    </row>
    <row r="1629" customHeight="1" spans="1:6">
      <c r="A1629" s="6">
        <v>1628</v>
      </c>
      <c r="B1629" s="8" t="s">
        <v>4468</v>
      </c>
      <c r="C1629" s="8" t="s">
        <v>4469</v>
      </c>
      <c r="D1629" s="8" t="s">
        <v>4470</v>
      </c>
      <c r="E1629" s="8" t="s">
        <v>438</v>
      </c>
      <c r="F1629" s="8" t="s">
        <v>4471</v>
      </c>
    </row>
    <row r="1630" customHeight="1" spans="1:6">
      <c r="A1630" s="6">
        <v>1629</v>
      </c>
      <c r="B1630" s="7" t="str">
        <f>"978-7-5201-7946-1"</f>
        <v>978-7-5201-7946-1</v>
      </c>
      <c r="C1630" s="7" t="str">
        <f>"中国智慧城市建设研究"</f>
        <v>中国智慧城市建设研究</v>
      </c>
      <c r="D1630" s="7" t="str">
        <f>"刘治彦， 丛晓男， 丁维龙等著"</f>
        <v>刘治彦， 丛晓男， 丁维龙等著</v>
      </c>
      <c r="E1630" s="7" t="str">
        <f>"社会科学文献出版社"</f>
        <v>社会科学文献出版社</v>
      </c>
      <c r="F1630" s="7" t="str">
        <f>"F299.2/135"</f>
        <v>F299.2/135</v>
      </c>
    </row>
    <row r="1631" customHeight="1" spans="1:6">
      <c r="A1631" s="6">
        <v>1630</v>
      </c>
      <c r="B1631" s="7" t="str">
        <f>"978-7-5201-7946-1"</f>
        <v>978-7-5201-7946-1</v>
      </c>
      <c r="C1631" s="7" t="str">
        <f>"中国智慧城市建设研究"</f>
        <v>中国智慧城市建设研究</v>
      </c>
      <c r="D1631" s="7" t="str">
        <f>"刘治彦， 丛晓男， 丁维龙等著"</f>
        <v>刘治彦， 丛晓男， 丁维龙等著</v>
      </c>
      <c r="E1631" s="7" t="str">
        <f>"社会科学文献出版社"</f>
        <v>社会科学文献出版社</v>
      </c>
      <c r="F1631" s="7" t="str">
        <f>"F299.2/135"</f>
        <v>F299.2/135</v>
      </c>
    </row>
    <row r="1632" customHeight="1" spans="1:6">
      <c r="A1632" s="6">
        <v>1631</v>
      </c>
      <c r="B1632" s="8" t="s">
        <v>4472</v>
      </c>
      <c r="C1632" s="8" t="s">
        <v>4473</v>
      </c>
      <c r="D1632" s="8" t="s">
        <v>4474</v>
      </c>
      <c r="E1632" s="8" t="s">
        <v>239</v>
      </c>
      <c r="F1632" s="8" t="s">
        <v>4475</v>
      </c>
    </row>
    <row r="1633" customHeight="1" spans="1:6">
      <c r="A1633" s="6">
        <v>1632</v>
      </c>
      <c r="B1633" s="8" t="s">
        <v>4472</v>
      </c>
      <c r="C1633" s="8" t="s">
        <v>4473</v>
      </c>
      <c r="D1633" s="8" t="s">
        <v>4474</v>
      </c>
      <c r="E1633" s="8" t="s">
        <v>239</v>
      </c>
      <c r="F1633" s="8" t="s">
        <v>4475</v>
      </c>
    </row>
    <row r="1634" customHeight="1" spans="1:6">
      <c r="A1634" s="6">
        <v>1633</v>
      </c>
      <c r="B1634" s="8" t="s">
        <v>4472</v>
      </c>
      <c r="C1634" s="8" t="s">
        <v>4473</v>
      </c>
      <c r="D1634" s="8" t="s">
        <v>4474</v>
      </c>
      <c r="E1634" s="8" t="s">
        <v>239</v>
      </c>
      <c r="F1634" s="8" t="s">
        <v>4475</v>
      </c>
    </row>
    <row r="1635" customHeight="1" spans="1:6">
      <c r="A1635" s="6">
        <v>1634</v>
      </c>
      <c r="B1635" s="8" t="s">
        <v>4476</v>
      </c>
      <c r="C1635" s="8" t="s">
        <v>4477</v>
      </c>
      <c r="D1635" s="8" t="s">
        <v>4478</v>
      </c>
      <c r="E1635" s="8" t="s">
        <v>288</v>
      </c>
      <c r="F1635" s="8" t="s">
        <v>4479</v>
      </c>
    </row>
    <row r="1636" customHeight="1" spans="1:6">
      <c r="A1636" s="6">
        <v>1635</v>
      </c>
      <c r="B1636" s="8" t="s">
        <v>4476</v>
      </c>
      <c r="C1636" s="8" t="s">
        <v>4477</v>
      </c>
      <c r="D1636" s="8" t="s">
        <v>4478</v>
      </c>
      <c r="E1636" s="8" t="s">
        <v>288</v>
      </c>
      <c r="F1636" s="8" t="s">
        <v>4479</v>
      </c>
    </row>
    <row r="1637" customHeight="1" spans="1:6">
      <c r="A1637" s="6">
        <v>1636</v>
      </c>
      <c r="B1637" s="8" t="s">
        <v>4480</v>
      </c>
      <c r="C1637" s="8" t="s">
        <v>4481</v>
      </c>
      <c r="D1637" s="8" t="s">
        <v>4482</v>
      </c>
      <c r="E1637" s="8" t="s">
        <v>696</v>
      </c>
      <c r="F1637" s="8" t="s">
        <v>4483</v>
      </c>
    </row>
    <row r="1638" customHeight="1" spans="1:6">
      <c r="A1638" s="6">
        <v>1637</v>
      </c>
      <c r="B1638" s="8" t="s">
        <v>4480</v>
      </c>
      <c r="C1638" s="8" t="s">
        <v>4481</v>
      </c>
      <c r="D1638" s="8" t="s">
        <v>4482</v>
      </c>
      <c r="E1638" s="8" t="s">
        <v>696</v>
      </c>
      <c r="F1638" s="8" t="s">
        <v>4483</v>
      </c>
    </row>
    <row r="1639" customHeight="1" spans="1:6">
      <c r="A1639" s="6">
        <v>1638</v>
      </c>
      <c r="B1639" s="8" t="s">
        <v>4484</v>
      </c>
      <c r="C1639" s="8" t="s">
        <v>4485</v>
      </c>
      <c r="D1639" s="8" t="s">
        <v>4486</v>
      </c>
      <c r="E1639" s="8" t="s">
        <v>48</v>
      </c>
      <c r="F1639" s="8" t="s">
        <v>4487</v>
      </c>
    </row>
    <row r="1640" customHeight="1" spans="1:6">
      <c r="A1640" s="6">
        <v>1639</v>
      </c>
      <c r="B1640" s="8" t="s">
        <v>4484</v>
      </c>
      <c r="C1640" s="8" t="s">
        <v>4485</v>
      </c>
      <c r="D1640" s="8" t="s">
        <v>4486</v>
      </c>
      <c r="E1640" s="8" t="s">
        <v>48</v>
      </c>
      <c r="F1640" s="8" t="s">
        <v>4487</v>
      </c>
    </row>
    <row r="1641" customHeight="1" spans="1:6">
      <c r="A1641" s="6">
        <v>1640</v>
      </c>
      <c r="B1641" s="8" t="s">
        <v>4488</v>
      </c>
      <c r="C1641" s="8" t="s">
        <v>4489</v>
      </c>
      <c r="D1641" s="8" t="s">
        <v>4490</v>
      </c>
      <c r="E1641" s="8" t="s">
        <v>311</v>
      </c>
      <c r="F1641" s="8" t="s">
        <v>4491</v>
      </c>
    </row>
    <row r="1642" customHeight="1" spans="1:6">
      <c r="A1642" s="6">
        <v>1641</v>
      </c>
      <c r="B1642" s="8" t="s">
        <v>4488</v>
      </c>
      <c r="C1642" s="8" t="s">
        <v>4489</v>
      </c>
      <c r="D1642" s="8" t="s">
        <v>4490</v>
      </c>
      <c r="E1642" s="8" t="s">
        <v>311</v>
      </c>
      <c r="F1642" s="8" t="s">
        <v>4491</v>
      </c>
    </row>
    <row r="1643" customHeight="1" spans="1:6">
      <c r="A1643" s="6">
        <v>1642</v>
      </c>
      <c r="B1643" s="8" t="s">
        <v>4492</v>
      </c>
      <c r="C1643" s="8" t="s">
        <v>4493</v>
      </c>
      <c r="D1643" s="8" t="s">
        <v>4494</v>
      </c>
      <c r="E1643" s="8" t="s">
        <v>4495</v>
      </c>
      <c r="F1643" s="8" t="s">
        <v>4496</v>
      </c>
    </row>
    <row r="1644" customHeight="1" spans="1:6">
      <c r="A1644" s="6">
        <v>1643</v>
      </c>
      <c r="B1644" s="8" t="s">
        <v>4492</v>
      </c>
      <c r="C1644" s="8" t="s">
        <v>4493</v>
      </c>
      <c r="D1644" s="8" t="s">
        <v>4494</v>
      </c>
      <c r="E1644" s="8" t="s">
        <v>4495</v>
      </c>
      <c r="F1644" s="8" t="s">
        <v>4496</v>
      </c>
    </row>
    <row r="1645" customHeight="1" spans="1:6">
      <c r="A1645" s="6">
        <v>1644</v>
      </c>
      <c r="B1645" s="8" t="s">
        <v>4497</v>
      </c>
      <c r="C1645" s="8" t="s">
        <v>4498</v>
      </c>
      <c r="D1645" s="8" t="s">
        <v>4499</v>
      </c>
      <c r="E1645" s="8" t="s">
        <v>311</v>
      </c>
      <c r="F1645" s="8" t="s">
        <v>4500</v>
      </c>
    </row>
    <row r="1646" customHeight="1" spans="1:6">
      <c r="A1646" s="6">
        <v>1645</v>
      </c>
      <c r="B1646" s="8" t="s">
        <v>4497</v>
      </c>
      <c r="C1646" s="8" t="s">
        <v>4498</v>
      </c>
      <c r="D1646" s="8" t="s">
        <v>4499</v>
      </c>
      <c r="E1646" s="8" t="s">
        <v>311</v>
      </c>
      <c r="F1646" s="8" t="s">
        <v>4500</v>
      </c>
    </row>
    <row r="1647" customHeight="1" spans="1:6">
      <c r="A1647" s="6">
        <v>1646</v>
      </c>
      <c r="B1647" s="8" t="s">
        <v>4501</v>
      </c>
      <c r="C1647" s="8" t="s">
        <v>4502</v>
      </c>
      <c r="D1647" s="8" t="s">
        <v>4503</v>
      </c>
      <c r="E1647" s="8" t="s">
        <v>189</v>
      </c>
      <c r="F1647" s="8" t="s">
        <v>4504</v>
      </c>
    </row>
    <row r="1648" customHeight="1" spans="1:6">
      <c r="A1648" s="6">
        <v>1647</v>
      </c>
      <c r="B1648" s="8" t="s">
        <v>4501</v>
      </c>
      <c r="C1648" s="8" t="s">
        <v>4502</v>
      </c>
      <c r="D1648" s="8" t="s">
        <v>4503</v>
      </c>
      <c r="E1648" s="8" t="s">
        <v>189</v>
      </c>
      <c r="F1648" s="8" t="s">
        <v>4504</v>
      </c>
    </row>
    <row r="1649" customHeight="1" spans="1:6">
      <c r="A1649" s="6">
        <v>1648</v>
      </c>
      <c r="B1649" s="8" t="s">
        <v>4505</v>
      </c>
      <c r="C1649" s="8" t="s">
        <v>4506</v>
      </c>
      <c r="D1649" s="8" t="s">
        <v>4507</v>
      </c>
      <c r="E1649" s="8" t="s">
        <v>48</v>
      </c>
      <c r="F1649" s="8" t="s">
        <v>4508</v>
      </c>
    </row>
    <row r="1650" customHeight="1" spans="1:6">
      <c r="A1650" s="6">
        <v>1649</v>
      </c>
      <c r="B1650" s="8" t="s">
        <v>4505</v>
      </c>
      <c r="C1650" s="8" t="s">
        <v>4506</v>
      </c>
      <c r="D1650" s="8" t="s">
        <v>4507</v>
      </c>
      <c r="E1650" s="8" t="s">
        <v>48</v>
      </c>
      <c r="F1650" s="8" t="s">
        <v>4508</v>
      </c>
    </row>
    <row r="1651" customHeight="1" spans="1:6">
      <c r="A1651" s="6">
        <v>1650</v>
      </c>
      <c r="B1651" s="8" t="s">
        <v>4509</v>
      </c>
      <c r="C1651" s="8" t="s">
        <v>4510</v>
      </c>
      <c r="D1651" s="8" t="s">
        <v>4511</v>
      </c>
      <c r="E1651" s="8" t="s">
        <v>311</v>
      </c>
      <c r="F1651" s="8" t="s">
        <v>4512</v>
      </c>
    </row>
    <row r="1652" customHeight="1" spans="1:6">
      <c r="A1652" s="6">
        <v>1651</v>
      </c>
      <c r="B1652" s="8" t="s">
        <v>4509</v>
      </c>
      <c r="C1652" s="8" t="s">
        <v>4510</v>
      </c>
      <c r="D1652" s="8" t="s">
        <v>4511</v>
      </c>
      <c r="E1652" s="8" t="s">
        <v>311</v>
      </c>
      <c r="F1652" s="8" t="s">
        <v>4512</v>
      </c>
    </row>
    <row r="1653" customHeight="1" spans="1:6">
      <c r="A1653" s="6">
        <v>1652</v>
      </c>
      <c r="B1653" s="8" t="s">
        <v>4513</v>
      </c>
      <c r="C1653" s="8" t="s">
        <v>4514</v>
      </c>
      <c r="D1653" s="8" t="s">
        <v>4515</v>
      </c>
      <c r="E1653" s="8" t="s">
        <v>58</v>
      </c>
      <c r="F1653" s="8" t="s">
        <v>4516</v>
      </c>
    </row>
    <row r="1654" customHeight="1" spans="1:6">
      <c r="A1654" s="6">
        <v>1653</v>
      </c>
      <c r="B1654" s="8" t="s">
        <v>4513</v>
      </c>
      <c r="C1654" s="8" t="s">
        <v>4514</v>
      </c>
      <c r="D1654" s="8" t="s">
        <v>4515</v>
      </c>
      <c r="E1654" s="8" t="s">
        <v>58</v>
      </c>
      <c r="F1654" s="8" t="s">
        <v>4516</v>
      </c>
    </row>
    <row r="1655" customHeight="1" spans="1:6">
      <c r="A1655" s="6">
        <v>1654</v>
      </c>
      <c r="B1655" s="8" t="s">
        <v>4517</v>
      </c>
      <c r="C1655" s="8" t="s">
        <v>4518</v>
      </c>
      <c r="D1655" s="8" t="s">
        <v>4519</v>
      </c>
      <c r="E1655" s="8" t="s">
        <v>283</v>
      </c>
      <c r="F1655" s="8" t="s">
        <v>4520</v>
      </c>
    </row>
    <row r="1656" customHeight="1" spans="1:6">
      <c r="A1656" s="6">
        <v>1655</v>
      </c>
      <c r="B1656" s="8" t="s">
        <v>4517</v>
      </c>
      <c r="C1656" s="8" t="s">
        <v>4518</v>
      </c>
      <c r="D1656" s="8" t="s">
        <v>4519</v>
      </c>
      <c r="E1656" s="8" t="s">
        <v>283</v>
      </c>
      <c r="F1656" s="8" t="s">
        <v>4520</v>
      </c>
    </row>
    <row r="1657" customHeight="1" spans="1:6">
      <c r="A1657" s="6">
        <v>1656</v>
      </c>
      <c r="B1657" s="8" t="s">
        <v>4521</v>
      </c>
      <c r="C1657" s="8" t="s">
        <v>4522</v>
      </c>
      <c r="D1657" s="8" t="s">
        <v>4523</v>
      </c>
      <c r="E1657" s="8" t="s">
        <v>4524</v>
      </c>
      <c r="F1657" s="8" t="s">
        <v>4525</v>
      </c>
    </row>
    <row r="1658" customHeight="1" spans="1:6">
      <c r="A1658" s="6">
        <v>1657</v>
      </c>
      <c r="B1658" s="8" t="s">
        <v>4521</v>
      </c>
      <c r="C1658" s="8" t="s">
        <v>4522</v>
      </c>
      <c r="D1658" s="8" t="s">
        <v>4523</v>
      </c>
      <c r="E1658" s="8" t="s">
        <v>4524</v>
      </c>
      <c r="F1658" s="8" t="s">
        <v>4525</v>
      </c>
    </row>
    <row r="1659" customHeight="1" spans="1:6">
      <c r="A1659" s="6">
        <v>1658</v>
      </c>
      <c r="B1659" s="8" t="s">
        <v>4521</v>
      </c>
      <c r="C1659" s="8" t="s">
        <v>4522</v>
      </c>
      <c r="D1659" s="8" t="s">
        <v>4523</v>
      </c>
      <c r="E1659" s="8" t="s">
        <v>4524</v>
      </c>
      <c r="F1659" s="8" t="s">
        <v>4525</v>
      </c>
    </row>
    <row r="1660" customHeight="1" spans="1:6">
      <c r="A1660" s="6">
        <v>1659</v>
      </c>
      <c r="B1660" s="8" t="s">
        <v>4526</v>
      </c>
      <c r="C1660" s="8" t="s">
        <v>4527</v>
      </c>
      <c r="D1660" s="8" t="s">
        <v>4528</v>
      </c>
      <c r="E1660" s="8" t="s">
        <v>415</v>
      </c>
      <c r="F1660" s="8" t="s">
        <v>4529</v>
      </c>
    </row>
    <row r="1661" customHeight="1" spans="1:6">
      <c r="A1661" s="6">
        <v>1660</v>
      </c>
      <c r="B1661" s="8" t="s">
        <v>4526</v>
      </c>
      <c r="C1661" s="8" t="s">
        <v>4527</v>
      </c>
      <c r="D1661" s="8" t="s">
        <v>4528</v>
      </c>
      <c r="E1661" s="8" t="s">
        <v>415</v>
      </c>
      <c r="F1661" s="8" t="s">
        <v>4529</v>
      </c>
    </row>
    <row r="1662" customHeight="1" spans="1:6">
      <c r="A1662" s="6">
        <v>1661</v>
      </c>
      <c r="B1662" s="8" t="s">
        <v>4530</v>
      </c>
      <c r="C1662" s="8" t="s">
        <v>4531</v>
      </c>
      <c r="D1662" s="8" t="s">
        <v>4532</v>
      </c>
      <c r="E1662" s="8" t="s">
        <v>4533</v>
      </c>
      <c r="F1662" s="8" t="s">
        <v>4534</v>
      </c>
    </row>
    <row r="1663" customHeight="1" spans="1:6">
      <c r="A1663" s="6">
        <v>1662</v>
      </c>
      <c r="B1663" s="8" t="s">
        <v>4530</v>
      </c>
      <c r="C1663" s="8" t="s">
        <v>4531</v>
      </c>
      <c r="D1663" s="8" t="s">
        <v>4532</v>
      </c>
      <c r="E1663" s="8" t="s">
        <v>4533</v>
      </c>
      <c r="F1663" s="8" t="s">
        <v>4534</v>
      </c>
    </row>
    <row r="1664" customHeight="1" spans="1:6">
      <c r="A1664" s="6">
        <v>1663</v>
      </c>
      <c r="B1664" s="8" t="s">
        <v>4535</v>
      </c>
      <c r="C1664" s="8" t="s">
        <v>4536</v>
      </c>
      <c r="D1664" s="8" t="s">
        <v>4537</v>
      </c>
      <c r="E1664" s="8" t="s">
        <v>810</v>
      </c>
      <c r="F1664" s="8" t="s">
        <v>4538</v>
      </c>
    </row>
    <row r="1665" customHeight="1" spans="1:6">
      <c r="A1665" s="6">
        <v>1664</v>
      </c>
      <c r="B1665" s="8" t="s">
        <v>4535</v>
      </c>
      <c r="C1665" s="8" t="s">
        <v>4536</v>
      </c>
      <c r="D1665" s="8" t="s">
        <v>4537</v>
      </c>
      <c r="E1665" s="8" t="s">
        <v>810</v>
      </c>
      <c r="F1665" s="8" t="s">
        <v>4538</v>
      </c>
    </row>
    <row r="1666" customHeight="1" spans="1:6">
      <c r="A1666" s="6">
        <v>1665</v>
      </c>
      <c r="B1666" s="8" t="s">
        <v>4539</v>
      </c>
      <c r="C1666" s="8" t="s">
        <v>4540</v>
      </c>
      <c r="D1666" s="8" t="s">
        <v>4541</v>
      </c>
      <c r="E1666" s="8" t="s">
        <v>4542</v>
      </c>
      <c r="F1666" s="8" t="s">
        <v>4543</v>
      </c>
    </row>
    <row r="1667" customHeight="1" spans="1:6">
      <c r="A1667" s="6">
        <v>1666</v>
      </c>
      <c r="B1667" s="8" t="s">
        <v>4539</v>
      </c>
      <c r="C1667" s="8" t="s">
        <v>4540</v>
      </c>
      <c r="D1667" s="8" t="s">
        <v>4541</v>
      </c>
      <c r="E1667" s="8" t="s">
        <v>4542</v>
      </c>
      <c r="F1667" s="8" t="s">
        <v>4543</v>
      </c>
    </row>
    <row r="1668" customHeight="1" spans="1:6">
      <c r="A1668" s="6">
        <v>1667</v>
      </c>
      <c r="B1668" s="8" t="s">
        <v>4539</v>
      </c>
      <c r="C1668" s="8" t="s">
        <v>4540</v>
      </c>
      <c r="D1668" s="8" t="s">
        <v>4541</v>
      </c>
      <c r="E1668" s="8" t="s">
        <v>4542</v>
      </c>
      <c r="F1668" s="8" t="s">
        <v>4543</v>
      </c>
    </row>
    <row r="1669" customHeight="1" spans="1:6">
      <c r="A1669" s="6">
        <v>1668</v>
      </c>
      <c r="B1669" s="8" t="s">
        <v>4544</v>
      </c>
      <c r="C1669" s="8" t="s">
        <v>4545</v>
      </c>
      <c r="D1669" s="13"/>
      <c r="E1669" s="8" t="s">
        <v>48</v>
      </c>
      <c r="F1669" s="8" t="s">
        <v>4546</v>
      </c>
    </row>
    <row r="1670" customHeight="1" spans="1:6">
      <c r="A1670" s="6">
        <v>1669</v>
      </c>
      <c r="B1670" s="8" t="s">
        <v>4544</v>
      </c>
      <c r="C1670" s="8" t="s">
        <v>4545</v>
      </c>
      <c r="D1670" s="13"/>
      <c r="E1670" s="8" t="s">
        <v>48</v>
      </c>
      <c r="F1670" s="8" t="s">
        <v>4546</v>
      </c>
    </row>
    <row r="1671" customHeight="1" spans="1:6">
      <c r="A1671" s="6">
        <v>1670</v>
      </c>
      <c r="B1671" s="7" t="str">
        <f>"978-7-300-29260-1"</f>
        <v>978-7-300-29260-1</v>
      </c>
      <c r="C1671" s="7" t="str">
        <f>"中国城市社会治理"</f>
        <v>中国城市社会治理</v>
      </c>
      <c r="D1671" s="7" t="str">
        <f>"姜晓萍， 衡霞， 田昭著"</f>
        <v>姜晓萍， 衡霞， 田昭著</v>
      </c>
      <c r="E1671" s="7" t="str">
        <f>"中国人民大学出版社"</f>
        <v>中国人民大学出版社</v>
      </c>
      <c r="F1671" s="7" t="str">
        <f>"F299.23/48"</f>
        <v>F299.23/48</v>
      </c>
    </row>
    <row r="1672" customHeight="1" spans="1:6">
      <c r="A1672" s="6">
        <v>1671</v>
      </c>
      <c r="B1672" s="7" t="str">
        <f>"978-7-300-29260-1"</f>
        <v>978-7-300-29260-1</v>
      </c>
      <c r="C1672" s="7" t="str">
        <f>"中国城市社会治理"</f>
        <v>中国城市社会治理</v>
      </c>
      <c r="D1672" s="7" t="str">
        <f>"姜晓萍， 衡霞， 田昭著"</f>
        <v>姜晓萍， 衡霞， 田昭著</v>
      </c>
      <c r="E1672" s="7" t="str">
        <f>"中国人民大学出版社"</f>
        <v>中国人民大学出版社</v>
      </c>
      <c r="F1672" s="7" t="str">
        <f>"F299.23/48"</f>
        <v>F299.23/48</v>
      </c>
    </row>
    <row r="1673" customHeight="1" spans="1:6">
      <c r="A1673" s="6">
        <v>1672</v>
      </c>
      <c r="B1673" s="8" t="s">
        <v>4547</v>
      </c>
      <c r="C1673" s="8" t="s">
        <v>4548</v>
      </c>
      <c r="D1673" s="8" t="s">
        <v>4549</v>
      </c>
      <c r="E1673" s="8" t="s">
        <v>2790</v>
      </c>
      <c r="F1673" s="8" t="s">
        <v>4550</v>
      </c>
    </row>
    <row r="1674" customHeight="1" spans="1:6">
      <c r="A1674" s="6">
        <v>1673</v>
      </c>
      <c r="B1674" s="8" t="s">
        <v>4547</v>
      </c>
      <c r="C1674" s="8" t="s">
        <v>4548</v>
      </c>
      <c r="D1674" s="8" t="s">
        <v>4549</v>
      </c>
      <c r="E1674" s="8" t="s">
        <v>2790</v>
      </c>
      <c r="F1674" s="8" t="s">
        <v>4550</v>
      </c>
    </row>
    <row r="1675" customHeight="1" spans="1:6">
      <c r="A1675" s="6">
        <v>1674</v>
      </c>
      <c r="B1675" s="8" t="s">
        <v>4547</v>
      </c>
      <c r="C1675" s="8" t="s">
        <v>4548</v>
      </c>
      <c r="D1675" s="8" t="s">
        <v>4549</v>
      </c>
      <c r="E1675" s="8" t="s">
        <v>2790</v>
      </c>
      <c r="F1675" s="8" t="s">
        <v>4550</v>
      </c>
    </row>
    <row r="1676" customHeight="1" spans="1:6">
      <c r="A1676" s="6">
        <v>1675</v>
      </c>
      <c r="B1676" s="8" t="s">
        <v>4551</v>
      </c>
      <c r="C1676" s="8" t="s">
        <v>4552</v>
      </c>
      <c r="D1676" s="8" t="s">
        <v>4553</v>
      </c>
      <c r="E1676" s="8" t="s">
        <v>360</v>
      </c>
      <c r="F1676" s="8" t="s">
        <v>4554</v>
      </c>
    </row>
    <row r="1677" customHeight="1" spans="1:6">
      <c r="A1677" s="6">
        <v>1676</v>
      </c>
      <c r="B1677" s="8" t="s">
        <v>4551</v>
      </c>
      <c r="C1677" s="8" t="s">
        <v>4552</v>
      </c>
      <c r="D1677" s="8" t="s">
        <v>4553</v>
      </c>
      <c r="E1677" s="8" t="s">
        <v>360</v>
      </c>
      <c r="F1677" s="8" t="s">
        <v>4554</v>
      </c>
    </row>
    <row r="1678" customHeight="1" spans="1:6">
      <c r="A1678" s="6">
        <v>1677</v>
      </c>
      <c r="B1678" s="8" t="s">
        <v>4555</v>
      </c>
      <c r="C1678" s="8" t="s">
        <v>4556</v>
      </c>
      <c r="D1678" s="8" t="s">
        <v>4557</v>
      </c>
      <c r="E1678" s="8" t="s">
        <v>58</v>
      </c>
      <c r="F1678" s="8" t="s">
        <v>4558</v>
      </c>
    </row>
    <row r="1679" customHeight="1" spans="1:6">
      <c r="A1679" s="6">
        <v>1678</v>
      </c>
      <c r="B1679" s="8" t="s">
        <v>4555</v>
      </c>
      <c r="C1679" s="8" t="s">
        <v>4556</v>
      </c>
      <c r="D1679" s="8" t="s">
        <v>4557</v>
      </c>
      <c r="E1679" s="8" t="s">
        <v>58</v>
      </c>
      <c r="F1679" s="8" t="s">
        <v>4558</v>
      </c>
    </row>
    <row r="1680" customHeight="1" spans="1:6">
      <c r="A1680" s="6">
        <v>1679</v>
      </c>
      <c r="B1680" s="8" t="s">
        <v>4559</v>
      </c>
      <c r="C1680" s="8" t="s">
        <v>4560</v>
      </c>
      <c r="D1680" s="8" t="s">
        <v>4561</v>
      </c>
      <c r="E1680" s="8" t="s">
        <v>288</v>
      </c>
      <c r="F1680" s="8" t="s">
        <v>4562</v>
      </c>
    </row>
    <row r="1681" customHeight="1" spans="1:6">
      <c r="A1681" s="6">
        <v>1680</v>
      </c>
      <c r="B1681" s="8" t="s">
        <v>4559</v>
      </c>
      <c r="C1681" s="8" t="s">
        <v>4560</v>
      </c>
      <c r="D1681" s="8" t="s">
        <v>4561</v>
      </c>
      <c r="E1681" s="8" t="s">
        <v>288</v>
      </c>
      <c r="F1681" s="8" t="s">
        <v>4562</v>
      </c>
    </row>
    <row r="1682" customHeight="1" spans="1:6">
      <c r="A1682" s="6">
        <v>1681</v>
      </c>
      <c r="B1682" s="8" t="s">
        <v>4563</v>
      </c>
      <c r="C1682" s="8" t="s">
        <v>4564</v>
      </c>
      <c r="D1682" s="8" t="s">
        <v>4565</v>
      </c>
      <c r="E1682" s="8" t="s">
        <v>2284</v>
      </c>
      <c r="F1682" s="8" t="s">
        <v>4566</v>
      </c>
    </row>
    <row r="1683" customHeight="1" spans="1:6">
      <c r="A1683" s="6">
        <v>1682</v>
      </c>
      <c r="B1683" s="7" t="str">
        <f>"978-7-5201-8784-8"</f>
        <v>978-7-5201-8784-8</v>
      </c>
      <c r="C1683" s="7" t="str">
        <f>"世界级城市群与首都新发展格局"</f>
        <v>世界级城市群与首都新发展格局</v>
      </c>
      <c r="D1683" s="7" t="str">
        <f>"主编唐鑫"</f>
        <v>主编唐鑫</v>
      </c>
      <c r="E1683" s="7" t="str">
        <f>"社会科学文献出版社"</f>
        <v>社会科学文献出版社</v>
      </c>
      <c r="F1683" s="7" t="str">
        <f>"F299.271/36"</f>
        <v>F299.271/36</v>
      </c>
    </row>
    <row r="1684" customHeight="1" spans="1:6">
      <c r="A1684" s="6">
        <v>1683</v>
      </c>
      <c r="B1684" s="7" t="str">
        <f>"978-7-5201-8784-8"</f>
        <v>978-7-5201-8784-8</v>
      </c>
      <c r="C1684" s="7" t="str">
        <f>"世界级城市群与首都新发展格局"</f>
        <v>世界级城市群与首都新发展格局</v>
      </c>
      <c r="D1684" s="7" t="str">
        <f>"主编唐鑫"</f>
        <v>主编唐鑫</v>
      </c>
      <c r="E1684" s="7" t="str">
        <f>"社会科学文献出版社"</f>
        <v>社会科学文献出版社</v>
      </c>
      <c r="F1684" s="7" t="str">
        <f>"F299.271/36"</f>
        <v>F299.271/36</v>
      </c>
    </row>
    <row r="1685" customHeight="1" spans="1:6">
      <c r="A1685" s="6">
        <v>1684</v>
      </c>
      <c r="B1685" s="8" t="s">
        <v>4567</v>
      </c>
      <c r="C1685" s="8" t="s">
        <v>4568</v>
      </c>
      <c r="D1685" s="8" t="s">
        <v>4569</v>
      </c>
      <c r="E1685" s="8" t="s">
        <v>48</v>
      </c>
      <c r="F1685" s="8" t="s">
        <v>4570</v>
      </c>
    </row>
    <row r="1686" customHeight="1" spans="1:6">
      <c r="A1686" s="6">
        <v>1685</v>
      </c>
      <c r="B1686" s="8" t="s">
        <v>4567</v>
      </c>
      <c r="C1686" s="8" t="s">
        <v>4568</v>
      </c>
      <c r="D1686" s="8" t="s">
        <v>4569</v>
      </c>
      <c r="E1686" s="8" t="s">
        <v>48</v>
      </c>
      <c r="F1686" s="8" t="s">
        <v>4570</v>
      </c>
    </row>
    <row r="1687" customHeight="1" spans="1:6">
      <c r="A1687" s="6">
        <v>1686</v>
      </c>
      <c r="B1687" s="8" t="s">
        <v>4571</v>
      </c>
      <c r="C1687" s="8" t="s">
        <v>4572</v>
      </c>
      <c r="D1687" s="8" t="s">
        <v>4573</v>
      </c>
      <c r="E1687" s="8" t="s">
        <v>311</v>
      </c>
      <c r="F1687" s="8" t="s">
        <v>4574</v>
      </c>
    </row>
    <row r="1688" customHeight="1" spans="1:6">
      <c r="A1688" s="6">
        <v>1687</v>
      </c>
      <c r="B1688" s="8" t="s">
        <v>4571</v>
      </c>
      <c r="C1688" s="8" t="s">
        <v>4572</v>
      </c>
      <c r="D1688" s="8" t="s">
        <v>4573</v>
      </c>
      <c r="E1688" s="8" t="s">
        <v>311</v>
      </c>
      <c r="F1688" s="8" t="s">
        <v>4574</v>
      </c>
    </row>
    <row r="1689" customHeight="1" spans="1:6">
      <c r="A1689" s="6">
        <v>1688</v>
      </c>
      <c r="B1689" s="8" t="s">
        <v>4575</v>
      </c>
      <c r="C1689" s="8" t="s">
        <v>4576</v>
      </c>
      <c r="D1689" s="8" t="s">
        <v>4577</v>
      </c>
      <c r="E1689" s="8" t="s">
        <v>675</v>
      </c>
      <c r="F1689" s="8" t="s">
        <v>4578</v>
      </c>
    </row>
    <row r="1690" customHeight="1" spans="1:6">
      <c r="A1690" s="6">
        <v>1689</v>
      </c>
      <c r="B1690" s="8" t="s">
        <v>4575</v>
      </c>
      <c r="C1690" s="8" t="s">
        <v>4576</v>
      </c>
      <c r="D1690" s="8" t="s">
        <v>4577</v>
      </c>
      <c r="E1690" s="8" t="s">
        <v>675</v>
      </c>
      <c r="F1690" s="8" t="s">
        <v>4578</v>
      </c>
    </row>
    <row r="1691" customHeight="1" spans="1:6">
      <c r="A1691" s="6">
        <v>1690</v>
      </c>
      <c r="B1691" s="8" t="s">
        <v>4579</v>
      </c>
      <c r="C1691" s="8" t="s">
        <v>4580</v>
      </c>
      <c r="D1691" s="8" t="s">
        <v>4581</v>
      </c>
      <c r="E1691" s="8" t="s">
        <v>881</v>
      </c>
      <c r="F1691" s="8" t="s">
        <v>4582</v>
      </c>
    </row>
    <row r="1692" customHeight="1" spans="1:6">
      <c r="A1692" s="6">
        <v>1691</v>
      </c>
      <c r="B1692" s="8" t="s">
        <v>4579</v>
      </c>
      <c r="C1692" s="8" t="s">
        <v>4580</v>
      </c>
      <c r="D1692" s="8" t="s">
        <v>4581</v>
      </c>
      <c r="E1692" s="8" t="s">
        <v>881</v>
      </c>
      <c r="F1692" s="8" t="s">
        <v>4582</v>
      </c>
    </row>
    <row r="1693" customHeight="1" spans="1:6">
      <c r="A1693" s="6">
        <v>1692</v>
      </c>
      <c r="B1693" s="8" t="s">
        <v>4583</v>
      </c>
      <c r="C1693" s="8" t="s">
        <v>4584</v>
      </c>
      <c r="D1693" s="8" t="s">
        <v>4585</v>
      </c>
      <c r="E1693" s="8" t="s">
        <v>1329</v>
      </c>
      <c r="F1693" s="8" t="s">
        <v>4586</v>
      </c>
    </row>
    <row r="1694" customHeight="1" spans="1:6">
      <c r="A1694" s="6">
        <v>1693</v>
      </c>
      <c r="B1694" s="8" t="s">
        <v>4583</v>
      </c>
      <c r="C1694" s="8" t="s">
        <v>4584</v>
      </c>
      <c r="D1694" s="8" t="s">
        <v>4585</v>
      </c>
      <c r="E1694" s="8" t="s">
        <v>1329</v>
      </c>
      <c r="F1694" s="8" t="s">
        <v>4586</v>
      </c>
    </row>
    <row r="1695" customHeight="1" spans="1:6">
      <c r="A1695" s="6">
        <v>1694</v>
      </c>
      <c r="B1695" s="8" t="s">
        <v>4587</v>
      </c>
      <c r="C1695" s="8" t="s">
        <v>4588</v>
      </c>
      <c r="D1695" s="8" t="s">
        <v>4589</v>
      </c>
      <c r="E1695" s="8" t="s">
        <v>2212</v>
      </c>
      <c r="F1695" s="8" t="s">
        <v>4590</v>
      </c>
    </row>
    <row r="1696" customHeight="1" spans="1:6">
      <c r="A1696" s="6">
        <v>1695</v>
      </c>
      <c r="B1696" s="8" t="s">
        <v>4587</v>
      </c>
      <c r="C1696" s="8" t="s">
        <v>4588</v>
      </c>
      <c r="D1696" s="8" t="s">
        <v>4589</v>
      </c>
      <c r="E1696" s="8" t="s">
        <v>2212</v>
      </c>
      <c r="F1696" s="8" t="s">
        <v>4590</v>
      </c>
    </row>
    <row r="1697" customHeight="1" spans="1:6">
      <c r="A1697" s="6">
        <v>1696</v>
      </c>
      <c r="B1697" s="8" t="s">
        <v>4591</v>
      </c>
      <c r="C1697" s="8" t="s">
        <v>4592</v>
      </c>
      <c r="D1697" s="8" t="s">
        <v>4593</v>
      </c>
      <c r="E1697" s="8" t="s">
        <v>2790</v>
      </c>
      <c r="F1697" s="8" t="s">
        <v>4594</v>
      </c>
    </row>
    <row r="1698" customHeight="1" spans="1:6">
      <c r="A1698" s="6">
        <v>1697</v>
      </c>
      <c r="B1698" s="8" t="s">
        <v>4591</v>
      </c>
      <c r="C1698" s="8" t="s">
        <v>4592</v>
      </c>
      <c r="D1698" s="8" t="s">
        <v>4593</v>
      </c>
      <c r="E1698" s="8" t="s">
        <v>2790</v>
      </c>
      <c r="F1698" s="8" t="s">
        <v>4594</v>
      </c>
    </row>
    <row r="1699" customHeight="1" spans="1:6">
      <c r="A1699" s="6">
        <v>1698</v>
      </c>
      <c r="B1699" s="8" t="s">
        <v>4591</v>
      </c>
      <c r="C1699" s="8" t="s">
        <v>4595</v>
      </c>
      <c r="D1699" s="8" t="s">
        <v>4593</v>
      </c>
      <c r="E1699" s="8" t="s">
        <v>2790</v>
      </c>
      <c r="F1699" s="8" t="s">
        <v>4596</v>
      </c>
    </row>
    <row r="1700" customHeight="1" spans="1:6">
      <c r="A1700" s="6">
        <v>1699</v>
      </c>
      <c r="B1700" s="8" t="s">
        <v>4591</v>
      </c>
      <c r="C1700" s="8" t="s">
        <v>4595</v>
      </c>
      <c r="D1700" s="8" t="s">
        <v>4593</v>
      </c>
      <c r="E1700" s="8" t="s">
        <v>2790</v>
      </c>
      <c r="F1700" s="8" t="s">
        <v>4596</v>
      </c>
    </row>
    <row r="1701" customHeight="1" spans="1:6">
      <c r="A1701" s="6">
        <v>1700</v>
      </c>
      <c r="B1701" s="7" t="str">
        <f t="shared" ref="B1701:B1703" si="110">"978-7-01-023177-8"</f>
        <v>978-7-01-023177-8</v>
      </c>
      <c r="C1701" s="7" t="str">
        <f t="shared" ref="C1701:C1703" si="111">"你好! 大湾区：粤港澳大湾区发展问答"</f>
        <v>你好! 大湾区：粤港澳大湾区发展问答</v>
      </c>
      <c r="D1701" s="7" t="str">
        <f t="shared" ref="D1701:D1703" si="112">"郑新立主编"</f>
        <v>郑新立主编</v>
      </c>
      <c r="E1701" s="7" t="str">
        <f t="shared" ref="E1701:E1703" si="113">"人民出版社"</f>
        <v>人民出版社</v>
      </c>
      <c r="F1701" s="7" t="str">
        <f t="shared" ref="F1701:F1703" si="114">"F299.276.5/10"</f>
        <v>F299.276.5/10</v>
      </c>
    </row>
    <row r="1702" customHeight="1" spans="1:6">
      <c r="A1702" s="6">
        <v>1701</v>
      </c>
      <c r="B1702" s="7" t="str">
        <f t="shared" si="110"/>
        <v>978-7-01-023177-8</v>
      </c>
      <c r="C1702" s="7" t="str">
        <f t="shared" si="111"/>
        <v>你好! 大湾区：粤港澳大湾区发展问答</v>
      </c>
      <c r="D1702" s="7" t="str">
        <f t="shared" si="112"/>
        <v>郑新立主编</v>
      </c>
      <c r="E1702" s="7" t="str">
        <f t="shared" si="113"/>
        <v>人民出版社</v>
      </c>
      <c r="F1702" s="7" t="str">
        <f t="shared" si="114"/>
        <v>F299.276.5/10</v>
      </c>
    </row>
    <row r="1703" customHeight="1" spans="1:6">
      <c r="A1703" s="6">
        <v>1702</v>
      </c>
      <c r="B1703" s="7" t="str">
        <f t="shared" si="110"/>
        <v>978-7-01-023177-8</v>
      </c>
      <c r="C1703" s="7" t="str">
        <f t="shared" si="111"/>
        <v>你好! 大湾区：粤港澳大湾区发展问答</v>
      </c>
      <c r="D1703" s="7" t="str">
        <f t="shared" si="112"/>
        <v>郑新立主编</v>
      </c>
      <c r="E1703" s="7" t="str">
        <f t="shared" si="113"/>
        <v>人民出版社</v>
      </c>
      <c r="F1703" s="7" t="str">
        <f t="shared" si="114"/>
        <v>F299.276.5/10</v>
      </c>
    </row>
    <row r="1704" customHeight="1" spans="1:6">
      <c r="A1704" s="6">
        <v>1703</v>
      </c>
      <c r="B1704" s="8" t="s">
        <v>4597</v>
      </c>
      <c r="C1704" s="8" t="s">
        <v>4598</v>
      </c>
      <c r="D1704" s="8" t="s">
        <v>4599</v>
      </c>
      <c r="E1704" s="8" t="s">
        <v>288</v>
      </c>
      <c r="F1704" s="8" t="s">
        <v>4600</v>
      </c>
    </row>
    <row r="1705" customHeight="1" spans="1:6">
      <c r="A1705" s="6">
        <v>1704</v>
      </c>
      <c r="B1705" s="8" t="s">
        <v>4601</v>
      </c>
      <c r="C1705" s="8" t="s">
        <v>4602</v>
      </c>
      <c r="D1705" s="8" t="s">
        <v>4603</v>
      </c>
      <c r="E1705" s="8" t="s">
        <v>48</v>
      </c>
      <c r="F1705" s="8" t="s">
        <v>4604</v>
      </c>
    </row>
    <row r="1706" customHeight="1" spans="1:6">
      <c r="A1706" s="6">
        <v>1705</v>
      </c>
      <c r="B1706" s="8" t="s">
        <v>4601</v>
      </c>
      <c r="C1706" s="8" t="s">
        <v>4602</v>
      </c>
      <c r="D1706" s="8" t="s">
        <v>4603</v>
      </c>
      <c r="E1706" s="8" t="s">
        <v>48</v>
      </c>
      <c r="F1706" s="8" t="s">
        <v>4604</v>
      </c>
    </row>
    <row r="1707" customHeight="1" spans="1:6">
      <c r="A1707" s="6">
        <v>1706</v>
      </c>
      <c r="B1707" s="8" t="s">
        <v>4605</v>
      </c>
      <c r="C1707" s="8" t="s">
        <v>4606</v>
      </c>
      <c r="D1707" s="8" t="s">
        <v>4607</v>
      </c>
      <c r="E1707" s="8" t="s">
        <v>48</v>
      </c>
      <c r="F1707" s="8" t="s">
        <v>4608</v>
      </c>
    </row>
    <row r="1708" customHeight="1" spans="1:6">
      <c r="A1708" s="6">
        <v>1707</v>
      </c>
      <c r="B1708" s="8" t="s">
        <v>4605</v>
      </c>
      <c r="C1708" s="8" t="s">
        <v>4606</v>
      </c>
      <c r="D1708" s="8" t="s">
        <v>4607</v>
      </c>
      <c r="E1708" s="8" t="s">
        <v>48</v>
      </c>
      <c r="F1708" s="8" t="s">
        <v>4608</v>
      </c>
    </row>
    <row r="1709" customHeight="1" spans="1:6">
      <c r="A1709" s="6">
        <v>1708</v>
      </c>
      <c r="B1709" s="8" t="s">
        <v>4609</v>
      </c>
      <c r="C1709" s="8" t="s">
        <v>4610</v>
      </c>
      <c r="D1709" s="8" t="s">
        <v>4611</v>
      </c>
      <c r="E1709" s="8" t="s">
        <v>425</v>
      </c>
      <c r="F1709" s="8" t="s">
        <v>4612</v>
      </c>
    </row>
    <row r="1710" customHeight="1" spans="1:6">
      <c r="A1710" s="6">
        <v>1709</v>
      </c>
      <c r="B1710" s="8" t="s">
        <v>4609</v>
      </c>
      <c r="C1710" s="8" t="s">
        <v>4610</v>
      </c>
      <c r="D1710" s="8" t="s">
        <v>4611</v>
      </c>
      <c r="E1710" s="8" t="s">
        <v>425</v>
      </c>
      <c r="F1710" s="8" t="s">
        <v>4612</v>
      </c>
    </row>
    <row r="1711" customHeight="1" spans="1:6">
      <c r="A1711" s="6">
        <v>1710</v>
      </c>
      <c r="B1711" s="8" t="s">
        <v>4613</v>
      </c>
      <c r="C1711" s="8" t="s">
        <v>4614</v>
      </c>
      <c r="D1711" s="8" t="s">
        <v>4615</v>
      </c>
      <c r="E1711" s="8" t="s">
        <v>2212</v>
      </c>
      <c r="F1711" s="8" t="s">
        <v>4616</v>
      </c>
    </row>
    <row r="1712" customHeight="1" spans="1:6">
      <c r="A1712" s="6">
        <v>1711</v>
      </c>
      <c r="B1712" s="7" t="str">
        <f>"978-7-5615-8200-8"</f>
        <v>978-7-5615-8200-8</v>
      </c>
      <c r="C1712" s="7" t="str">
        <f>"日本房地产百年简史"</f>
        <v>日本房地产百年简史</v>
      </c>
      <c r="D1712" s="7" t="str">
        <f>"(日) 橘川武郎， 粕谷诚编；杨现领， 李敬利译"</f>
        <v>(日) 橘川武郎， 粕谷诚编；杨现领， 李敬利译</v>
      </c>
      <c r="E1712" s="7" t="str">
        <f>"厦门大学出版社"</f>
        <v>厦门大学出版社</v>
      </c>
      <c r="F1712" s="7" t="str">
        <f>"F299.313/4"</f>
        <v>F299.313/4</v>
      </c>
    </row>
    <row r="1713" customHeight="1" spans="1:6">
      <c r="A1713" s="6">
        <v>1712</v>
      </c>
      <c r="B1713" s="7" t="str">
        <f>"978-7-5615-8200-8"</f>
        <v>978-7-5615-8200-8</v>
      </c>
      <c r="C1713" s="7" t="str">
        <f>"日本房地产百年简史"</f>
        <v>日本房地产百年简史</v>
      </c>
      <c r="D1713" s="7" t="str">
        <f>"(日) 橘川武郎， 粕谷诚编；杨现领， 李敬利译"</f>
        <v>(日) 橘川武郎， 粕谷诚编；杨现领， 李敬利译</v>
      </c>
      <c r="E1713" s="7" t="str">
        <f>"厦门大学出版社"</f>
        <v>厦门大学出版社</v>
      </c>
      <c r="F1713" s="7" t="str">
        <f>"F299.313/4"</f>
        <v>F299.313/4</v>
      </c>
    </row>
    <row r="1714" customHeight="1" spans="1:6">
      <c r="A1714" s="6">
        <v>1713</v>
      </c>
      <c r="B1714" s="8" t="s">
        <v>4617</v>
      </c>
      <c r="C1714" s="8" t="s">
        <v>4618</v>
      </c>
      <c r="D1714" s="8" t="s">
        <v>4619</v>
      </c>
      <c r="E1714" s="8" t="s">
        <v>438</v>
      </c>
      <c r="F1714" s="8" t="s">
        <v>4620</v>
      </c>
    </row>
    <row r="1715" customHeight="1" spans="1:6">
      <c r="A1715" s="6">
        <v>1714</v>
      </c>
      <c r="B1715" s="8" t="s">
        <v>4617</v>
      </c>
      <c r="C1715" s="8" t="s">
        <v>4618</v>
      </c>
      <c r="D1715" s="8" t="s">
        <v>4619</v>
      </c>
      <c r="E1715" s="8" t="s">
        <v>438</v>
      </c>
      <c r="F1715" s="8" t="s">
        <v>4620</v>
      </c>
    </row>
    <row r="1716" customHeight="1" spans="1:6">
      <c r="A1716" s="6">
        <v>1715</v>
      </c>
      <c r="B1716" s="8" t="s">
        <v>4617</v>
      </c>
      <c r="C1716" s="8" t="s">
        <v>4618</v>
      </c>
      <c r="D1716" s="8" t="s">
        <v>4619</v>
      </c>
      <c r="E1716" s="8" t="s">
        <v>438</v>
      </c>
      <c r="F1716" s="8" t="s">
        <v>4620</v>
      </c>
    </row>
    <row r="1717" customHeight="1" spans="1:6">
      <c r="A1717" s="6">
        <v>1716</v>
      </c>
      <c r="B1717" s="8" t="s">
        <v>4621</v>
      </c>
      <c r="C1717" s="8" t="s">
        <v>4622</v>
      </c>
      <c r="D1717" s="8" t="s">
        <v>4623</v>
      </c>
      <c r="E1717" s="8" t="s">
        <v>33</v>
      </c>
      <c r="F1717" s="8" t="s">
        <v>4624</v>
      </c>
    </row>
    <row r="1718" customHeight="1" spans="1:6">
      <c r="A1718" s="6">
        <v>1717</v>
      </c>
      <c r="B1718" s="8" t="s">
        <v>4621</v>
      </c>
      <c r="C1718" s="8" t="s">
        <v>4622</v>
      </c>
      <c r="D1718" s="8" t="s">
        <v>4623</v>
      </c>
      <c r="E1718" s="8" t="s">
        <v>33</v>
      </c>
      <c r="F1718" s="8" t="s">
        <v>4624</v>
      </c>
    </row>
    <row r="1719" customHeight="1" spans="1:6">
      <c r="A1719" s="6">
        <v>1718</v>
      </c>
      <c r="B1719" s="8" t="s">
        <v>4625</v>
      </c>
      <c r="C1719" s="8" t="s">
        <v>4626</v>
      </c>
      <c r="D1719" s="8" t="s">
        <v>4627</v>
      </c>
      <c r="E1719" s="8" t="s">
        <v>1189</v>
      </c>
      <c r="F1719" s="8" t="s">
        <v>4628</v>
      </c>
    </row>
    <row r="1720" customHeight="1" spans="1:6">
      <c r="A1720" s="6">
        <v>1719</v>
      </c>
      <c r="B1720" s="8" t="s">
        <v>4625</v>
      </c>
      <c r="C1720" s="8" t="s">
        <v>4626</v>
      </c>
      <c r="D1720" s="8" t="s">
        <v>4627</v>
      </c>
      <c r="E1720" s="8" t="s">
        <v>1189</v>
      </c>
      <c r="F1720" s="8" t="s">
        <v>4628</v>
      </c>
    </row>
    <row r="1721" customHeight="1" spans="1:6">
      <c r="A1721" s="6">
        <v>1720</v>
      </c>
      <c r="B1721" s="8" t="s">
        <v>4629</v>
      </c>
      <c r="C1721" s="8" t="s">
        <v>4630</v>
      </c>
      <c r="D1721" s="8" t="s">
        <v>4631</v>
      </c>
      <c r="E1721" s="8" t="s">
        <v>375</v>
      </c>
      <c r="F1721" s="8" t="s">
        <v>4632</v>
      </c>
    </row>
    <row r="1722" customHeight="1" spans="1:6">
      <c r="A1722" s="6">
        <v>1721</v>
      </c>
      <c r="B1722" s="8" t="s">
        <v>4629</v>
      </c>
      <c r="C1722" s="8" t="s">
        <v>4630</v>
      </c>
      <c r="D1722" s="8" t="s">
        <v>4631</v>
      </c>
      <c r="E1722" s="8" t="s">
        <v>375</v>
      </c>
      <c r="F1722" s="8" t="s">
        <v>4632</v>
      </c>
    </row>
    <row r="1723" customHeight="1" spans="1:6">
      <c r="A1723" s="6">
        <v>1722</v>
      </c>
      <c r="B1723" s="7" t="str">
        <f>"978-7-109-28372-5"</f>
        <v>978-7-109-28372-5</v>
      </c>
      <c r="C1723" s="7" t="str">
        <f>"食物经济学"</f>
        <v>食物经济学</v>
      </c>
      <c r="D1723" s="7" t="str">
        <f>"陈有华著"</f>
        <v>陈有华著</v>
      </c>
      <c r="E1723" s="7" t="str">
        <f>"中国农业出版社"</f>
        <v>中国农业出版社</v>
      </c>
      <c r="F1723" s="7" t="str">
        <f>"F307.11/2"</f>
        <v>F307.11/2</v>
      </c>
    </row>
    <row r="1724" customHeight="1" spans="1:6">
      <c r="A1724" s="6">
        <v>1723</v>
      </c>
      <c r="B1724" s="7" t="str">
        <f>"978-7-109-28372-5"</f>
        <v>978-7-109-28372-5</v>
      </c>
      <c r="C1724" s="7" t="str">
        <f>"食物经济学"</f>
        <v>食物经济学</v>
      </c>
      <c r="D1724" s="7" t="str">
        <f>"陈有华著"</f>
        <v>陈有华著</v>
      </c>
      <c r="E1724" s="7" t="str">
        <f>"中国农业出版社"</f>
        <v>中国农业出版社</v>
      </c>
      <c r="F1724" s="7" t="str">
        <f>"F307.11/2"</f>
        <v>F307.11/2</v>
      </c>
    </row>
    <row r="1725" customHeight="1" spans="1:6">
      <c r="A1725" s="6">
        <v>1724</v>
      </c>
      <c r="B1725" s="8" t="s">
        <v>4633</v>
      </c>
      <c r="C1725" s="8" t="s">
        <v>4634</v>
      </c>
      <c r="D1725" s="8" t="s">
        <v>4635</v>
      </c>
      <c r="E1725" s="8" t="s">
        <v>530</v>
      </c>
      <c r="F1725" s="8" t="s">
        <v>4636</v>
      </c>
    </row>
    <row r="1726" customHeight="1" spans="1:6">
      <c r="A1726" s="6">
        <v>1725</v>
      </c>
      <c r="B1726" s="8" t="s">
        <v>4633</v>
      </c>
      <c r="C1726" s="8" t="s">
        <v>4634</v>
      </c>
      <c r="D1726" s="8" t="s">
        <v>4635</v>
      </c>
      <c r="E1726" s="8" t="s">
        <v>530</v>
      </c>
      <c r="F1726" s="8" t="s">
        <v>4636</v>
      </c>
    </row>
    <row r="1727" customHeight="1" spans="1:6">
      <c r="A1727" s="6">
        <v>1726</v>
      </c>
      <c r="B1727" s="8" t="s">
        <v>4633</v>
      </c>
      <c r="C1727" s="8" t="s">
        <v>4634</v>
      </c>
      <c r="D1727" s="8" t="s">
        <v>4635</v>
      </c>
      <c r="E1727" s="8" t="s">
        <v>530</v>
      </c>
      <c r="F1727" s="8" t="s">
        <v>4636</v>
      </c>
    </row>
    <row r="1728" customHeight="1" spans="1:6">
      <c r="A1728" s="6">
        <v>1727</v>
      </c>
      <c r="B1728" s="8" t="s">
        <v>4637</v>
      </c>
      <c r="C1728" s="8" t="s">
        <v>4638</v>
      </c>
      <c r="D1728" s="13"/>
      <c r="E1728" s="8" t="s">
        <v>48</v>
      </c>
      <c r="F1728" s="8" t="s">
        <v>4639</v>
      </c>
    </row>
    <row r="1729" customHeight="1" spans="1:6">
      <c r="A1729" s="6">
        <v>1728</v>
      </c>
      <c r="B1729" s="8" t="s">
        <v>4637</v>
      </c>
      <c r="C1729" s="8" t="s">
        <v>4638</v>
      </c>
      <c r="D1729" s="13"/>
      <c r="E1729" s="8" t="s">
        <v>48</v>
      </c>
      <c r="F1729" s="8" t="s">
        <v>4639</v>
      </c>
    </row>
    <row r="1730" customHeight="1" spans="1:6">
      <c r="A1730" s="6">
        <v>1729</v>
      </c>
      <c r="B1730" s="8" t="s">
        <v>4640</v>
      </c>
      <c r="C1730" s="8" t="s">
        <v>4641</v>
      </c>
      <c r="D1730" s="8" t="s">
        <v>4642</v>
      </c>
      <c r="E1730" s="8" t="s">
        <v>311</v>
      </c>
      <c r="F1730" s="8" t="s">
        <v>4643</v>
      </c>
    </row>
    <row r="1731" customHeight="1" spans="1:6">
      <c r="A1731" s="6">
        <v>1730</v>
      </c>
      <c r="B1731" s="8" t="s">
        <v>4640</v>
      </c>
      <c r="C1731" s="8" t="s">
        <v>4641</v>
      </c>
      <c r="D1731" s="8" t="s">
        <v>4642</v>
      </c>
      <c r="E1731" s="8" t="s">
        <v>311</v>
      </c>
      <c r="F1731" s="8" t="s">
        <v>4643</v>
      </c>
    </row>
    <row r="1732" customHeight="1" spans="1:6">
      <c r="A1732" s="6">
        <v>1731</v>
      </c>
      <c r="B1732" s="7" t="str">
        <f>"978-7-5096-7969-2"</f>
        <v>978-7-5096-7969-2</v>
      </c>
      <c r="C1732" s="7" t="str">
        <f>"新时代乡村振兴战略探析"</f>
        <v>新时代乡村振兴战略探析</v>
      </c>
      <c r="D1732" s="7" t="str">
        <f>"鄢奋， 潘娜等著"</f>
        <v>鄢奋， 潘娜等著</v>
      </c>
      <c r="E1732" s="7" t="str">
        <f t="shared" ref="E1732:E1738" si="115">"经济管理出版社"</f>
        <v>经济管理出版社</v>
      </c>
      <c r="F1732" s="7" t="str">
        <f>"F320.3/51"</f>
        <v>F320.3/51</v>
      </c>
    </row>
    <row r="1733" customHeight="1" spans="1:6">
      <c r="A1733" s="6">
        <v>1732</v>
      </c>
      <c r="B1733" s="7" t="str">
        <f>"978-7-5096-7969-2"</f>
        <v>978-7-5096-7969-2</v>
      </c>
      <c r="C1733" s="7" t="str">
        <f>"新时代乡村振兴战略探析"</f>
        <v>新时代乡村振兴战略探析</v>
      </c>
      <c r="D1733" s="7" t="str">
        <f>"鄢奋， 潘娜等著"</f>
        <v>鄢奋， 潘娜等著</v>
      </c>
      <c r="E1733" s="7" t="str">
        <f t="shared" si="115"/>
        <v>经济管理出版社</v>
      </c>
      <c r="F1733" s="7" t="str">
        <f>"F320.3/51"</f>
        <v>F320.3/51</v>
      </c>
    </row>
    <row r="1734" customHeight="1" spans="1:6">
      <c r="A1734" s="6">
        <v>1733</v>
      </c>
      <c r="B1734" s="7" t="str">
        <f t="shared" ref="B1734:B1736" si="116">"978-7-5207-2239-1"</f>
        <v>978-7-5207-2239-1</v>
      </c>
      <c r="C1734" s="7" t="str">
        <f t="shared" ref="C1734:C1736" si="117">"大国之本：乡村振兴大战略解读"</f>
        <v>大国之本：乡村振兴大战略解读</v>
      </c>
      <c r="D1734" s="7" t="str">
        <f t="shared" ref="D1734:D1736" si="118">"张孝德著"</f>
        <v>张孝德著</v>
      </c>
      <c r="E1734" s="7" t="str">
        <f t="shared" ref="E1734:E1736" si="119">"东方出版社"</f>
        <v>东方出版社</v>
      </c>
      <c r="F1734" s="7" t="str">
        <f t="shared" ref="F1734:F1736" si="120">"F320.3/52"</f>
        <v>F320.3/52</v>
      </c>
    </row>
    <row r="1735" customHeight="1" spans="1:6">
      <c r="A1735" s="6">
        <v>1734</v>
      </c>
      <c r="B1735" s="7" t="str">
        <f t="shared" si="116"/>
        <v>978-7-5207-2239-1</v>
      </c>
      <c r="C1735" s="7" t="str">
        <f t="shared" si="117"/>
        <v>大国之本：乡村振兴大战略解读</v>
      </c>
      <c r="D1735" s="7" t="str">
        <f t="shared" si="118"/>
        <v>张孝德著</v>
      </c>
      <c r="E1735" s="7" t="str">
        <f t="shared" si="119"/>
        <v>东方出版社</v>
      </c>
      <c r="F1735" s="7" t="str">
        <f t="shared" si="120"/>
        <v>F320.3/52</v>
      </c>
    </row>
    <row r="1736" customHeight="1" spans="1:6">
      <c r="A1736" s="6">
        <v>1735</v>
      </c>
      <c r="B1736" s="7" t="str">
        <f t="shared" si="116"/>
        <v>978-7-5207-2239-1</v>
      </c>
      <c r="C1736" s="7" t="str">
        <f t="shared" si="117"/>
        <v>大国之本：乡村振兴大战略解读</v>
      </c>
      <c r="D1736" s="7" t="str">
        <f t="shared" si="118"/>
        <v>张孝德著</v>
      </c>
      <c r="E1736" s="7" t="str">
        <f t="shared" si="119"/>
        <v>东方出版社</v>
      </c>
      <c r="F1736" s="7" t="str">
        <f t="shared" si="120"/>
        <v>F320.3/52</v>
      </c>
    </row>
    <row r="1737" customHeight="1" spans="1:6">
      <c r="A1737" s="6">
        <v>1736</v>
      </c>
      <c r="B1737" s="7" t="str">
        <f>"978-7-5096-7807-7"</f>
        <v>978-7-5096-7807-7</v>
      </c>
      <c r="C1737" s="7" t="str">
        <f>"乡村振兴与新型职业农民培育"</f>
        <v>乡村振兴与新型职业农民培育</v>
      </c>
      <c r="D1737" s="7" t="str">
        <f>"曹骞， 孙江艳著"</f>
        <v>曹骞， 孙江艳著</v>
      </c>
      <c r="E1737" s="7" t="str">
        <f t="shared" si="115"/>
        <v>经济管理出版社</v>
      </c>
      <c r="F1737" s="7" t="str">
        <f>"F320.3/53"</f>
        <v>F320.3/53</v>
      </c>
    </row>
    <row r="1738" customHeight="1" spans="1:6">
      <c r="A1738" s="6">
        <v>1737</v>
      </c>
      <c r="B1738" s="7" t="str">
        <f>"978-7-5096-7807-7"</f>
        <v>978-7-5096-7807-7</v>
      </c>
      <c r="C1738" s="7" t="str">
        <f>"乡村振兴与新型职业农民培育"</f>
        <v>乡村振兴与新型职业农民培育</v>
      </c>
      <c r="D1738" s="7" t="str">
        <f>"曹骞， 孙江艳著"</f>
        <v>曹骞， 孙江艳著</v>
      </c>
      <c r="E1738" s="7" t="str">
        <f t="shared" si="115"/>
        <v>经济管理出版社</v>
      </c>
      <c r="F1738" s="7" t="str">
        <f>"F320.3/53"</f>
        <v>F320.3/53</v>
      </c>
    </row>
    <row r="1739" customHeight="1" spans="1:6">
      <c r="A1739" s="6">
        <v>1738</v>
      </c>
      <c r="B1739" s="8" t="s">
        <v>4644</v>
      </c>
      <c r="C1739" s="8" t="s">
        <v>4645</v>
      </c>
      <c r="D1739" s="8" t="s">
        <v>4646</v>
      </c>
      <c r="E1739" s="8" t="s">
        <v>675</v>
      </c>
      <c r="F1739" s="8" t="s">
        <v>4647</v>
      </c>
    </row>
    <row r="1740" customHeight="1" spans="1:6">
      <c r="A1740" s="6">
        <v>1739</v>
      </c>
      <c r="B1740" s="8" t="s">
        <v>4644</v>
      </c>
      <c r="C1740" s="8" t="s">
        <v>4645</v>
      </c>
      <c r="D1740" s="8" t="s">
        <v>4646</v>
      </c>
      <c r="E1740" s="8" t="s">
        <v>675</v>
      </c>
      <c r="F1740" s="8" t="s">
        <v>4647</v>
      </c>
    </row>
    <row r="1741" customHeight="1" spans="1:6">
      <c r="A1741" s="6">
        <v>1740</v>
      </c>
      <c r="B1741" s="8" t="s">
        <v>4648</v>
      </c>
      <c r="C1741" s="8" t="s">
        <v>4649</v>
      </c>
      <c r="D1741" s="8" t="s">
        <v>4646</v>
      </c>
      <c r="E1741" s="8" t="s">
        <v>675</v>
      </c>
      <c r="F1741" s="8" t="s">
        <v>4650</v>
      </c>
    </row>
    <row r="1742" customHeight="1" spans="1:6">
      <c r="A1742" s="6">
        <v>1741</v>
      </c>
      <c r="B1742" s="8" t="s">
        <v>4648</v>
      </c>
      <c r="C1742" s="8" t="s">
        <v>4649</v>
      </c>
      <c r="D1742" s="8" t="s">
        <v>4646</v>
      </c>
      <c r="E1742" s="8" t="s">
        <v>675</v>
      </c>
      <c r="F1742" s="8" t="s">
        <v>4650</v>
      </c>
    </row>
    <row r="1743" customHeight="1" spans="1:6">
      <c r="A1743" s="6">
        <v>1742</v>
      </c>
      <c r="B1743" s="8" t="s">
        <v>4651</v>
      </c>
      <c r="C1743" s="8" t="s">
        <v>4652</v>
      </c>
      <c r="D1743" s="8" t="s">
        <v>4646</v>
      </c>
      <c r="E1743" s="8" t="s">
        <v>675</v>
      </c>
      <c r="F1743" s="8" t="s">
        <v>4653</v>
      </c>
    </row>
    <row r="1744" customHeight="1" spans="1:6">
      <c r="A1744" s="6">
        <v>1743</v>
      </c>
      <c r="B1744" s="8" t="s">
        <v>4654</v>
      </c>
      <c r="C1744" s="8" t="s">
        <v>4655</v>
      </c>
      <c r="D1744" s="8" t="s">
        <v>4646</v>
      </c>
      <c r="E1744" s="8" t="s">
        <v>675</v>
      </c>
      <c r="F1744" s="8" t="s">
        <v>4656</v>
      </c>
    </row>
    <row r="1745" customHeight="1" spans="1:6">
      <c r="A1745" s="6">
        <v>1744</v>
      </c>
      <c r="B1745" s="8" t="s">
        <v>4654</v>
      </c>
      <c r="C1745" s="8" t="s">
        <v>4655</v>
      </c>
      <c r="D1745" s="8" t="s">
        <v>4646</v>
      </c>
      <c r="E1745" s="8" t="s">
        <v>675</v>
      </c>
      <c r="F1745" s="8" t="s">
        <v>4656</v>
      </c>
    </row>
    <row r="1746" customHeight="1" spans="1:6">
      <c r="A1746" s="6">
        <v>1745</v>
      </c>
      <c r="B1746" s="8" t="s">
        <v>4657</v>
      </c>
      <c r="C1746" s="8" t="s">
        <v>4658</v>
      </c>
      <c r="D1746" s="8" t="s">
        <v>4659</v>
      </c>
      <c r="E1746" s="8" t="s">
        <v>675</v>
      </c>
      <c r="F1746" s="8" t="s">
        <v>4660</v>
      </c>
    </row>
    <row r="1747" customHeight="1" spans="1:6">
      <c r="A1747" s="6">
        <v>1746</v>
      </c>
      <c r="B1747" s="8" t="s">
        <v>4657</v>
      </c>
      <c r="C1747" s="8" t="s">
        <v>4658</v>
      </c>
      <c r="D1747" s="8" t="s">
        <v>4659</v>
      </c>
      <c r="E1747" s="8" t="s">
        <v>675</v>
      </c>
      <c r="F1747" s="8" t="s">
        <v>4660</v>
      </c>
    </row>
    <row r="1748" customHeight="1" spans="1:6">
      <c r="A1748" s="6">
        <v>1747</v>
      </c>
      <c r="B1748" s="8" t="s">
        <v>4661</v>
      </c>
      <c r="C1748" s="8" t="s">
        <v>4662</v>
      </c>
      <c r="D1748" s="8" t="s">
        <v>4646</v>
      </c>
      <c r="E1748" s="8" t="s">
        <v>675</v>
      </c>
      <c r="F1748" s="8" t="s">
        <v>4663</v>
      </c>
    </row>
    <row r="1749" customHeight="1" spans="1:6">
      <c r="A1749" s="6">
        <v>1748</v>
      </c>
      <c r="B1749" s="8" t="s">
        <v>4661</v>
      </c>
      <c r="C1749" s="8" t="s">
        <v>4662</v>
      </c>
      <c r="D1749" s="8" t="s">
        <v>4646</v>
      </c>
      <c r="E1749" s="8" t="s">
        <v>675</v>
      </c>
      <c r="F1749" s="8" t="s">
        <v>4663</v>
      </c>
    </row>
    <row r="1750" customHeight="1" spans="1:6">
      <c r="A1750" s="6">
        <v>1749</v>
      </c>
      <c r="B1750" s="8" t="s">
        <v>4664</v>
      </c>
      <c r="C1750" s="8" t="s">
        <v>4665</v>
      </c>
      <c r="D1750" s="8" t="s">
        <v>4646</v>
      </c>
      <c r="E1750" s="8" t="s">
        <v>675</v>
      </c>
      <c r="F1750" s="8" t="s">
        <v>4666</v>
      </c>
    </row>
    <row r="1751" customHeight="1" spans="1:6">
      <c r="A1751" s="6">
        <v>1750</v>
      </c>
      <c r="B1751" s="8" t="s">
        <v>4664</v>
      </c>
      <c r="C1751" s="8" t="s">
        <v>4665</v>
      </c>
      <c r="D1751" s="8" t="s">
        <v>4646</v>
      </c>
      <c r="E1751" s="8" t="s">
        <v>675</v>
      </c>
      <c r="F1751" s="8" t="s">
        <v>4666</v>
      </c>
    </row>
    <row r="1752" customHeight="1" spans="1:6">
      <c r="A1752" s="6">
        <v>1751</v>
      </c>
      <c r="B1752" s="8" t="s">
        <v>4667</v>
      </c>
      <c r="C1752" s="8" t="s">
        <v>4668</v>
      </c>
      <c r="D1752" s="8" t="s">
        <v>4646</v>
      </c>
      <c r="E1752" s="8" t="s">
        <v>675</v>
      </c>
      <c r="F1752" s="8" t="s">
        <v>4669</v>
      </c>
    </row>
    <row r="1753" customHeight="1" spans="1:6">
      <c r="A1753" s="6">
        <v>1752</v>
      </c>
      <c r="B1753" s="8" t="s">
        <v>4667</v>
      </c>
      <c r="C1753" s="8" t="s">
        <v>4668</v>
      </c>
      <c r="D1753" s="8" t="s">
        <v>4646</v>
      </c>
      <c r="E1753" s="8" t="s">
        <v>675</v>
      </c>
      <c r="F1753" s="8" t="s">
        <v>4669</v>
      </c>
    </row>
    <row r="1754" customHeight="1" spans="1:6">
      <c r="A1754" s="6">
        <v>1753</v>
      </c>
      <c r="B1754" s="8" t="s">
        <v>4670</v>
      </c>
      <c r="C1754" s="8" t="s">
        <v>4671</v>
      </c>
      <c r="D1754" s="8" t="s">
        <v>4646</v>
      </c>
      <c r="E1754" s="8" t="s">
        <v>675</v>
      </c>
      <c r="F1754" s="8" t="s">
        <v>4672</v>
      </c>
    </row>
    <row r="1755" customHeight="1" spans="1:6">
      <c r="A1755" s="6">
        <v>1754</v>
      </c>
      <c r="B1755" s="8" t="s">
        <v>4670</v>
      </c>
      <c r="C1755" s="8" t="s">
        <v>4671</v>
      </c>
      <c r="D1755" s="8" t="s">
        <v>4646</v>
      </c>
      <c r="E1755" s="8" t="s">
        <v>675</v>
      </c>
      <c r="F1755" s="8" t="s">
        <v>4672</v>
      </c>
    </row>
    <row r="1756" customHeight="1" spans="1:6">
      <c r="A1756" s="6">
        <v>1755</v>
      </c>
      <c r="B1756" s="8" t="s">
        <v>4673</v>
      </c>
      <c r="C1756" s="8" t="s">
        <v>4674</v>
      </c>
      <c r="D1756" s="8" t="s">
        <v>4675</v>
      </c>
      <c r="E1756" s="8" t="s">
        <v>360</v>
      </c>
      <c r="F1756" s="8" t="s">
        <v>4676</v>
      </c>
    </row>
    <row r="1757" customHeight="1" spans="1:6">
      <c r="A1757" s="6">
        <v>1756</v>
      </c>
      <c r="B1757" s="8" t="s">
        <v>4673</v>
      </c>
      <c r="C1757" s="8" t="s">
        <v>4674</v>
      </c>
      <c r="D1757" s="8" t="s">
        <v>4675</v>
      </c>
      <c r="E1757" s="8" t="s">
        <v>360</v>
      </c>
      <c r="F1757" s="8" t="s">
        <v>4676</v>
      </c>
    </row>
    <row r="1758" customHeight="1" spans="1:6">
      <c r="A1758" s="6">
        <v>1757</v>
      </c>
      <c r="B1758" s="8" t="s">
        <v>4677</v>
      </c>
      <c r="C1758" s="8" t="s">
        <v>4678</v>
      </c>
      <c r="D1758" s="8" t="s">
        <v>4679</v>
      </c>
      <c r="E1758" s="8" t="s">
        <v>810</v>
      </c>
      <c r="F1758" s="8" t="s">
        <v>4680</v>
      </c>
    </row>
    <row r="1759" customHeight="1" spans="1:6">
      <c r="A1759" s="6">
        <v>1758</v>
      </c>
      <c r="B1759" s="8" t="s">
        <v>4677</v>
      </c>
      <c r="C1759" s="8" t="s">
        <v>4678</v>
      </c>
      <c r="D1759" s="8" t="s">
        <v>4679</v>
      </c>
      <c r="E1759" s="8" t="s">
        <v>810</v>
      </c>
      <c r="F1759" s="8" t="s">
        <v>4680</v>
      </c>
    </row>
    <row r="1760" customHeight="1" spans="1:6">
      <c r="A1760" s="6">
        <v>1759</v>
      </c>
      <c r="B1760" s="8" t="s">
        <v>4677</v>
      </c>
      <c r="C1760" s="8" t="s">
        <v>4678</v>
      </c>
      <c r="D1760" s="8" t="s">
        <v>4679</v>
      </c>
      <c r="E1760" s="8" t="s">
        <v>810</v>
      </c>
      <c r="F1760" s="8" t="s">
        <v>4680</v>
      </c>
    </row>
    <row r="1761" customHeight="1" spans="1:6">
      <c r="A1761" s="6">
        <v>1760</v>
      </c>
      <c r="B1761" s="8" t="s">
        <v>4681</v>
      </c>
      <c r="C1761" s="8" t="s">
        <v>4682</v>
      </c>
      <c r="D1761" s="8" t="s">
        <v>4683</v>
      </c>
      <c r="E1761" s="8" t="s">
        <v>3146</v>
      </c>
      <c r="F1761" s="8" t="s">
        <v>4684</v>
      </c>
    </row>
    <row r="1762" customHeight="1" spans="1:6">
      <c r="A1762" s="6">
        <v>1761</v>
      </c>
      <c r="B1762" s="8" t="s">
        <v>4681</v>
      </c>
      <c r="C1762" s="8" t="s">
        <v>4682</v>
      </c>
      <c r="D1762" s="8" t="s">
        <v>4683</v>
      </c>
      <c r="E1762" s="8" t="s">
        <v>3146</v>
      </c>
      <c r="F1762" s="8" t="s">
        <v>4684</v>
      </c>
    </row>
    <row r="1763" customHeight="1" spans="1:6">
      <c r="A1763" s="6">
        <v>1762</v>
      </c>
      <c r="B1763" s="8" t="s">
        <v>4681</v>
      </c>
      <c r="C1763" s="8" t="s">
        <v>4682</v>
      </c>
      <c r="D1763" s="8" t="s">
        <v>4683</v>
      </c>
      <c r="E1763" s="8" t="s">
        <v>3146</v>
      </c>
      <c r="F1763" s="8" t="s">
        <v>4684</v>
      </c>
    </row>
    <row r="1764" customHeight="1" spans="1:6">
      <c r="A1764" s="6">
        <v>1763</v>
      </c>
      <c r="B1764" s="8" t="s">
        <v>4685</v>
      </c>
      <c r="C1764" s="8" t="s">
        <v>4686</v>
      </c>
      <c r="D1764" s="8" t="s">
        <v>4687</v>
      </c>
      <c r="E1764" s="8" t="s">
        <v>1189</v>
      </c>
      <c r="F1764" s="8" t="s">
        <v>4688</v>
      </c>
    </row>
    <row r="1765" customHeight="1" spans="1:6">
      <c r="A1765" s="6">
        <v>1764</v>
      </c>
      <c r="B1765" s="8" t="s">
        <v>4685</v>
      </c>
      <c r="C1765" s="8" t="s">
        <v>4686</v>
      </c>
      <c r="D1765" s="8" t="s">
        <v>4687</v>
      </c>
      <c r="E1765" s="8" t="s">
        <v>1189</v>
      </c>
      <c r="F1765" s="8" t="s">
        <v>4688</v>
      </c>
    </row>
    <row r="1766" customHeight="1" spans="1:6">
      <c r="A1766" s="6">
        <v>1765</v>
      </c>
      <c r="B1766" s="8" t="s">
        <v>4685</v>
      </c>
      <c r="C1766" s="8" t="s">
        <v>4686</v>
      </c>
      <c r="D1766" s="8" t="s">
        <v>4687</v>
      </c>
      <c r="E1766" s="8" t="s">
        <v>1189</v>
      </c>
      <c r="F1766" s="8" t="s">
        <v>4688</v>
      </c>
    </row>
    <row r="1767" customHeight="1" spans="1:6">
      <c r="A1767" s="6">
        <v>1766</v>
      </c>
      <c r="B1767" s="8" t="s">
        <v>4689</v>
      </c>
      <c r="C1767" s="8" t="s">
        <v>4690</v>
      </c>
      <c r="D1767" s="8" t="s">
        <v>4691</v>
      </c>
      <c r="E1767" s="8" t="s">
        <v>1796</v>
      </c>
      <c r="F1767" s="8" t="s">
        <v>4692</v>
      </c>
    </row>
    <row r="1768" customHeight="1" spans="1:6">
      <c r="A1768" s="6">
        <v>1767</v>
      </c>
      <c r="B1768" s="8" t="s">
        <v>4689</v>
      </c>
      <c r="C1768" s="8" t="s">
        <v>4690</v>
      </c>
      <c r="D1768" s="8" t="s">
        <v>4691</v>
      </c>
      <c r="E1768" s="8" t="s">
        <v>1796</v>
      </c>
      <c r="F1768" s="8" t="s">
        <v>4692</v>
      </c>
    </row>
    <row r="1769" customHeight="1" spans="1:6">
      <c r="A1769" s="6">
        <v>1768</v>
      </c>
      <c r="B1769" s="8" t="s">
        <v>4693</v>
      </c>
      <c r="C1769" s="8" t="s">
        <v>4694</v>
      </c>
      <c r="D1769" s="8" t="s">
        <v>4695</v>
      </c>
      <c r="E1769" s="8" t="s">
        <v>1667</v>
      </c>
      <c r="F1769" s="8" t="s">
        <v>4696</v>
      </c>
    </row>
    <row r="1770" customHeight="1" spans="1:6">
      <c r="A1770" s="6">
        <v>1769</v>
      </c>
      <c r="B1770" s="8" t="s">
        <v>4693</v>
      </c>
      <c r="C1770" s="8" t="s">
        <v>4694</v>
      </c>
      <c r="D1770" s="8" t="s">
        <v>4695</v>
      </c>
      <c r="E1770" s="8" t="s">
        <v>1667</v>
      </c>
      <c r="F1770" s="8" t="s">
        <v>4696</v>
      </c>
    </row>
    <row r="1771" customHeight="1" spans="1:6">
      <c r="A1771" s="6">
        <v>1770</v>
      </c>
      <c r="B1771" s="8" t="s">
        <v>4697</v>
      </c>
      <c r="C1771" s="8" t="s">
        <v>4698</v>
      </c>
      <c r="D1771" s="8" t="s">
        <v>4699</v>
      </c>
      <c r="E1771" s="8" t="s">
        <v>1667</v>
      </c>
      <c r="F1771" s="8" t="s">
        <v>4700</v>
      </c>
    </row>
    <row r="1772" customHeight="1" spans="1:6">
      <c r="A1772" s="6">
        <v>1771</v>
      </c>
      <c r="B1772" s="8" t="s">
        <v>4697</v>
      </c>
      <c r="C1772" s="8" t="s">
        <v>4698</v>
      </c>
      <c r="D1772" s="8" t="s">
        <v>4699</v>
      </c>
      <c r="E1772" s="8" t="s">
        <v>1667</v>
      </c>
      <c r="F1772" s="8" t="s">
        <v>4700</v>
      </c>
    </row>
    <row r="1773" customHeight="1" spans="1:6">
      <c r="A1773" s="6">
        <v>1772</v>
      </c>
      <c r="B1773" s="8" t="s">
        <v>4701</v>
      </c>
      <c r="C1773" s="8" t="s">
        <v>4702</v>
      </c>
      <c r="D1773" s="8" t="s">
        <v>4703</v>
      </c>
      <c r="E1773" s="8" t="s">
        <v>1189</v>
      </c>
      <c r="F1773" s="8" t="s">
        <v>4704</v>
      </c>
    </row>
    <row r="1774" customHeight="1" spans="1:6">
      <c r="A1774" s="6">
        <v>1773</v>
      </c>
      <c r="B1774" s="8" t="s">
        <v>4701</v>
      </c>
      <c r="C1774" s="8" t="s">
        <v>4702</v>
      </c>
      <c r="D1774" s="8" t="s">
        <v>4703</v>
      </c>
      <c r="E1774" s="8" t="s">
        <v>1189</v>
      </c>
      <c r="F1774" s="8" t="s">
        <v>4704</v>
      </c>
    </row>
    <row r="1775" customHeight="1" spans="1:6">
      <c r="A1775" s="6">
        <v>1774</v>
      </c>
      <c r="B1775" s="8" t="s">
        <v>4701</v>
      </c>
      <c r="C1775" s="8" t="s">
        <v>4702</v>
      </c>
      <c r="D1775" s="8" t="s">
        <v>4703</v>
      </c>
      <c r="E1775" s="8" t="s">
        <v>1189</v>
      </c>
      <c r="F1775" s="8" t="s">
        <v>4704</v>
      </c>
    </row>
    <row r="1776" customHeight="1" spans="1:6">
      <c r="A1776" s="6">
        <v>1775</v>
      </c>
      <c r="B1776" s="8" t="s">
        <v>4705</v>
      </c>
      <c r="C1776" s="8" t="s">
        <v>4706</v>
      </c>
      <c r="D1776" s="8" t="s">
        <v>4707</v>
      </c>
      <c r="E1776" s="8" t="s">
        <v>311</v>
      </c>
      <c r="F1776" s="8" t="s">
        <v>4708</v>
      </c>
    </row>
    <row r="1777" customHeight="1" spans="1:6">
      <c r="A1777" s="6">
        <v>1776</v>
      </c>
      <c r="B1777" s="8" t="s">
        <v>4705</v>
      </c>
      <c r="C1777" s="8" t="s">
        <v>4706</v>
      </c>
      <c r="D1777" s="8" t="s">
        <v>4707</v>
      </c>
      <c r="E1777" s="8" t="s">
        <v>311</v>
      </c>
      <c r="F1777" s="8" t="s">
        <v>4708</v>
      </c>
    </row>
    <row r="1778" customHeight="1" spans="1:6">
      <c r="A1778" s="6">
        <v>1777</v>
      </c>
      <c r="B1778" s="8" t="s">
        <v>4709</v>
      </c>
      <c r="C1778" s="8" t="s">
        <v>4710</v>
      </c>
      <c r="D1778" s="8" t="s">
        <v>4711</v>
      </c>
      <c r="E1778" s="8" t="s">
        <v>311</v>
      </c>
      <c r="F1778" s="8" t="s">
        <v>4712</v>
      </c>
    </row>
    <row r="1779" customHeight="1" spans="1:6">
      <c r="A1779" s="6">
        <v>1778</v>
      </c>
      <c r="B1779" s="8" t="s">
        <v>4709</v>
      </c>
      <c r="C1779" s="8" t="s">
        <v>4710</v>
      </c>
      <c r="D1779" s="8" t="s">
        <v>4711</v>
      </c>
      <c r="E1779" s="8" t="s">
        <v>311</v>
      </c>
      <c r="F1779" s="8" t="s">
        <v>4712</v>
      </c>
    </row>
    <row r="1780" customHeight="1" spans="1:6">
      <c r="A1780" s="6">
        <v>1779</v>
      </c>
      <c r="B1780" s="8" t="s">
        <v>4713</v>
      </c>
      <c r="C1780" s="8" t="s">
        <v>4714</v>
      </c>
      <c r="D1780" s="8" t="s">
        <v>4707</v>
      </c>
      <c r="E1780" s="8" t="s">
        <v>311</v>
      </c>
      <c r="F1780" s="8" t="s">
        <v>4715</v>
      </c>
    </row>
    <row r="1781" customHeight="1" spans="1:6">
      <c r="A1781" s="6">
        <v>1780</v>
      </c>
      <c r="B1781" s="8" t="s">
        <v>4713</v>
      </c>
      <c r="C1781" s="8" t="s">
        <v>4714</v>
      </c>
      <c r="D1781" s="8" t="s">
        <v>4707</v>
      </c>
      <c r="E1781" s="8" t="s">
        <v>311</v>
      </c>
      <c r="F1781" s="8" t="s">
        <v>4715</v>
      </c>
    </row>
    <row r="1782" customHeight="1" spans="1:6">
      <c r="A1782" s="6">
        <v>1781</v>
      </c>
      <c r="B1782" s="8" t="s">
        <v>4716</v>
      </c>
      <c r="C1782" s="8" t="s">
        <v>4717</v>
      </c>
      <c r="D1782" s="8" t="s">
        <v>4718</v>
      </c>
      <c r="E1782" s="8" t="s">
        <v>360</v>
      </c>
      <c r="F1782" s="8" t="s">
        <v>4719</v>
      </c>
    </row>
    <row r="1783" customHeight="1" spans="1:6">
      <c r="A1783" s="6">
        <v>1782</v>
      </c>
      <c r="B1783" s="8" t="s">
        <v>4716</v>
      </c>
      <c r="C1783" s="8" t="s">
        <v>4717</v>
      </c>
      <c r="D1783" s="8" t="s">
        <v>4718</v>
      </c>
      <c r="E1783" s="8" t="s">
        <v>360</v>
      </c>
      <c r="F1783" s="8" t="s">
        <v>4719</v>
      </c>
    </row>
    <row r="1784" customHeight="1" spans="1:6">
      <c r="A1784" s="6">
        <v>1783</v>
      </c>
      <c r="B1784" s="7" t="str">
        <f>"978-7-5087-6610-2"</f>
        <v>978-7-5087-6610-2</v>
      </c>
      <c r="C1784" s="7" t="str">
        <f>"农村养老与女性发展"</f>
        <v>农村养老与女性发展</v>
      </c>
      <c r="D1784" s="7" t="str">
        <f>"沙勇主编"</f>
        <v>沙勇主编</v>
      </c>
      <c r="E1784" s="7" t="str">
        <f>"中国社会出版社"</f>
        <v>中国社会出版社</v>
      </c>
      <c r="F1784" s="7" t="str">
        <f>"F323.89/23"</f>
        <v>F323.89/23</v>
      </c>
    </row>
    <row r="1785" customHeight="1" spans="1:6">
      <c r="A1785" s="6">
        <v>1784</v>
      </c>
      <c r="B1785" s="7" t="str">
        <f>"978-7-5087-6610-2"</f>
        <v>978-7-5087-6610-2</v>
      </c>
      <c r="C1785" s="7" t="str">
        <f>"农村养老与女性发展"</f>
        <v>农村养老与女性发展</v>
      </c>
      <c r="D1785" s="7" t="str">
        <f>"沙勇主编"</f>
        <v>沙勇主编</v>
      </c>
      <c r="E1785" s="7" t="str">
        <f>"中国社会出版社"</f>
        <v>中国社会出版社</v>
      </c>
      <c r="F1785" s="7" t="str">
        <f>"F323.89/23"</f>
        <v>F323.89/23</v>
      </c>
    </row>
    <row r="1786" customHeight="1" spans="1:6">
      <c r="A1786" s="6">
        <v>1785</v>
      </c>
      <c r="B1786" s="8" t="s">
        <v>4720</v>
      </c>
      <c r="C1786" s="8" t="s">
        <v>4721</v>
      </c>
      <c r="D1786" s="8" t="s">
        <v>4722</v>
      </c>
      <c r="E1786" s="8" t="s">
        <v>4723</v>
      </c>
      <c r="F1786" s="8" t="s">
        <v>4724</v>
      </c>
    </row>
    <row r="1787" customHeight="1" spans="1:6">
      <c r="A1787" s="6">
        <v>1786</v>
      </c>
      <c r="B1787" s="8" t="s">
        <v>4720</v>
      </c>
      <c r="C1787" s="8" t="s">
        <v>4721</v>
      </c>
      <c r="D1787" s="8" t="s">
        <v>4722</v>
      </c>
      <c r="E1787" s="8" t="s">
        <v>4723</v>
      </c>
      <c r="F1787" s="8" t="s">
        <v>4724</v>
      </c>
    </row>
    <row r="1788" customHeight="1" spans="1:6">
      <c r="A1788" s="6">
        <v>1787</v>
      </c>
      <c r="B1788" s="8" t="s">
        <v>4725</v>
      </c>
      <c r="C1788" s="8" t="s">
        <v>4726</v>
      </c>
      <c r="D1788" s="8" t="s">
        <v>4727</v>
      </c>
      <c r="E1788" s="8" t="s">
        <v>216</v>
      </c>
      <c r="F1788" s="8" t="s">
        <v>4728</v>
      </c>
    </row>
    <row r="1789" customHeight="1" spans="1:6">
      <c r="A1789" s="6">
        <v>1788</v>
      </c>
      <c r="B1789" s="8" t="s">
        <v>4725</v>
      </c>
      <c r="C1789" s="8" t="s">
        <v>4726</v>
      </c>
      <c r="D1789" s="8" t="s">
        <v>4727</v>
      </c>
      <c r="E1789" s="8" t="s">
        <v>216</v>
      </c>
      <c r="F1789" s="8" t="s">
        <v>4728</v>
      </c>
    </row>
    <row r="1790" customHeight="1" spans="1:6">
      <c r="A1790" s="6">
        <v>1789</v>
      </c>
      <c r="B1790" s="8" t="s">
        <v>4729</v>
      </c>
      <c r="C1790" s="8" t="s">
        <v>4730</v>
      </c>
      <c r="D1790" s="8" t="s">
        <v>4731</v>
      </c>
      <c r="E1790" s="8" t="s">
        <v>3996</v>
      </c>
      <c r="F1790" s="8" t="s">
        <v>4732</v>
      </c>
    </row>
    <row r="1791" customHeight="1" spans="1:6">
      <c r="A1791" s="6">
        <v>1790</v>
      </c>
      <c r="B1791" s="8" t="s">
        <v>4729</v>
      </c>
      <c r="C1791" s="8" t="s">
        <v>4730</v>
      </c>
      <c r="D1791" s="8" t="s">
        <v>4731</v>
      </c>
      <c r="E1791" s="8" t="s">
        <v>3996</v>
      </c>
      <c r="F1791" s="8" t="s">
        <v>4732</v>
      </c>
    </row>
    <row r="1792" customHeight="1" spans="1:6">
      <c r="A1792" s="6">
        <v>1791</v>
      </c>
      <c r="B1792" s="8" t="s">
        <v>4733</v>
      </c>
      <c r="C1792" s="8" t="s">
        <v>4734</v>
      </c>
      <c r="D1792" s="8" t="s">
        <v>4735</v>
      </c>
      <c r="E1792" s="8" t="s">
        <v>2790</v>
      </c>
      <c r="F1792" s="8" t="s">
        <v>4736</v>
      </c>
    </row>
    <row r="1793" customHeight="1" spans="1:6">
      <c r="A1793" s="6">
        <v>1792</v>
      </c>
      <c r="B1793" s="8" t="s">
        <v>4733</v>
      </c>
      <c r="C1793" s="8" t="s">
        <v>4734</v>
      </c>
      <c r="D1793" s="8" t="s">
        <v>4735</v>
      </c>
      <c r="E1793" s="8" t="s">
        <v>2790</v>
      </c>
      <c r="F1793" s="8" t="s">
        <v>4736</v>
      </c>
    </row>
    <row r="1794" customHeight="1" spans="1:6">
      <c r="A1794" s="6">
        <v>1793</v>
      </c>
      <c r="B1794" s="7" t="str">
        <f t="shared" ref="B1794:B1796" si="121">"978-7-214-15373-9"</f>
        <v>978-7-214-15373-9</v>
      </c>
      <c r="C1794" s="7" t="str">
        <f t="shared" ref="C1794:C1796" si="122">"近代中国的渔业战争和环境变化"</f>
        <v>近代中国的渔业战争和环境变化</v>
      </c>
      <c r="D1794" s="7" t="str">
        <f t="shared" ref="D1794:D1796" si="123">"(美) 穆盛博著；胡文亮译"</f>
        <v>(美) 穆盛博著；胡文亮译</v>
      </c>
      <c r="E1794" s="7" t="str">
        <f t="shared" ref="E1794:E1796" si="124">"江苏人民出版社"</f>
        <v>江苏人民出版社</v>
      </c>
      <c r="F1794" s="7" t="str">
        <f t="shared" ref="F1794:F1796" si="125">"F326.49/2"</f>
        <v>F326.49/2</v>
      </c>
    </row>
    <row r="1795" customHeight="1" spans="1:6">
      <c r="A1795" s="6">
        <v>1794</v>
      </c>
      <c r="B1795" s="7" t="str">
        <f t="shared" si="121"/>
        <v>978-7-214-15373-9</v>
      </c>
      <c r="C1795" s="7" t="str">
        <f t="shared" si="122"/>
        <v>近代中国的渔业战争和环境变化</v>
      </c>
      <c r="D1795" s="7" t="str">
        <f t="shared" si="123"/>
        <v>(美) 穆盛博著；胡文亮译</v>
      </c>
      <c r="E1795" s="7" t="str">
        <f t="shared" si="124"/>
        <v>江苏人民出版社</v>
      </c>
      <c r="F1795" s="7" t="str">
        <f t="shared" si="125"/>
        <v>F326.49/2</v>
      </c>
    </row>
    <row r="1796" customHeight="1" spans="1:6">
      <c r="A1796" s="6">
        <v>1795</v>
      </c>
      <c r="B1796" s="7" t="str">
        <f t="shared" si="121"/>
        <v>978-7-214-15373-9</v>
      </c>
      <c r="C1796" s="7" t="str">
        <f t="shared" si="122"/>
        <v>近代中国的渔业战争和环境变化</v>
      </c>
      <c r="D1796" s="7" t="str">
        <f t="shared" si="123"/>
        <v>(美) 穆盛博著；胡文亮译</v>
      </c>
      <c r="E1796" s="7" t="str">
        <f t="shared" si="124"/>
        <v>江苏人民出版社</v>
      </c>
      <c r="F1796" s="7" t="str">
        <f t="shared" si="125"/>
        <v>F326.49/2</v>
      </c>
    </row>
    <row r="1797" customHeight="1" spans="1:6">
      <c r="A1797" s="6">
        <v>1796</v>
      </c>
      <c r="B1797" s="8" t="s">
        <v>4737</v>
      </c>
      <c r="C1797" s="8" t="s">
        <v>4738</v>
      </c>
      <c r="D1797" s="8" t="s">
        <v>4739</v>
      </c>
      <c r="E1797" s="8" t="s">
        <v>4740</v>
      </c>
      <c r="F1797" s="8" t="s">
        <v>4741</v>
      </c>
    </row>
    <row r="1798" customHeight="1" spans="1:6">
      <c r="A1798" s="6">
        <v>1797</v>
      </c>
      <c r="B1798" s="8" t="s">
        <v>4737</v>
      </c>
      <c r="C1798" s="8" t="s">
        <v>4738</v>
      </c>
      <c r="D1798" s="8" t="s">
        <v>4739</v>
      </c>
      <c r="E1798" s="8" t="s">
        <v>4740</v>
      </c>
      <c r="F1798" s="8" t="s">
        <v>4741</v>
      </c>
    </row>
    <row r="1799" customHeight="1" spans="1:6">
      <c r="A1799" s="6">
        <v>1798</v>
      </c>
      <c r="B1799" s="8" t="s">
        <v>4737</v>
      </c>
      <c r="C1799" s="8" t="s">
        <v>4738</v>
      </c>
      <c r="D1799" s="8" t="s">
        <v>4739</v>
      </c>
      <c r="E1799" s="8" t="s">
        <v>4740</v>
      </c>
      <c r="F1799" s="8" t="s">
        <v>4741</v>
      </c>
    </row>
    <row r="1800" customHeight="1" spans="1:6">
      <c r="A1800" s="6">
        <v>1799</v>
      </c>
      <c r="B1800" s="8" t="s">
        <v>4742</v>
      </c>
      <c r="C1800" s="8" t="s">
        <v>4743</v>
      </c>
      <c r="D1800" s="8" t="s">
        <v>4744</v>
      </c>
      <c r="E1800" s="8" t="s">
        <v>4745</v>
      </c>
      <c r="F1800" s="8" t="s">
        <v>4746</v>
      </c>
    </row>
    <row r="1801" customHeight="1" spans="1:6">
      <c r="A1801" s="6">
        <v>1800</v>
      </c>
      <c r="B1801" s="8" t="s">
        <v>4742</v>
      </c>
      <c r="C1801" s="8" t="s">
        <v>4743</v>
      </c>
      <c r="D1801" s="8" t="s">
        <v>4744</v>
      </c>
      <c r="E1801" s="8" t="s">
        <v>4745</v>
      </c>
      <c r="F1801" s="8" t="s">
        <v>4746</v>
      </c>
    </row>
    <row r="1802" customHeight="1" spans="1:6">
      <c r="A1802" s="6">
        <v>1801</v>
      </c>
      <c r="B1802" s="8" t="s">
        <v>4747</v>
      </c>
      <c r="C1802" s="8" t="s">
        <v>4748</v>
      </c>
      <c r="D1802" s="8" t="s">
        <v>4749</v>
      </c>
      <c r="E1802" s="8" t="s">
        <v>4745</v>
      </c>
      <c r="F1802" s="8" t="s">
        <v>4750</v>
      </c>
    </row>
    <row r="1803" customHeight="1" spans="1:6">
      <c r="A1803" s="6">
        <v>1802</v>
      </c>
      <c r="B1803" s="8" t="s">
        <v>4747</v>
      </c>
      <c r="C1803" s="8" t="s">
        <v>4748</v>
      </c>
      <c r="D1803" s="8" t="s">
        <v>4749</v>
      </c>
      <c r="E1803" s="8" t="s">
        <v>4745</v>
      </c>
      <c r="F1803" s="8" t="s">
        <v>4750</v>
      </c>
    </row>
    <row r="1804" customHeight="1" spans="1:6">
      <c r="A1804" s="6">
        <v>1803</v>
      </c>
      <c r="B1804" s="8" t="s">
        <v>4751</v>
      </c>
      <c r="C1804" s="8" t="s">
        <v>4752</v>
      </c>
      <c r="D1804" s="8" t="s">
        <v>4753</v>
      </c>
      <c r="E1804" s="8" t="s">
        <v>4754</v>
      </c>
      <c r="F1804" s="8" t="s">
        <v>4755</v>
      </c>
    </row>
    <row r="1805" customHeight="1" spans="1:6">
      <c r="A1805" s="6">
        <v>1804</v>
      </c>
      <c r="B1805" s="8" t="s">
        <v>4751</v>
      </c>
      <c r="C1805" s="8" t="s">
        <v>4752</v>
      </c>
      <c r="D1805" s="8" t="s">
        <v>4753</v>
      </c>
      <c r="E1805" s="8" t="s">
        <v>4754</v>
      </c>
      <c r="F1805" s="8" t="s">
        <v>4755</v>
      </c>
    </row>
    <row r="1806" customHeight="1" spans="1:6">
      <c r="A1806" s="6">
        <v>1805</v>
      </c>
      <c r="B1806" s="8" t="s">
        <v>4756</v>
      </c>
      <c r="C1806" s="8" t="s">
        <v>4757</v>
      </c>
      <c r="D1806" s="8" t="s">
        <v>4758</v>
      </c>
      <c r="E1806" s="8" t="s">
        <v>1967</v>
      </c>
      <c r="F1806" s="8" t="s">
        <v>4759</v>
      </c>
    </row>
    <row r="1807" customHeight="1" spans="1:6">
      <c r="A1807" s="6">
        <v>1806</v>
      </c>
      <c r="B1807" s="8" t="s">
        <v>4756</v>
      </c>
      <c r="C1807" s="8" t="s">
        <v>4757</v>
      </c>
      <c r="D1807" s="8" t="s">
        <v>4758</v>
      </c>
      <c r="E1807" s="8" t="s">
        <v>1967</v>
      </c>
      <c r="F1807" s="8" t="s">
        <v>4759</v>
      </c>
    </row>
    <row r="1808" customHeight="1" spans="1:6">
      <c r="A1808" s="6">
        <v>1807</v>
      </c>
      <c r="B1808" s="7" t="str">
        <f t="shared" ref="B1808:B1810" si="126">"978-7-214-22608-2"</f>
        <v>978-7-214-22608-2</v>
      </c>
      <c r="C1808" s="7" t="str">
        <f t="shared" ref="C1808:C1813" si="127">"汉代农业：早期中国农业经济的形成：the formation of early Chinese agrarian economy"</f>
        <v>汉代农业：早期中国农业经济的形成：the formation of early Chinese agrarian economy</v>
      </c>
      <c r="D1808" s="7" t="str">
        <f t="shared" ref="D1808:D1813" si="128">"(美) 许倬云著；程农， 张鸣译"</f>
        <v>(美) 许倬云著；程农， 张鸣译</v>
      </c>
      <c r="E1808" s="7" t="str">
        <f t="shared" ref="E1808:E1813" si="129">"江苏人民出版社"</f>
        <v>江苏人民出版社</v>
      </c>
      <c r="F1808" s="7" t="str">
        <f t="shared" ref="F1808:F1810" si="130">"F329.034/3"</f>
        <v>F329.034/3</v>
      </c>
    </row>
    <row r="1809" customHeight="1" spans="1:6">
      <c r="A1809" s="6">
        <v>1808</v>
      </c>
      <c r="B1809" s="7" t="str">
        <f t="shared" si="126"/>
        <v>978-7-214-22608-2</v>
      </c>
      <c r="C1809" s="7" t="str">
        <f t="shared" si="127"/>
        <v>汉代农业：早期中国农业经济的形成：the formation of early Chinese agrarian economy</v>
      </c>
      <c r="D1809" s="7" t="str">
        <f t="shared" si="128"/>
        <v>(美) 许倬云著；程农， 张鸣译</v>
      </c>
      <c r="E1809" s="7" t="str">
        <f t="shared" si="129"/>
        <v>江苏人民出版社</v>
      </c>
      <c r="F1809" s="7" t="str">
        <f t="shared" si="130"/>
        <v>F329.034/3</v>
      </c>
    </row>
    <row r="1810" customHeight="1" spans="1:6">
      <c r="A1810" s="6">
        <v>1809</v>
      </c>
      <c r="B1810" s="7" t="str">
        <f t="shared" si="126"/>
        <v>978-7-214-22608-2</v>
      </c>
      <c r="C1810" s="7" t="str">
        <f t="shared" si="127"/>
        <v>汉代农业：早期中国农业经济的形成：the formation of early Chinese agrarian economy</v>
      </c>
      <c r="D1810" s="7" t="str">
        <f t="shared" si="128"/>
        <v>(美) 许倬云著；程农， 张鸣译</v>
      </c>
      <c r="E1810" s="7" t="str">
        <f t="shared" si="129"/>
        <v>江苏人民出版社</v>
      </c>
      <c r="F1810" s="7" t="str">
        <f t="shared" si="130"/>
        <v>F329.034/3</v>
      </c>
    </row>
    <row r="1811" customHeight="1" spans="1:6">
      <c r="A1811" s="6">
        <v>1810</v>
      </c>
      <c r="B1811" s="7" t="str">
        <f t="shared" ref="B1811:B1813" si="131">"978-7-214-07136-1"</f>
        <v>978-7-214-07136-1</v>
      </c>
      <c r="C1811" s="7" t="str">
        <f t="shared" si="127"/>
        <v>汉代农业：早期中国农业经济的形成：the formation of early Chinese agrarian economy</v>
      </c>
      <c r="D1811" s="7" t="str">
        <f t="shared" si="128"/>
        <v>(美) 许倬云著；程农， 张鸣译</v>
      </c>
      <c r="E1811" s="7" t="str">
        <f t="shared" si="129"/>
        <v>江苏人民出版社</v>
      </c>
      <c r="F1811" s="7" t="str">
        <f t="shared" ref="F1811:F1813" si="132">"F329.034/3-2"</f>
        <v>F329.034/3-2</v>
      </c>
    </row>
    <row r="1812" customHeight="1" spans="1:6">
      <c r="A1812" s="6">
        <v>1811</v>
      </c>
      <c r="B1812" s="7" t="str">
        <f t="shared" si="131"/>
        <v>978-7-214-07136-1</v>
      </c>
      <c r="C1812" s="7" t="str">
        <f t="shared" si="127"/>
        <v>汉代农业：早期中国农业经济的形成：the formation of early Chinese agrarian economy</v>
      </c>
      <c r="D1812" s="7" t="str">
        <f t="shared" si="128"/>
        <v>(美) 许倬云著；程农， 张鸣译</v>
      </c>
      <c r="E1812" s="7" t="str">
        <f t="shared" si="129"/>
        <v>江苏人民出版社</v>
      </c>
      <c r="F1812" s="7" t="str">
        <f t="shared" si="132"/>
        <v>F329.034/3-2</v>
      </c>
    </row>
    <row r="1813" customHeight="1" spans="1:6">
      <c r="A1813" s="6">
        <v>1812</v>
      </c>
      <c r="B1813" s="7" t="str">
        <f t="shared" si="131"/>
        <v>978-7-214-07136-1</v>
      </c>
      <c r="C1813" s="7" t="str">
        <f t="shared" si="127"/>
        <v>汉代农业：早期中国农业经济的形成：the formation of early Chinese agrarian economy</v>
      </c>
      <c r="D1813" s="7" t="str">
        <f t="shared" si="128"/>
        <v>(美) 许倬云著；程农， 张鸣译</v>
      </c>
      <c r="E1813" s="7" t="str">
        <f t="shared" si="129"/>
        <v>江苏人民出版社</v>
      </c>
      <c r="F1813" s="7" t="str">
        <f t="shared" si="132"/>
        <v>F329.034/3-2</v>
      </c>
    </row>
    <row r="1814" customHeight="1" spans="1:6">
      <c r="A1814" s="6">
        <v>1813</v>
      </c>
      <c r="B1814" s="8" t="s">
        <v>4760</v>
      </c>
      <c r="C1814" s="8" t="s">
        <v>4761</v>
      </c>
      <c r="D1814" s="8" t="s">
        <v>4762</v>
      </c>
      <c r="E1814" s="8" t="s">
        <v>1189</v>
      </c>
      <c r="F1814" s="8" t="s">
        <v>4763</v>
      </c>
    </row>
    <row r="1815" customHeight="1" spans="1:6">
      <c r="A1815" s="6">
        <v>1814</v>
      </c>
      <c r="B1815" s="8" t="s">
        <v>4760</v>
      </c>
      <c r="C1815" s="8" t="s">
        <v>4761</v>
      </c>
      <c r="D1815" s="8" t="s">
        <v>4762</v>
      </c>
      <c r="E1815" s="8" t="s">
        <v>1189</v>
      </c>
      <c r="F1815" s="8" t="s">
        <v>4763</v>
      </c>
    </row>
    <row r="1816" customHeight="1" spans="1:6">
      <c r="A1816" s="6">
        <v>1815</v>
      </c>
      <c r="B1816" s="8" t="s">
        <v>4760</v>
      </c>
      <c r="C1816" s="8" t="s">
        <v>4761</v>
      </c>
      <c r="D1816" s="8" t="s">
        <v>4762</v>
      </c>
      <c r="E1816" s="8" t="s">
        <v>1189</v>
      </c>
      <c r="F1816" s="8" t="s">
        <v>4763</v>
      </c>
    </row>
    <row r="1817" customHeight="1" spans="1:6">
      <c r="A1817" s="6">
        <v>1816</v>
      </c>
      <c r="B1817" s="8" t="s">
        <v>4764</v>
      </c>
      <c r="C1817" s="8" t="s">
        <v>4765</v>
      </c>
      <c r="D1817" s="8" t="s">
        <v>4766</v>
      </c>
      <c r="E1817" s="8" t="s">
        <v>1967</v>
      </c>
      <c r="F1817" s="8" t="s">
        <v>4767</v>
      </c>
    </row>
    <row r="1818" customHeight="1" spans="1:6">
      <c r="A1818" s="6">
        <v>1817</v>
      </c>
      <c r="B1818" s="8" t="s">
        <v>4764</v>
      </c>
      <c r="C1818" s="8" t="s">
        <v>4765</v>
      </c>
      <c r="D1818" s="8" t="s">
        <v>4766</v>
      </c>
      <c r="E1818" s="8" t="s">
        <v>1967</v>
      </c>
      <c r="F1818" s="8" t="s">
        <v>4767</v>
      </c>
    </row>
    <row r="1819" customHeight="1" spans="1:6">
      <c r="A1819" s="6">
        <v>1818</v>
      </c>
      <c r="B1819" s="8" t="s">
        <v>4768</v>
      </c>
      <c r="C1819" s="8" t="s">
        <v>4769</v>
      </c>
      <c r="D1819" s="8" t="s">
        <v>4770</v>
      </c>
      <c r="E1819" s="8" t="s">
        <v>3146</v>
      </c>
      <c r="F1819" s="8" t="s">
        <v>4771</v>
      </c>
    </row>
    <row r="1820" customHeight="1" spans="1:6">
      <c r="A1820" s="6">
        <v>1819</v>
      </c>
      <c r="B1820" s="8" t="s">
        <v>4768</v>
      </c>
      <c r="C1820" s="8" t="s">
        <v>4769</v>
      </c>
      <c r="D1820" s="8" t="s">
        <v>4770</v>
      </c>
      <c r="E1820" s="8" t="s">
        <v>3146</v>
      </c>
      <c r="F1820" s="8" t="s">
        <v>4771</v>
      </c>
    </row>
    <row r="1821" customHeight="1" spans="1:6">
      <c r="A1821" s="6">
        <v>1820</v>
      </c>
      <c r="B1821" s="8" t="s">
        <v>4772</v>
      </c>
      <c r="C1821" s="8" t="s">
        <v>4773</v>
      </c>
      <c r="D1821" s="8" t="s">
        <v>4774</v>
      </c>
      <c r="E1821" s="8" t="s">
        <v>3146</v>
      </c>
      <c r="F1821" s="8" t="s">
        <v>4775</v>
      </c>
    </row>
    <row r="1822" customHeight="1" spans="1:6">
      <c r="A1822" s="6">
        <v>1821</v>
      </c>
      <c r="B1822" s="8" t="s">
        <v>4772</v>
      </c>
      <c r="C1822" s="8" t="s">
        <v>4773</v>
      </c>
      <c r="D1822" s="8" t="s">
        <v>4774</v>
      </c>
      <c r="E1822" s="8" t="s">
        <v>3146</v>
      </c>
      <c r="F1822" s="8" t="s">
        <v>4775</v>
      </c>
    </row>
    <row r="1823" customHeight="1" spans="1:6">
      <c r="A1823" s="6">
        <v>1822</v>
      </c>
      <c r="B1823" s="8" t="s">
        <v>4776</v>
      </c>
      <c r="C1823" s="8" t="s">
        <v>4777</v>
      </c>
      <c r="D1823" s="8" t="s">
        <v>4778</v>
      </c>
      <c r="E1823" s="8" t="s">
        <v>256</v>
      </c>
      <c r="F1823" s="8" t="s">
        <v>4779</v>
      </c>
    </row>
    <row r="1824" customHeight="1" spans="1:6">
      <c r="A1824" s="6">
        <v>1823</v>
      </c>
      <c r="B1824" s="8" t="s">
        <v>4776</v>
      </c>
      <c r="C1824" s="8" t="s">
        <v>4777</v>
      </c>
      <c r="D1824" s="8" t="s">
        <v>4778</v>
      </c>
      <c r="E1824" s="8" t="s">
        <v>256</v>
      </c>
      <c r="F1824" s="8" t="s">
        <v>4779</v>
      </c>
    </row>
    <row r="1825" customHeight="1" spans="1:6">
      <c r="A1825" s="6">
        <v>1824</v>
      </c>
      <c r="B1825" s="8" t="s">
        <v>4776</v>
      </c>
      <c r="C1825" s="8" t="s">
        <v>4777</v>
      </c>
      <c r="D1825" s="8" t="s">
        <v>4778</v>
      </c>
      <c r="E1825" s="8" t="s">
        <v>256</v>
      </c>
      <c r="F1825" s="8" t="s">
        <v>4779</v>
      </c>
    </row>
    <row r="1826" customHeight="1" spans="1:6">
      <c r="A1826" s="6">
        <v>1825</v>
      </c>
      <c r="B1826" s="8" t="s">
        <v>4780</v>
      </c>
      <c r="C1826" s="8" t="s">
        <v>4781</v>
      </c>
      <c r="D1826" s="8" t="s">
        <v>4782</v>
      </c>
      <c r="E1826" s="8" t="s">
        <v>3146</v>
      </c>
      <c r="F1826" s="8" t="s">
        <v>4783</v>
      </c>
    </row>
    <row r="1827" customHeight="1" spans="1:6">
      <c r="A1827" s="6">
        <v>1826</v>
      </c>
      <c r="B1827" s="8" t="s">
        <v>4780</v>
      </c>
      <c r="C1827" s="8" t="s">
        <v>4781</v>
      </c>
      <c r="D1827" s="8" t="s">
        <v>4782</v>
      </c>
      <c r="E1827" s="8" t="s">
        <v>3146</v>
      </c>
      <c r="F1827" s="8" t="s">
        <v>4783</v>
      </c>
    </row>
    <row r="1828" customHeight="1" spans="1:6">
      <c r="A1828" s="6">
        <v>1827</v>
      </c>
      <c r="B1828" s="8" t="s">
        <v>4784</v>
      </c>
      <c r="C1828" s="8" t="s">
        <v>4785</v>
      </c>
      <c r="D1828" s="8" t="s">
        <v>4786</v>
      </c>
      <c r="E1828" s="8" t="s">
        <v>216</v>
      </c>
      <c r="F1828" s="8" t="s">
        <v>4787</v>
      </c>
    </row>
    <row r="1829" customHeight="1" spans="1:6">
      <c r="A1829" s="6">
        <v>1828</v>
      </c>
      <c r="B1829" s="8" t="s">
        <v>4784</v>
      </c>
      <c r="C1829" s="8" t="s">
        <v>4785</v>
      </c>
      <c r="D1829" s="8" t="s">
        <v>4786</v>
      </c>
      <c r="E1829" s="8" t="s">
        <v>216</v>
      </c>
      <c r="F1829" s="8" t="s">
        <v>4787</v>
      </c>
    </row>
    <row r="1830" customHeight="1" spans="1:6">
      <c r="A1830" s="6">
        <v>1829</v>
      </c>
      <c r="B1830" s="8" t="s">
        <v>4784</v>
      </c>
      <c r="C1830" s="8" t="s">
        <v>4785</v>
      </c>
      <c r="D1830" s="8" t="s">
        <v>4786</v>
      </c>
      <c r="E1830" s="8" t="s">
        <v>216</v>
      </c>
      <c r="F1830" s="8" t="s">
        <v>4787</v>
      </c>
    </row>
    <row r="1831" customHeight="1" spans="1:6">
      <c r="A1831" s="6">
        <v>1830</v>
      </c>
      <c r="B1831" s="8" t="s">
        <v>4788</v>
      </c>
      <c r="C1831" s="8" t="s">
        <v>4789</v>
      </c>
      <c r="D1831" s="8" t="s">
        <v>4790</v>
      </c>
      <c r="E1831" s="8" t="s">
        <v>3146</v>
      </c>
      <c r="F1831" s="8" t="s">
        <v>4791</v>
      </c>
    </row>
    <row r="1832" customHeight="1" spans="1:6">
      <c r="A1832" s="6">
        <v>1831</v>
      </c>
      <c r="B1832" s="8" t="s">
        <v>4788</v>
      </c>
      <c r="C1832" s="8" t="s">
        <v>4789</v>
      </c>
      <c r="D1832" s="8" t="s">
        <v>4790</v>
      </c>
      <c r="E1832" s="8" t="s">
        <v>3146</v>
      </c>
      <c r="F1832" s="8" t="s">
        <v>4791</v>
      </c>
    </row>
    <row r="1833" customHeight="1" spans="1:6">
      <c r="A1833" s="6">
        <v>1832</v>
      </c>
      <c r="B1833" s="7" t="str">
        <f>"978-7-115-57071-0"</f>
        <v>978-7-115-57071-0</v>
      </c>
      <c r="C1833" s="7" t="str">
        <f>"工业人工智能：发展趋势、应用场景与前沿案例"</f>
        <v>工业人工智能：发展趋势、应用场景与前沿案例</v>
      </c>
      <c r="D1833" s="7" t="str">
        <f>"(德) 乌尔里希·森德勒主编Ulrich Sendler；陈咏梅译"</f>
        <v>(德) 乌尔里希·森德勒主编Ulrich Sendler；陈咏梅译</v>
      </c>
      <c r="E1833" s="7" t="str">
        <f>"人民邮电出版社"</f>
        <v>人民邮电出版社</v>
      </c>
      <c r="F1833" s="7" t="str">
        <f>"F407.4-39/2"</f>
        <v>F407.4-39/2</v>
      </c>
    </row>
    <row r="1834" customHeight="1" spans="1:6">
      <c r="A1834" s="6">
        <v>1833</v>
      </c>
      <c r="B1834" s="7" t="str">
        <f>"978-7-115-57071-0"</f>
        <v>978-7-115-57071-0</v>
      </c>
      <c r="C1834" s="7" t="str">
        <f>"工业人工智能：发展趋势、应用场景与前沿案例"</f>
        <v>工业人工智能：发展趋势、应用场景与前沿案例</v>
      </c>
      <c r="D1834" s="7" t="str">
        <f>"(德) 乌尔里希·森德勒主编Ulrich Sendler；陈咏梅译"</f>
        <v>(德) 乌尔里希·森德勒主编Ulrich Sendler；陈咏梅译</v>
      </c>
      <c r="E1834" s="7" t="str">
        <f>"人民邮电出版社"</f>
        <v>人民邮电出版社</v>
      </c>
      <c r="F1834" s="7" t="str">
        <f>"F407.4-39/2"</f>
        <v>F407.4-39/2</v>
      </c>
    </row>
    <row r="1835" customHeight="1" spans="1:6">
      <c r="A1835" s="6">
        <v>1834</v>
      </c>
      <c r="B1835" s="8" t="s">
        <v>4792</v>
      </c>
      <c r="C1835" s="8" t="s">
        <v>4793</v>
      </c>
      <c r="D1835" s="8" t="s">
        <v>4794</v>
      </c>
      <c r="E1835" s="8" t="s">
        <v>311</v>
      </c>
      <c r="F1835" s="8" t="s">
        <v>4795</v>
      </c>
    </row>
    <row r="1836" customHeight="1" spans="1:6">
      <c r="A1836" s="6">
        <v>1835</v>
      </c>
      <c r="B1836" s="8" t="s">
        <v>4792</v>
      </c>
      <c r="C1836" s="8" t="s">
        <v>4793</v>
      </c>
      <c r="D1836" s="8" t="s">
        <v>4794</v>
      </c>
      <c r="E1836" s="8" t="s">
        <v>311</v>
      </c>
      <c r="F1836" s="8" t="s">
        <v>4795</v>
      </c>
    </row>
    <row r="1837" customHeight="1" spans="1:6">
      <c r="A1837" s="6">
        <v>1836</v>
      </c>
      <c r="B1837" s="8" t="s">
        <v>4792</v>
      </c>
      <c r="C1837" s="8" t="s">
        <v>4793</v>
      </c>
      <c r="D1837" s="8" t="s">
        <v>4794</v>
      </c>
      <c r="E1837" s="8" t="s">
        <v>311</v>
      </c>
      <c r="F1837" s="8" t="s">
        <v>4795</v>
      </c>
    </row>
    <row r="1838" customHeight="1" spans="1:6">
      <c r="A1838" s="6">
        <v>1837</v>
      </c>
      <c r="B1838" s="7" t="str">
        <f>"978-7-113-27481-8"</f>
        <v>978-7-113-27481-8</v>
      </c>
      <c r="C1838" s="7" t="str">
        <f>"建筑施工企业会计岗位实操大全：流程+成本+做账+税法"</f>
        <v>建筑施工企业会计岗位实操大全：流程+成本+做账+税法</v>
      </c>
      <c r="D1838" s="7" t="str">
        <f>"会计真账实操训练营编著"</f>
        <v>会计真账实操训练营编著</v>
      </c>
      <c r="E1838" s="7" t="str">
        <f>"中国铁道出版社有限公司"</f>
        <v>中国铁道出版社有限公司</v>
      </c>
      <c r="F1838" s="7" t="str">
        <f>"F407.906.72/2"</f>
        <v>F407.906.72/2</v>
      </c>
    </row>
    <row r="1839" customHeight="1" spans="1:6">
      <c r="A1839" s="6">
        <v>1838</v>
      </c>
      <c r="B1839" s="7" t="str">
        <f>"978-7-113-27481-8"</f>
        <v>978-7-113-27481-8</v>
      </c>
      <c r="C1839" s="7" t="str">
        <f>"建筑施工企业会计岗位实操大全：流程+成本+做账+税法"</f>
        <v>建筑施工企业会计岗位实操大全：流程+成本+做账+税法</v>
      </c>
      <c r="D1839" s="7" t="str">
        <f>"会计真账实操训练营编著"</f>
        <v>会计真账实操训练营编著</v>
      </c>
      <c r="E1839" s="7" t="str">
        <f>"中国铁道出版社有限公司"</f>
        <v>中国铁道出版社有限公司</v>
      </c>
      <c r="F1839" s="7" t="str">
        <f>"F407.906.72/2"</f>
        <v>F407.906.72/2</v>
      </c>
    </row>
    <row r="1840" customHeight="1" spans="1:6">
      <c r="A1840" s="6">
        <v>1839</v>
      </c>
      <c r="B1840" s="8" t="s">
        <v>4796</v>
      </c>
      <c r="C1840" s="8" t="s">
        <v>4797</v>
      </c>
      <c r="D1840" s="8" t="s">
        <v>4798</v>
      </c>
      <c r="E1840" s="8" t="s">
        <v>530</v>
      </c>
      <c r="F1840" s="8" t="s">
        <v>4799</v>
      </c>
    </row>
    <row r="1841" customHeight="1" spans="1:6">
      <c r="A1841" s="6">
        <v>1840</v>
      </c>
      <c r="B1841" s="8" t="s">
        <v>4796</v>
      </c>
      <c r="C1841" s="8" t="s">
        <v>4797</v>
      </c>
      <c r="D1841" s="8" t="s">
        <v>4798</v>
      </c>
      <c r="E1841" s="8" t="s">
        <v>530</v>
      </c>
      <c r="F1841" s="8" t="s">
        <v>4799</v>
      </c>
    </row>
    <row r="1842" customHeight="1" spans="1:6">
      <c r="A1842" s="6">
        <v>1841</v>
      </c>
      <c r="B1842" s="8" t="s">
        <v>4800</v>
      </c>
      <c r="C1842" s="8" t="s">
        <v>4801</v>
      </c>
      <c r="D1842" s="8" t="s">
        <v>4802</v>
      </c>
      <c r="E1842" s="8" t="s">
        <v>530</v>
      </c>
      <c r="F1842" s="8" t="s">
        <v>4803</v>
      </c>
    </row>
    <row r="1843" customHeight="1" spans="1:6">
      <c r="A1843" s="6">
        <v>1842</v>
      </c>
      <c r="B1843" s="8" t="s">
        <v>4800</v>
      </c>
      <c r="C1843" s="8" t="s">
        <v>4801</v>
      </c>
      <c r="D1843" s="8" t="s">
        <v>4802</v>
      </c>
      <c r="E1843" s="8" t="s">
        <v>530</v>
      </c>
      <c r="F1843" s="8" t="s">
        <v>4803</v>
      </c>
    </row>
    <row r="1844" customHeight="1" spans="1:6">
      <c r="A1844" s="6">
        <v>1843</v>
      </c>
      <c r="B1844" s="8" t="s">
        <v>4804</v>
      </c>
      <c r="C1844" s="8" t="s">
        <v>4805</v>
      </c>
      <c r="D1844" s="8" t="s">
        <v>4806</v>
      </c>
      <c r="E1844" s="8" t="s">
        <v>48</v>
      </c>
      <c r="F1844" s="8" t="s">
        <v>4807</v>
      </c>
    </row>
    <row r="1845" customHeight="1" spans="1:6">
      <c r="A1845" s="6">
        <v>1844</v>
      </c>
      <c r="B1845" s="8" t="s">
        <v>4804</v>
      </c>
      <c r="C1845" s="8" t="s">
        <v>4805</v>
      </c>
      <c r="D1845" s="8" t="s">
        <v>4806</v>
      </c>
      <c r="E1845" s="8" t="s">
        <v>48</v>
      </c>
      <c r="F1845" s="8" t="s">
        <v>4807</v>
      </c>
    </row>
    <row r="1846" customHeight="1" spans="1:6">
      <c r="A1846" s="6">
        <v>1845</v>
      </c>
      <c r="B1846" s="7" t="str">
        <f>"978-7-5096-7688-2"</f>
        <v>978-7-5096-7688-2</v>
      </c>
      <c r="C1846" s="7" t="str">
        <f>"全球能源挑战：环境、发展和安全"</f>
        <v>全球能源挑战：环境、发展和安全</v>
      </c>
      <c r="D1846" s="7" t="str">
        <f>"(英) 卡罗琳·库泽姆科， 迈克尔·基廷， (匈) 安德烈亚斯·戈尔德索著；史丹， 林博译"</f>
        <v>(英) 卡罗琳·库泽姆科， 迈克尔·基廷， (匈) 安德烈亚斯·戈尔德索著；史丹， 林博译</v>
      </c>
      <c r="E1846" s="7" t="str">
        <f>"经济管理出版社"</f>
        <v>经济管理出版社</v>
      </c>
      <c r="F1846" s="7" t="str">
        <f>"F416.2/25"</f>
        <v>F416.2/25</v>
      </c>
    </row>
    <row r="1847" customHeight="1" spans="1:6">
      <c r="A1847" s="6">
        <v>1846</v>
      </c>
      <c r="B1847" s="7" t="str">
        <f>"978-7-5096-7688-2"</f>
        <v>978-7-5096-7688-2</v>
      </c>
      <c r="C1847" s="7" t="str">
        <f>"全球能源挑战：环境、发展和安全"</f>
        <v>全球能源挑战：环境、发展和安全</v>
      </c>
      <c r="D1847" s="7" t="str">
        <f>"(英) 卡罗琳·库泽姆科， 迈克尔·基廷， (匈) 安德烈亚斯·戈尔德索著；史丹， 林博译"</f>
        <v>(英) 卡罗琳·库泽姆科， 迈克尔·基廷， (匈) 安德烈亚斯·戈尔德索著；史丹， 林博译</v>
      </c>
      <c r="E1847" s="7" t="str">
        <f>"经济管理出版社"</f>
        <v>经济管理出版社</v>
      </c>
      <c r="F1847" s="7" t="str">
        <f>"F416.2/25"</f>
        <v>F416.2/25</v>
      </c>
    </row>
    <row r="1848" customHeight="1" spans="1:6">
      <c r="A1848" s="6">
        <v>1847</v>
      </c>
      <c r="B1848" s="8" t="s">
        <v>4808</v>
      </c>
      <c r="C1848" s="8" t="s">
        <v>4809</v>
      </c>
      <c r="D1848" s="8" t="s">
        <v>4810</v>
      </c>
      <c r="E1848" s="8" t="s">
        <v>1329</v>
      </c>
      <c r="F1848" s="8" t="s">
        <v>4811</v>
      </c>
    </row>
    <row r="1849" customHeight="1" spans="1:6">
      <c r="A1849" s="6">
        <v>1848</v>
      </c>
      <c r="B1849" s="8" t="s">
        <v>4808</v>
      </c>
      <c r="C1849" s="8" t="s">
        <v>4809</v>
      </c>
      <c r="D1849" s="8" t="s">
        <v>4810</v>
      </c>
      <c r="E1849" s="8" t="s">
        <v>1329</v>
      </c>
      <c r="F1849" s="8" t="s">
        <v>4811</v>
      </c>
    </row>
    <row r="1850" customHeight="1" spans="1:6">
      <c r="A1850" s="6">
        <v>1849</v>
      </c>
      <c r="B1850" s="8" t="s">
        <v>4812</v>
      </c>
      <c r="C1850" s="8" t="s">
        <v>4813</v>
      </c>
      <c r="D1850" s="8" t="s">
        <v>4814</v>
      </c>
      <c r="E1850" s="8" t="s">
        <v>4815</v>
      </c>
      <c r="F1850" s="8" t="s">
        <v>4816</v>
      </c>
    </row>
    <row r="1851" customHeight="1" spans="1:6">
      <c r="A1851" s="6">
        <v>1850</v>
      </c>
      <c r="B1851" s="8" t="s">
        <v>4812</v>
      </c>
      <c r="C1851" s="8" t="s">
        <v>4813</v>
      </c>
      <c r="D1851" s="8" t="s">
        <v>4814</v>
      </c>
      <c r="E1851" s="8" t="s">
        <v>4815</v>
      </c>
      <c r="F1851" s="8" t="s">
        <v>4816</v>
      </c>
    </row>
    <row r="1852" customHeight="1" spans="1:6">
      <c r="A1852" s="6">
        <v>1851</v>
      </c>
      <c r="B1852" s="7" t="str">
        <f>"978-7-03-068915-3"</f>
        <v>978-7-03-068915-3</v>
      </c>
      <c r="C1852" s="7" t="str">
        <f>"世界游艇发展"</f>
        <v>世界游艇发展</v>
      </c>
      <c r="D1852" s="7" t="str">
        <f>"张阳， 周海炜， 史虹编著"</f>
        <v>张阳， 周海炜， 史虹编著</v>
      </c>
      <c r="E1852" s="7" t="str">
        <f>"科学出版社"</f>
        <v>科学出版社</v>
      </c>
      <c r="F1852" s="7" t="str">
        <f>"F416.4/8"</f>
        <v>F416.4/8</v>
      </c>
    </row>
    <row r="1853" customHeight="1" spans="1:6">
      <c r="A1853" s="6">
        <v>1852</v>
      </c>
      <c r="B1853" s="7" t="str">
        <f>"978-7-03-068915-3"</f>
        <v>978-7-03-068915-3</v>
      </c>
      <c r="C1853" s="7" t="str">
        <f>"世界游艇发展"</f>
        <v>世界游艇发展</v>
      </c>
      <c r="D1853" s="7" t="str">
        <f>"张阳， 周海炜， 史虹编著"</f>
        <v>张阳， 周海炜， 史虹编著</v>
      </c>
      <c r="E1853" s="7" t="str">
        <f>"科学出版社"</f>
        <v>科学出版社</v>
      </c>
      <c r="F1853" s="7" t="str">
        <f>"F416.4/8"</f>
        <v>F416.4/8</v>
      </c>
    </row>
    <row r="1854" customHeight="1" spans="1:6">
      <c r="A1854" s="6">
        <v>1853</v>
      </c>
      <c r="B1854" s="8" t="s">
        <v>4817</v>
      </c>
      <c r="C1854" s="8" t="s">
        <v>4818</v>
      </c>
      <c r="D1854" s="8" t="s">
        <v>4819</v>
      </c>
      <c r="E1854" s="8" t="s">
        <v>4820</v>
      </c>
      <c r="F1854" s="8" t="s">
        <v>4821</v>
      </c>
    </row>
    <row r="1855" customHeight="1" spans="1:6">
      <c r="A1855" s="6">
        <v>1854</v>
      </c>
      <c r="B1855" s="8" t="s">
        <v>4817</v>
      </c>
      <c r="C1855" s="8" t="s">
        <v>4818</v>
      </c>
      <c r="D1855" s="8" t="s">
        <v>4819</v>
      </c>
      <c r="E1855" s="8" t="s">
        <v>4820</v>
      </c>
      <c r="F1855" s="8" t="s">
        <v>4821</v>
      </c>
    </row>
    <row r="1856" customHeight="1" spans="1:6">
      <c r="A1856" s="6">
        <v>1855</v>
      </c>
      <c r="B1856" s="8" t="s">
        <v>4822</v>
      </c>
      <c r="C1856" s="8" t="s">
        <v>4823</v>
      </c>
      <c r="D1856" s="8" t="s">
        <v>4824</v>
      </c>
      <c r="E1856" s="8" t="s">
        <v>415</v>
      </c>
      <c r="F1856" s="8" t="s">
        <v>4825</v>
      </c>
    </row>
    <row r="1857" customHeight="1" spans="1:6">
      <c r="A1857" s="6">
        <v>1856</v>
      </c>
      <c r="B1857" s="8" t="s">
        <v>4822</v>
      </c>
      <c r="C1857" s="8" t="s">
        <v>4823</v>
      </c>
      <c r="D1857" s="8" t="s">
        <v>4824</v>
      </c>
      <c r="E1857" s="8" t="s">
        <v>415</v>
      </c>
      <c r="F1857" s="8" t="s">
        <v>4825</v>
      </c>
    </row>
    <row r="1858" customHeight="1" spans="1:6">
      <c r="A1858" s="6">
        <v>1857</v>
      </c>
      <c r="B1858" s="8" t="s">
        <v>2054</v>
      </c>
      <c r="C1858" s="8" t="s">
        <v>4826</v>
      </c>
      <c r="D1858" s="8" t="s">
        <v>4827</v>
      </c>
      <c r="E1858" s="8" t="s">
        <v>2057</v>
      </c>
      <c r="F1858" s="8" t="s">
        <v>4828</v>
      </c>
    </row>
    <row r="1859" customHeight="1" spans="1:6">
      <c r="A1859" s="6">
        <v>1858</v>
      </c>
      <c r="B1859" s="8" t="s">
        <v>4829</v>
      </c>
      <c r="C1859" s="8" t="s">
        <v>4830</v>
      </c>
      <c r="D1859" s="8" t="s">
        <v>4831</v>
      </c>
      <c r="E1859" s="8" t="s">
        <v>4832</v>
      </c>
      <c r="F1859" s="8" t="s">
        <v>4833</v>
      </c>
    </row>
    <row r="1860" customHeight="1" spans="1:6">
      <c r="A1860" s="6">
        <v>1859</v>
      </c>
      <c r="B1860" s="8" t="s">
        <v>4829</v>
      </c>
      <c r="C1860" s="8" t="s">
        <v>4830</v>
      </c>
      <c r="D1860" s="8" t="s">
        <v>4831</v>
      </c>
      <c r="E1860" s="8" t="s">
        <v>4832</v>
      </c>
      <c r="F1860" s="8" t="s">
        <v>4833</v>
      </c>
    </row>
    <row r="1861" customHeight="1" spans="1:6">
      <c r="A1861" s="6">
        <v>1860</v>
      </c>
      <c r="B1861" s="8" t="s">
        <v>4834</v>
      </c>
      <c r="C1861" s="8" t="s">
        <v>4835</v>
      </c>
      <c r="D1861" s="8" t="s">
        <v>4836</v>
      </c>
      <c r="E1861" s="8" t="s">
        <v>311</v>
      </c>
      <c r="F1861" s="8" t="s">
        <v>4837</v>
      </c>
    </row>
    <row r="1862" customHeight="1" spans="1:6">
      <c r="A1862" s="6">
        <v>1861</v>
      </c>
      <c r="B1862" s="8" t="s">
        <v>4834</v>
      </c>
      <c r="C1862" s="8" t="s">
        <v>4835</v>
      </c>
      <c r="D1862" s="8" t="s">
        <v>4836</v>
      </c>
      <c r="E1862" s="8" t="s">
        <v>311</v>
      </c>
      <c r="F1862" s="8" t="s">
        <v>4837</v>
      </c>
    </row>
    <row r="1863" customHeight="1" spans="1:6">
      <c r="A1863" s="6">
        <v>1862</v>
      </c>
      <c r="B1863" s="8" t="s">
        <v>4838</v>
      </c>
      <c r="C1863" s="8" t="s">
        <v>4839</v>
      </c>
      <c r="D1863" s="8" t="s">
        <v>4836</v>
      </c>
      <c r="E1863" s="8" t="s">
        <v>311</v>
      </c>
      <c r="F1863" s="8" t="s">
        <v>4840</v>
      </c>
    </row>
    <row r="1864" customHeight="1" spans="1:6">
      <c r="A1864" s="6">
        <v>1863</v>
      </c>
      <c r="B1864" s="8" t="s">
        <v>4838</v>
      </c>
      <c r="C1864" s="8" t="s">
        <v>4839</v>
      </c>
      <c r="D1864" s="8" t="s">
        <v>4836</v>
      </c>
      <c r="E1864" s="8" t="s">
        <v>311</v>
      </c>
      <c r="F1864" s="8" t="s">
        <v>4840</v>
      </c>
    </row>
    <row r="1865" customHeight="1" spans="1:6">
      <c r="A1865" s="6">
        <v>1864</v>
      </c>
      <c r="B1865" s="8" t="s">
        <v>4841</v>
      </c>
      <c r="C1865" s="8" t="s">
        <v>4842</v>
      </c>
      <c r="D1865" s="8" t="s">
        <v>4843</v>
      </c>
      <c r="E1865" s="8" t="s">
        <v>216</v>
      </c>
      <c r="F1865" s="8" t="s">
        <v>4844</v>
      </c>
    </row>
    <row r="1866" customHeight="1" spans="1:6">
      <c r="A1866" s="6">
        <v>1865</v>
      </c>
      <c r="B1866" s="8" t="s">
        <v>4841</v>
      </c>
      <c r="C1866" s="8" t="s">
        <v>4842</v>
      </c>
      <c r="D1866" s="8" t="s">
        <v>4843</v>
      </c>
      <c r="E1866" s="8" t="s">
        <v>216</v>
      </c>
      <c r="F1866" s="8" t="s">
        <v>4844</v>
      </c>
    </row>
    <row r="1867" customHeight="1" spans="1:6">
      <c r="A1867" s="6">
        <v>1866</v>
      </c>
      <c r="B1867" s="8" t="s">
        <v>4841</v>
      </c>
      <c r="C1867" s="8" t="s">
        <v>4842</v>
      </c>
      <c r="D1867" s="8" t="s">
        <v>4843</v>
      </c>
      <c r="E1867" s="8" t="s">
        <v>216</v>
      </c>
      <c r="F1867" s="8" t="s">
        <v>4844</v>
      </c>
    </row>
    <row r="1868" customHeight="1" spans="1:6">
      <c r="A1868" s="6">
        <v>1867</v>
      </c>
      <c r="B1868" s="8" t="s">
        <v>4845</v>
      </c>
      <c r="C1868" s="8" t="s">
        <v>4846</v>
      </c>
      <c r="D1868" s="8" t="s">
        <v>4847</v>
      </c>
      <c r="E1868" s="8" t="s">
        <v>311</v>
      </c>
      <c r="F1868" s="8" t="s">
        <v>4848</v>
      </c>
    </row>
    <row r="1869" customHeight="1" spans="1:6">
      <c r="A1869" s="6">
        <v>1868</v>
      </c>
      <c r="B1869" s="8" t="s">
        <v>4845</v>
      </c>
      <c r="C1869" s="8" t="s">
        <v>4846</v>
      </c>
      <c r="D1869" s="8" t="s">
        <v>4847</v>
      </c>
      <c r="E1869" s="8" t="s">
        <v>311</v>
      </c>
      <c r="F1869" s="8" t="s">
        <v>4848</v>
      </c>
    </row>
    <row r="1870" customHeight="1" spans="1:6">
      <c r="A1870" s="6">
        <v>1869</v>
      </c>
      <c r="B1870" s="8" t="s">
        <v>4849</v>
      </c>
      <c r="C1870" s="8" t="s">
        <v>4850</v>
      </c>
      <c r="D1870" s="8" t="s">
        <v>4851</v>
      </c>
      <c r="E1870" s="8" t="s">
        <v>544</v>
      </c>
      <c r="F1870" s="8" t="s">
        <v>4852</v>
      </c>
    </row>
    <row r="1871" customHeight="1" spans="1:6">
      <c r="A1871" s="6">
        <v>1870</v>
      </c>
      <c r="B1871" s="8" t="s">
        <v>4849</v>
      </c>
      <c r="C1871" s="8" t="s">
        <v>4850</v>
      </c>
      <c r="D1871" s="8" t="s">
        <v>4851</v>
      </c>
      <c r="E1871" s="8" t="s">
        <v>544</v>
      </c>
      <c r="F1871" s="8" t="s">
        <v>4852</v>
      </c>
    </row>
    <row r="1872" customHeight="1" spans="1:6">
      <c r="A1872" s="6">
        <v>1871</v>
      </c>
      <c r="B1872" s="8" t="s">
        <v>4853</v>
      </c>
      <c r="C1872" s="8" t="s">
        <v>4854</v>
      </c>
      <c r="D1872" s="13"/>
      <c r="E1872" s="8" t="s">
        <v>4855</v>
      </c>
      <c r="F1872" s="8" t="s">
        <v>4856</v>
      </c>
    </row>
    <row r="1873" customHeight="1" spans="1:6">
      <c r="A1873" s="6">
        <v>1872</v>
      </c>
      <c r="B1873" s="8" t="s">
        <v>4853</v>
      </c>
      <c r="C1873" s="8" t="s">
        <v>4854</v>
      </c>
      <c r="D1873" s="13"/>
      <c r="E1873" s="8" t="s">
        <v>4855</v>
      </c>
      <c r="F1873" s="8" t="s">
        <v>4856</v>
      </c>
    </row>
    <row r="1874" customHeight="1" spans="1:6">
      <c r="A1874" s="6">
        <v>1873</v>
      </c>
      <c r="B1874" s="8" t="s">
        <v>4857</v>
      </c>
      <c r="C1874" s="8" t="s">
        <v>4858</v>
      </c>
      <c r="D1874" s="8" t="s">
        <v>4859</v>
      </c>
      <c r="E1874" s="8" t="s">
        <v>288</v>
      </c>
      <c r="F1874" s="8" t="s">
        <v>4860</v>
      </c>
    </row>
    <row r="1875" customHeight="1" spans="1:6">
      <c r="A1875" s="6">
        <v>1874</v>
      </c>
      <c r="B1875" s="8" t="s">
        <v>4857</v>
      </c>
      <c r="C1875" s="8" t="s">
        <v>4858</v>
      </c>
      <c r="D1875" s="8" t="s">
        <v>4859</v>
      </c>
      <c r="E1875" s="8" t="s">
        <v>288</v>
      </c>
      <c r="F1875" s="8" t="s">
        <v>4860</v>
      </c>
    </row>
    <row r="1876" customHeight="1" spans="1:6">
      <c r="A1876" s="6">
        <v>1875</v>
      </c>
      <c r="B1876" s="8" t="s">
        <v>4861</v>
      </c>
      <c r="C1876" s="8" t="s">
        <v>4862</v>
      </c>
      <c r="D1876" s="8" t="s">
        <v>4863</v>
      </c>
      <c r="E1876" s="8" t="s">
        <v>288</v>
      </c>
      <c r="F1876" s="8" t="s">
        <v>4864</v>
      </c>
    </row>
    <row r="1877" customHeight="1" spans="1:6">
      <c r="A1877" s="6">
        <v>1876</v>
      </c>
      <c r="B1877" s="8" t="s">
        <v>4861</v>
      </c>
      <c r="C1877" s="8" t="s">
        <v>4862</v>
      </c>
      <c r="D1877" s="8" t="s">
        <v>4863</v>
      </c>
      <c r="E1877" s="8" t="s">
        <v>288</v>
      </c>
      <c r="F1877" s="8" t="s">
        <v>4864</v>
      </c>
    </row>
    <row r="1878" customHeight="1" spans="1:6">
      <c r="A1878" s="6">
        <v>1877</v>
      </c>
      <c r="B1878" s="8" t="s">
        <v>4865</v>
      </c>
      <c r="C1878" s="8" t="s">
        <v>4866</v>
      </c>
      <c r="D1878" s="8" t="s">
        <v>4867</v>
      </c>
      <c r="E1878" s="8" t="s">
        <v>48</v>
      </c>
      <c r="F1878" s="8" t="s">
        <v>4868</v>
      </c>
    </row>
    <row r="1879" customHeight="1" spans="1:6">
      <c r="A1879" s="6">
        <v>1878</v>
      </c>
      <c r="B1879" s="8" t="s">
        <v>4865</v>
      </c>
      <c r="C1879" s="8" t="s">
        <v>4866</v>
      </c>
      <c r="D1879" s="8" t="s">
        <v>4867</v>
      </c>
      <c r="E1879" s="8" t="s">
        <v>48</v>
      </c>
      <c r="F1879" s="8" t="s">
        <v>4868</v>
      </c>
    </row>
    <row r="1880" customHeight="1" spans="1:6">
      <c r="A1880" s="6">
        <v>1879</v>
      </c>
      <c r="B1880" s="7" t="str">
        <f>"978-7-5096-8063-6"</f>
        <v>978-7-5096-8063-6</v>
      </c>
      <c r="C1880" s="7" t="str">
        <f>"先进制造企业动态核心能力演化研究"</f>
        <v>先进制造企业动态核心能力演化研究</v>
      </c>
      <c r="D1880" s="7" t="str">
        <f>"冷单， 刘志军， 司志强著"</f>
        <v>冷单， 刘志军， 司志强著</v>
      </c>
      <c r="E1880" s="7" t="str">
        <f>"经济管理出版社"</f>
        <v>经济管理出版社</v>
      </c>
      <c r="F1880" s="7" t="str">
        <f>"F426.4/139"</f>
        <v>F426.4/139</v>
      </c>
    </row>
    <row r="1881" customHeight="1" spans="1:6">
      <c r="A1881" s="6">
        <v>1880</v>
      </c>
      <c r="B1881" s="7" t="str">
        <f>"978-7-5096-8063-6"</f>
        <v>978-7-5096-8063-6</v>
      </c>
      <c r="C1881" s="7" t="str">
        <f>"先进制造企业动态核心能力演化研究"</f>
        <v>先进制造企业动态核心能力演化研究</v>
      </c>
      <c r="D1881" s="7" t="str">
        <f>"冷单， 刘志军， 司志强著"</f>
        <v>冷单， 刘志军， 司志强著</v>
      </c>
      <c r="E1881" s="7" t="str">
        <f>"经济管理出版社"</f>
        <v>经济管理出版社</v>
      </c>
      <c r="F1881" s="7" t="str">
        <f>"F426.4/139"</f>
        <v>F426.4/139</v>
      </c>
    </row>
    <row r="1882" customHeight="1" spans="1:6">
      <c r="A1882" s="6">
        <v>1881</v>
      </c>
      <c r="B1882" s="7" t="str">
        <f>"978-7-214-26516-6"</f>
        <v>978-7-214-26516-6</v>
      </c>
      <c r="C1882" s="7" t="str">
        <f>"智能制造背景下传统制造业转型升级的路径与机制研究"</f>
        <v>智能制造背景下传统制造业转型升级的路径与机制研究</v>
      </c>
      <c r="D1882" s="7" t="str">
        <f>"陈抗著"</f>
        <v>陈抗著</v>
      </c>
      <c r="E1882" s="7" t="str">
        <f>"江苏人民出版社"</f>
        <v>江苏人民出版社</v>
      </c>
      <c r="F1882" s="7" t="str">
        <f>"F426.4/140"</f>
        <v>F426.4/140</v>
      </c>
    </row>
    <row r="1883" customHeight="1" spans="1:6">
      <c r="A1883" s="6">
        <v>1882</v>
      </c>
      <c r="B1883" s="7" t="str">
        <f>"978-7-214-26516-6"</f>
        <v>978-7-214-26516-6</v>
      </c>
      <c r="C1883" s="7" t="str">
        <f>"智能制造背景下传统制造业转型升级的路径与机制研究"</f>
        <v>智能制造背景下传统制造业转型升级的路径与机制研究</v>
      </c>
      <c r="D1883" s="7" t="str">
        <f>"陈抗著"</f>
        <v>陈抗著</v>
      </c>
      <c r="E1883" s="7" t="str">
        <f>"江苏人民出版社"</f>
        <v>江苏人民出版社</v>
      </c>
      <c r="F1883" s="7" t="str">
        <f>"F426.4/140"</f>
        <v>F426.4/140</v>
      </c>
    </row>
    <row r="1884" customHeight="1" spans="1:6">
      <c r="A1884" s="6">
        <v>1883</v>
      </c>
      <c r="B1884" s="8" t="s">
        <v>4869</v>
      </c>
      <c r="C1884" s="8" t="s">
        <v>4870</v>
      </c>
      <c r="D1884" s="8" t="s">
        <v>4871</v>
      </c>
      <c r="E1884" s="8" t="s">
        <v>1189</v>
      </c>
      <c r="F1884" s="8" t="s">
        <v>4872</v>
      </c>
    </row>
    <row r="1885" customHeight="1" spans="1:6">
      <c r="A1885" s="6">
        <v>1884</v>
      </c>
      <c r="B1885" s="8" t="s">
        <v>4869</v>
      </c>
      <c r="C1885" s="8" t="s">
        <v>4870</v>
      </c>
      <c r="D1885" s="8" t="s">
        <v>4871</v>
      </c>
      <c r="E1885" s="8" t="s">
        <v>1189</v>
      </c>
      <c r="F1885" s="8" t="s">
        <v>4872</v>
      </c>
    </row>
    <row r="1886" customHeight="1" spans="1:6">
      <c r="A1886" s="6">
        <v>1885</v>
      </c>
      <c r="B1886" s="8" t="s">
        <v>4869</v>
      </c>
      <c r="C1886" s="8" t="s">
        <v>4870</v>
      </c>
      <c r="D1886" s="8" t="s">
        <v>4871</v>
      </c>
      <c r="E1886" s="8" t="s">
        <v>1189</v>
      </c>
      <c r="F1886" s="8" t="s">
        <v>4872</v>
      </c>
    </row>
    <row r="1887" customHeight="1" spans="1:6">
      <c r="A1887" s="6">
        <v>1886</v>
      </c>
      <c r="B1887" s="8" t="s">
        <v>4873</v>
      </c>
      <c r="C1887" s="8" t="s">
        <v>4874</v>
      </c>
      <c r="D1887" s="8" t="s">
        <v>4875</v>
      </c>
      <c r="E1887" s="8" t="s">
        <v>239</v>
      </c>
      <c r="F1887" s="8" t="s">
        <v>4876</v>
      </c>
    </row>
    <row r="1888" customHeight="1" spans="1:6">
      <c r="A1888" s="6">
        <v>1887</v>
      </c>
      <c r="B1888" s="8" t="s">
        <v>4873</v>
      </c>
      <c r="C1888" s="8" t="s">
        <v>4874</v>
      </c>
      <c r="D1888" s="8" t="s">
        <v>4875</v>
      </c>
      <c r="E1888" s="8" t="s">
        <v>239</v>
      </c>
      <c r="F1888" s="8" t="s">
        <v>4876</v>
      </c>
    </row>
    <row r="1889" customHeight="1" spans="1:6">
      <c r="A1889" s="6">
        <v>1888</v>
      </c>
      <c r="B1889" s="8" t="s">
        <v>4877</v>
      </c>
      <c r="C1889" s="8" t="s">
        <v>4878</v>
      </c>
      <c r="D1889" s="8" t="s">
        <v>4879</v>
      </c>
      <c r="E1889" s="8" t="s">
        <v>544</v>
      </c>
      <c r="F1889" s="8" t="s">
        <v>4880</v>
      </c>
    </row>
    <row r="1890" customHeight="1" spans="1:6">
      <c r="A1890" s="6">
        <v>1889</v>
      </c>
      <c r="B1890" s="8" t="s">
        <v>4877</v>
      </c>
      <c r="C1890" s="8" t="s">
        <v>4878</v>
      </c>
      <c r="D1890" s="8" t="s">
        <v>4879</v>
      </c>
      <c r="E1890" s="8" t="s">
        <v>544</v>
      </c>
      <c r="F1890" s="8" t="s">
        <v>4880</v>
      </c>
    </row>
    <row r="1891" customHeight="1" spans="1:6">
      <c r="A1891" s="6">
        <v>1890</v>
      </c>
      <c r="B1891" s="8" t="s">
        <v>4881</v>
      </c>
      <c r="C1891" s="8" t="s">
        <v>4882</v>
      </c>
      <c r="D1891" s="8" t="s">
        <v>4883</v>
      </c>
      <c r="E1891" s="8" t="s">
        <v>288</v>
      </c>
      <c r="F1891" s="8" t="s">
        <v>4884</v>
      </c>
    </row>
    <row r="1892" customHeight="1" spans="1:6">
      <c r="A1892" s="6">
        <v>1891</v>
      </c>
      <c r="B1892" s="8" t="s">
        <v>4881</v>
      </c>
      <c r="C1892" s="8" t="s">
        <v>4882</v>
      </c>
      <c r="D1892" s="8" t="s">
        <v>4883</v>
      </c>
      <c r="E1892" s="8" t="s">
        <v>288</v>
      </c>
      <c r="F1892" s="8" t="s">
        <v>4884</v>
      </c>
    </row>
    <row r="1893" customHeight="1" spans="1:6">
      <c r="A1893" s="6">
        <v>1892</v>
      </c>
      <c r="B1893" s="8" t="s">
        <v>4885</v>
      </c>
      <c r="C1893" s="8" t="s">
        <v>4886</v>
      </c>
      <c r="D1893" s="8" t="s">
        <v>4887</v>
      </c>
      <c r="E1893" s="8" t="s">
        <v>288</v>
      </c>
      <c r="F1893" s="8" t="s">
        <v>4888</v>
      </c>
    </row>
    <row r="1894" customHeight="1" spans="1:6">
      <c r="A1894" s="6">
        <v>1893</v>
      </c>
      <c r="B1894" s="8" t="s">
        <v>4885</v>
      </c>
      <c r="C1894" s="8" t="s">
        <v>4886</v>
      </c>
      <c r="D1894" s="8" t="s">
        <v>4887</v>
      </c>
      <c r="E1894" s="8" t="s">
        <v>288</v>
      </c>
      <c r="F1894" s="8" t="s">
        <v>4888</v>
      </c>
    </row>
    <row r="1895" customHeight="1" spans="1:6">
      <c r="A1895" s="6">
        <v>1894</v>
      </c>
      <c r="B1895" s="8" t="s">
        <v>4889</v>
      </c>
      <c r="C1895" s="8" t="s">
        <v>4890</v>
      </c>
      <c r="D1895" s="8" t="s">
        <v>4891</v>
      </c>
      <c r="E1895" s="8" t="s">
        <v>530</v>
      </c>
      <c r="F1895" s="8" t="s">
        <v>4892</v>
      </c>
    </row>
    <row r="1896" customHeight="1" spans="1:6">
      <c r="A1896" s="6">
        <v>1895</v>
      </c>
      <c r="B1896" s="8" t="s">
        <v>4889</v>
      </c>
      <c r="C1896" s="8" t="s">
        <v>4890</v>
      </c>
      <c r="D1896" s="8" t="s">
        <v>4891</v>
      </c>
      <c r="E1896" s="8" t="s">
        <v>530</v>
      </c>
      <c r="F1896" s="8" t="s">
        <v>4892</v>
      </c>
    </row>
    <row r="1897" customHeight="1" spans="1:6">
      <c r="A1897" s="6">
        <v>1896</v>
      </c>
      <c r="B1897" s="8" t="s">
        <v>4889</v>
      </c>
      <c r="C1897" s="8" t="s">
        <v>4890</v>
      </c>
      <c r="D1897" s="8" t="s">
        <v>4891</v>
      </c>
      <c r="E1897" s="8" t="s">
        <v>530</v>
      </c>
      <c r="F1897" s="8" t="s">
        <v>4892</v>
      </c>
    </row>
    <row r="1898" customHeight="1" spans="1:6">
      <c r="A1898" s="6">
        <v>1897</v>
      </c>
      <c r="B1898" s="8" t="s">
        <v>4893</v>
      </c>
      <c r="C1898" s="8" t="s">
        <v>4894</v>
      </c>
      <c r="D1898" s="8" t="s">
        <v>4895</v>
      </c>
      <c r="E1898" s="8" t="s">
        <v>4896</v>
      </c>
      <c r="F1898" s="8" t="s">
        <v>4897</v>
      </c>
    </row>
    <row r="1899" customHeight="1" spans="1:6">
      <c r="A1899" s="6">
        <v>1898</v>
      </c>
      <c r="B1899" s="8" t="s">
        <v>4893</v>
      </c>
      <c r="C1899" s="8" t="s">
        <v>4894</v>
      </c>
      <c r="D1899" s="8" t="s">
        <v>4895</v>
      </c>
      <c r="E1899" s="8" t="s">
        <v>4896</v>
      </c>
      <c r="F1899" s="8" t="s">
        <v>4897</v>
      </c>
    </row>
    <row r="1900" customHeight="1" spans="1:6">
      <c r="A1900" s="6">
        <v>1899</v>
      </c>
      <c r="B1900" s="8" t="s">
        <v>4893</v>
      </c>
      <c r="C1900" s="8" t="s">
        <v>4894</v>
      </c>
      <c r="D1900" s="8" t="s">
        <v>4895</v>
      </c>
      <c r="E1900" s="8" t="s">
        <v>4896</v>
      </c>
      <c r="F1900" s="8" t="s">
        <v>4897</v>
      </c>
    </row>
    <row r="1901" customHeight="1" spans="1:6">
      <c r="A1901" s="6">
        <v>1900</v>
      </c>
      <c r="B1901" s="8" t="s">
        <v>4898</v>
      </c>
      <c r="C1901" s="8" t="s">
        <v>4899</v>
      </c>
      <c r="D1901" s="8" t="s">
        <v>4900</v>
      </c>
      <c r="E1901" s="8" t="s">
        <v>288</v>
      </c>
      <c r="F1901" s="8" t="s">
        <v>4901</v>
      </c>
    </row>
    <row r="1902" customHeight="1" spans="1:6">
      <c r="A1902" s="6">
        <v>1901</v>
      </c>
      <c r="B1902" s="8" t="s">
        <v>4898</v>
      </c>
      <c r="C1902" s="8" t="s">
        <v>4899</v>
      </c>
      <c r="D1902" s="8" t="s">
        <v>4900</v>
      </c>
      <c r="E1902" s="8" t="s">
        <v>288</v>
      </c>
      <c r="F1902" s="8" t="s">
        <v>4901</v>
      </c>
    </row>
    <row r="1903" customHeight="1" spans="1:6">
      <c r="A1903" s="6">
        <v>1902</v>
      </c>
      <c r="B1903" s="8" t="s">
        <v>4902</v>
      </c>
      <c r="C1903" s="8" t="s">
        <v>4903</v>
      </c>
      <c r="D1903" s="8" t="s">
        <v>4904</v>
      </c>
      <c r="E1903" s="8" t="s">
        <v>256</v>
      </c>
      <c r="F1903" s="8" t="s">
        <v>4905</v>
      </c>
    </row>
    <row r="1904" customHeight="1" spans="1:6">
      <c r="A1904" s="6">
        <v>1903</v>
      </c>
      <c r="B1904" s="8" t="s">
        <v>4902</v>
      </c>
      <c r="C1904" s="8" t="s">
        <v>4903</v>
      </c>
      <c r="D1904" s="8" t="s">
        <v>4904</v>
      </c>
      <c r="E1904" s="8" t="s">
        <v>256</v>
      </c>
      <c r="F1904" s="8" t="s">
        <v>4905</v>
      </c>
    </row>
    <row r="1905" customHeight="1" spans="1:6">
      <c r="A1905" s="6">
        <v>1904</v>
      </c>
      <c r="B1905" s="8" t="s">
        <v>4906</v>
      </c>
      <c r="C1905" s="8" t="s">
        <v>4907</v>
      </c>
      <c r="D1905" s="8" t="s">
        <v>4904</v>
      </c>
      <c r="E1905" s="8" t="s">
        <v>256</v>
      </c>
      <c r="F1905" s="8" t="s">
        <v>4908</v>
      </c>
    </row>
    <row r="1906" customHeight="1" spans="1:6">
      <c r="A1906" s="6">
        <v>1905</v>
      </c>
      <c r="B1906" s="8" t="s">
        <v>4906</v>
      </c>
      <c r="C1906" s="8" t="s">
        <v>4907</v>
      </c>
      <c r="D1906" s="8" t="s">
        <v>4904</v>
      </c>
      <c r="E1906" s="8" t="s">
        <v>256</v>
      </c>
      <c r="F1906" s="8" t="s">
        <v>4908</v>
      </c>
    </row>
    <row r="1907" customHeight="1" spans="1:6">
      <c r="A1907" s="6">
        <v>1906</v>
      </c>
      <c r="B1907" s="8" t="s">
        <v>4909</v>
      </c>
      <c r="C1907" s="8" t="s">
        <v>4910</v>
      </c>
      <c r="D1907" s="8" t="s">
        <v>4911</v>
      </c>
      <c r="E1907" s="8" t="s">
        <v>48</v>
      </c>
      <c r="F1907" s="8" t="s">
        <v>4912</v>
      </c>
    </row>
    <row r="1908" customHeight="1" spans="1:6">
      <c r="A1908" s="6">
        <v>1907</v>
      </c>
      <c r="B1908" s="8" t="s">
        <v>4909</v>
      </c>
      <c r="C1908" s="8" t="s">
        <v>4910</v>
      </c>
      <c r="D1908" s="8" t="s">
        <v>4911</v>
      </c>
      <c r="E1908" s="8" t="s">
        <v>48</v>
      </c>
      <c r="F1908" s="8" t="s">
        <v>4912</v>
      </c>
    </row>
    <row r="1909" customHeight="1" spans="1:6">
      <c r="A1909" s="6">
        <v>1908</v>
      </c>
      <c r="B1909" s="8" t="s">
        <v>4913</v>
      </c>
      <c r="C1909" s="8" t="s">
        <v>4914</v>
      </c>
      <c r="D1909" s="8" t="s">
        <v>4915</v>
      </c>
      <c r="E1909" s="8" t="s">
        <v>288</v>
      </c>
      <c r="F1909" s="8" t="s">
        <v>4916</v>
      </c>
    </row>
    <row r="1910" customHeight="1" spans="1:6">
      <c r="A1910" s="6">
        <v>1909</v>
      </c>
      <c r="B1910" s="8" t="s">
        <v>4913</v>
      </c>
      <c r="C1910" s="8" t="s">
        <v>4914</v>
      </c>
      <c r="D1910" s="8" t="s">
        <v>4915</v>
      </c>
      <c r="E1910" s="8" t="s">
        <v>288</v>
      </c>
      <c r="F1910" s="8" t="s">
        <v>4916</v>
      </c>
    </row>
    <row r="1911" customHeight="1" spans="1:6">
      <c r="A1911" s="6">
        <v>1910</v>
      </c>
      <c r="B1911" s="8" t="s">
        <v>4917</v>
      </c>
      <c r="C1911" s="8" t="s">
        <v>4918</v>
      </c>
      <c r="D1911" s="8" t="s">
        <v>4919</v>
      </c>
      <c r="E1911" s="8" t="s">
        <v>3146</v>
      </c>
      <c r="F1911" s="8" t="s">
        <v>4920</v>
      </c>
    </row>
    <row r="1912" customHeight="1" spans="1:6">
      <c r="A1912" s="6">
        <v>1911</v>
      </c>
      <c r="B1912" s="8" t="s">
        <v>4917</v>
      </c>
      <c r="C1912" s="8" t="s">
        <v>4918</v>
      </c>
      <c r="D1912" s="8" t="s">
        <v>4919</v>
      </c>
      <c r="E1912" s="8" t="s">
        <v>3146</v>
      </c>
      <c r="F1912" s="8" t="s">
        <v>4920</v>
      </c>
    </row>
    <row r="1913" customHeight="1" spans="1:6">
      <c r="A1913" s="6">
        <v>1912</v>
      </c>
      <c r="B1913" s="8" t="s">
        <v>4921</v>
      </c>
      <c r="C1913" s="8" t="s">
        <v>4922</v>
      </c>
      <c r="D1913" s="8" t="s">
        <v>4923</v>
      </c>
      <c r="E1913" s="8" t="s">
        <v>3146</v>
      </c>
      <c r="F1913" s="8" t="s">
        <v>4924</v>
      </c>
    </row>
    <row r="1914" customHeight="1" spans="1:6">
      <c r="A1914" s="6">
        <v>1913</v>
      </c>
      <c r="B1914" s="8" t="s">
        <v>4921</v>
      </c>
      <c r="C1914" s="8" t="s">
        <v>4922</v>
      </c>
      <c r="D1914" s="8" t="s">
        <v>4923</v>
      </c>
      <c r="E1914" s="8" t="s">
        <v>3146</v>
      </c>
      <c r="F1914" s="8" t="s">
        <v>4924</v>
      </c>
    </row>
    <row r="1915" customHeight="1" spans="1:6">
      <c r="A1915" s="6">
        <v>1914</v>
      </c>
      <c r="B1915" s="8" t="s">
        <v>4925</v>
      </c>
      <c r="C1915" s="8" t="s">
        <v>4926</v>
      </c>
      <c r="D1915" s="8" t="s">
        <v>4927</v>
      </c>
      <c r="E1915" s="8" t="s">
        <v>48</v>
      </c>
      <c r="F1915" s="8" t="s">
        <v>4928</v>
      </c>
    </row>
    <row r="1916" customHeight="1" spans="1:6">
      <c r="A1916" s="6">
        <v>1915</v>
      </c>
      <c r="B1916" s="8" t="s">
        <v>4925</v>
      </c>
      <c r="C1916" s="8" t="s">
        <v>4926</v>
      </c>
      <c r="D1916" s="8" t="s">
        <v>4927</v>
      </c>
      <c r="E1916" s="8" t="s">
        <v>48</v>
      </c>
      <c r="F1916" s="8" t="s">
        <v>4928</v>
      </c>
    </row>
    <row r="1917" customHeight="1" spans="1:6">
      <c r="A1917" s="6">
        <v>1916</v>
      </c>
      <c r="B1917" s="7" t="str">
        <f>"978-7-5682-9881-0"</f>
        <v>978-7-5682-9881-0</v>
      </c>
      <c r="C1917" s="7" t="str">
        <f>"智能网联汽车产业人才需求预测报告"</f>
        <v>智能网联汽车产业人才需求预测报告</v>
      </c>
      <c r="D1917" s="7" t="str">
        <f>"中国汽车工程学会主编"</f>
        <v>中国汽车工程学会主编</v>
      </c>
      <c r="E1917" s="7" t="str">
        <f>"北京理工大学出版社"</f>
        <v>北京理工大学出版社</v>
      </c>
      <c r="F1917" s="7" t="str">
        <f>"F426.471/68"</f>
        <v>F426.471/68</v>
      </c>
    </row>
    <row r="1918" customHeight="1" spans="1:6">
      <c r="A1918" s="6">
        <v>1917</v>
      </c>
      <c r="B1918" s="7" t="str">
        <f>"978-7-5682-9881-0"</f>
        <v>978-7-5682-9881-0</v>
      </c>
      <c r="C1918" s="7" t="str">
        <f>"智能网联汽车产业人才需求预测报告"</f>
        <v>智能网联汽车产业人才需求预测报告</v>
      </c>
      <c r="D1918" s="7" t="str">
        <f>"中国汽车工程学会主编"</f>
        <v>中国汽车工程学会主编</v>
      </c>
      <c r="E1918" s="7" t="str">
        <f>"北京理工大学出版社"</f>
        <v>北京理工大学出版社</v>
      </c>
      <c r="F1918" s="7" t="str">
        <f>"F426.471/68"</f>
        <v>F426.471/68</v>
      </c>
    </row>
    <row r="1919" customHeight="1" spans="1:6">
      <c r="A1919" s="6">
        <v>1918</v>
      </c>
      <c r="B1919" s="8" t="s">
        <v>4929</v>
      </c>
      <c r="C1919" s="8" t="s">
        <v>4930</v>
      </c>
      <c r="D1919" s="8" t="s">
        <v>4931</v>
      </c>
      <c r="E1919" s="8" t="s">
        <v>48</v>
      </c>
      <c r="F1919" s="8" t="s">
        <v>4932</v>
      </c>
    </row>
    <row r="1920" customHeight="1" spans="1:6">
      <c r="A1920" s="6">
        <v>1919</v>
      </c>
      <c r="B1920" s="8" t="s">
        <v>4933</v>
      </c>
      <c r="C1920" s="8" t="s">
        <v>4934</v>
      </c>
      <c r="D1920" s="13"/>
      <c r="E1920" s="8" t="s">
        <v>48</v>
      </c>
      <c r="F1920" s="8" t="s">
        <v>4935</v>
      </c>
    </row>
    <row r="1921" customHeight="1" spans="1:6">
      <c r="A1921" s="6">
        <v>1920</v>
      </c>
      <c r="B1921" s="8" t="s">
        <v>4933</v>
      </c>
      <c r="C1921" s="8" t="s">
        <v>4934</v>
      </c>
      <c r="D1921" s="13"/>
      <c r="E1921" s="8" t="s">
        <v>48</v>
      </c>
      <c r="F1921" s="8" t="s">
        <v>4935</v>
      </c>
    </row>
    <row r="1922" customHeight="1" spans="1:6">
      <c r="A1922" s="6">
        <v>1921</v>
      </c>
      <c r="B1922" s="8" t="s">
        <v>4936</v>
      </c>
      <c r="C1922" s="8" t="s">
        <v>4937</v>
      </c>
      <c r="D1922" s="8" t="s">
        <v>4938</v>
      </c>
      <c r="E1922" s="8" t="s">
        <v>48</v>
      </c>
      <c r="F1922" s="8" t="s">
        <v>4939</v>
      </c>
    </row>
    <row r="1923" customHeight="1" spans="1:6">
      <c r="A1923" s="6">
        <v>1922</v>
      </c>
      <c r="B1923" s="8" t="s">
        <v>4936</v>
      </c>
      <c r="C1923" s="8" t="s">
        <v>4937</v>
      </c>
      <c r="D1923" s="8" t="s">
        <v>4938</v>
      </c>
      <c r="E1923" s="8" t="s">
        <v>48</v>
      </c>
      <c r="F1923" s="8" t="s">
        <v>4939</v>
      </c>
    </row>
    <row r="1924" customHeight="1" spans="1:6">
      <c r="A1924" s="6">
        <v>1923</v>
      </c>
      <c r="B1924" s="8" t="s">
        <v>4940</v>
      </c>
      <c r="C1924" s="8" t="s">
        <v>4941</v>
      </c>
      <c r="D1924" s="8" t="s">
        <v>4938</v>
      </c>
      <c r="E1924" s="8" t="s">
        <v>48</v>
      </c>
      <c r="F1924" s="8" t="s">
        <v>4942</v>
      </c>
    </row>
    <row r="1925" customHeight="1" spans="1:6">
      <c r="A1925" s="6">
        <v>1924</v>
      </c>
      <c r="B1925" s="8" t="s">
        <v>4940</v>
      </c>
      <c r="C1925" s="8" t="s">
        <v>4941</v>
      </c>
      <c r="D1925" s="8" t="s">
        <v>4938</v>
      </c>
      <c r="E1925" s="8" t="s">
        <v>48</v>
      </c>
      <c r="F1925" s="8" t="s">
        <v>4942</v>
      </c>
    </row>
    <row r="1926" customHeight="1" spans="1:6">
      <c r="A1926" s="6">
        <v>1925</v>
      </c>
      <c r="B1926" s="8" t="s">
        <v>4943</v>
      </c>
      <c r="C1926" s="8" t="s">
        <v>4944</v>
      </c>
      <c r="D1926" s="8" t="s">
        <v>4945</v>
      </c>
      <c r="E1926" s="8" t="s">
        <v>1636</v>
      </c>
      <c r="F1926" s="8" t="s">
        <v>4946</v>
      </c>
    </row>
    <row r="1927" customHeight="1" spans="1:6">
      <c r="A1927" s="6">
        <v>1926</v>
      </c>
      <c r="B1927" s="8" t="s">
        <v>4943</v>
      </c>
      <c r="C1927" s="8" t="s">
        <v>4944</v>
      </c>
      <c r="D1927" s="8" t="s">
        <v>4945</v>
      </c>
      <c r="E1927" s="8" t="s">
        <v>1636</v>
      </c>
      <c r="F1927" s="8" t="s">
        <v>4946</v>
      </c>
    </row>
    <row r="1928" customHeight="1" spans="1:6">
      <c r="A1928" s="6">
        <v>1927</v>
      </c>
      <c r="B1928" s="8" t="s">
        <v>4947</v>
      </c>
      <c r="C1928" s="8" t="s">
        <v>4948</v>
      </c>
      <c r="D1928" s="8" t="s">
        <v>4949</v>
      </c>
      <c r="E1928" s="8" t="s">
        <v>4950</v>
      </c>
      <c r="F1928" s="8" t="s">
        <v>4951</v>
      </c>
    </row>
    <row r="1929" customHeight="1" spans="1:6">
      <c r="A1929" s="6">
        <v>1928</v>
      </c>
      <c r="B1929" s="8" t="s">
        <v>4947</v>
      </c>
      <c r="C1929" s="8" t="s">
        <v>4948</v>
      </c>
      <c r="D1929" s="8" t="s">
        <v>4949</v>
      </c>
      <c r="E1929" s="8" t="s">
        <v>4950</v>
      </c>
      <c r="F1929" s="8" t="s">
        <v>4951</v>
      </c>
    </row>
    <row r="1930" customHeight="1" spans="1:6">
      <c r="A1930" s="6">
        <v>1929</v>
      </c>
      <c r="B1930" s="8" t="s">
        <v>4947</v>
      </c>
      <c r="C1930" s="8" t="s">
        <v>4948</v>
      </c>
      <c r="D1930" s="8" t="s">
        <v>4949</v>
      </c>
      <c r="E1930" s="8" t="s">
        <v>4950</v>
      </c>
      <c r="F1930" s="8" t="s">
        <v>4951</v>
      </c>
    </row>
    <row r="1931" customHeight="1" spans="1:6">
      <c r="A1931" s="6">
        <v>1930</v>
      </c>
      <c r="B1931" s="8" t="s">
        <v>4952</v>
      </c>
      <c r="C1931" s="8" t="s">
        <v>4953</v>
      </c>
      <c r="D1931" s="8" t="s">
        <v>4954</v>
      </c>
      <c r="E1931" s="8" t="s">
        <v>4950</v>
      </c>
      <c r="F1931" s="8" t="s">
        <v>4955</v>
      </c>
    </row>
    <row r="1932" customHeight="1" spans="1:6">
      <c r="A1932" s="6">
        <v>1931</v>
      </c>
      <c r="B1932" s="8" t="s">
        <v>4952</v>
      </c>
      <c r="C1932" s="8" t="s">
        <v>4953</v>
      </c>
      <c r="D1932" s="8" t="s">
        <v>4954</v>
      </c>
      <c r="E1932" s="8" t="s">
        <v>4950</v>
      </c>
      <c r="F1932" s="8" t="s">
        <v>4955</v>
      </c>
    </row>
    <row r="1933" customHeight="1" spans="1:6">
      <c r="A1933" s="6">
        <v>1932</v>
      </c>
      <c r="B1933" s="8" t="s">
        <v>4952</v>
      </c>
      <c r="C1933" s="8" t="s">
        <v>4953</v>
      </c>
      <c r="D1933" s="8" t="s">
        <v>4954</v>
      </c>
      <c r="E1933" s="8" t="s">
        <v>4950</v>
      </c>
      <c r="F1933" s="8" t="s">
        <v>4955</v>
      </c>
    </row>
    <row r="1934" customHeight="1" spans="1:6">
      <c r="A1934" s="6">
        <v>1933</v>
      </c>
      <c r="B1934" s="8" t="s">
        <v>4956</v>
      </c>
      <c r="C1934" s="8" t="s">
        <v>4957</v>
      </c>
      <c r="D1934" s="8" t="s">
        <v>4958</v>
      </c>
      <c r="E1934" s="8" t="s">
        <v>4950</v>
      </c>
      <c r="F1934" s="8" t="s">
        <v>4959</v>
      </c>
    </row>
    <row r="1935" customHeight="1" spans="1:6">
      <c r="A1935" s="6">
        <v>1934</v>
      </c>
      <c r="B1935" s="8" t="s">
        <v>4956</v>
      </c>
      <c r="C1935" s="8" t="s">
        <v>4957</v>
      </c>
      <c r="D1935" s="8" t="s">
        <v>4958</v>
      </c>
      <c r="E1935" s="8" t="s">
        <v>4950</v>
      </c>
      <c r="F1935" s="8" t="s">
        <v>4959</v>
      </c>
    </row>
    <row r="1936" customHeight="1" spans="1:6">
      <c r="A1936" s="6">
        <v>1935</v>
      </c>
      <c r="B1936" s="8" t="s">
        <v>4956</v>
      </c>
      <c r="C1936" s="8" t="s">
        <v>4957</v>
      </c>
      <c r="D1936" s="8" t="s">
        <v>4958</v>
      </c>
      <c r="E1936" s="8" t="s">
        <v>4950</v>
      </c>
      <c r="F1936" s="8" t="s">
        <v>4959</v>
      </c>
    </row>
    <row r="1937" customHeight="1" spans="1:6">
      <c r="A1937" s="6">
        <v>1936</v>
      </c>
      <c r="B1937" s="8" t="s">
        <v>4960</v>
      </c>
      <c r="C1937" s="8" t="s">
        <v>4961</v>
      </c>
      <c r="D1937" s="8" t="s">
        <v>4962</v>
      </c>
      <c r="E1937" s="8" t="s">
        <v>4963</v>
      </c>
      <c r="F1937" s="8" t="s">
        <v>4964</v>
      </c>
    </row>
    <row r="1938" customHeight="1" spans="1:6">
      <c r="A1938" s="6">
        <v>1937</v>
      </c>
      <c r="B1938" s="8" t="s">
        <v>4960</v>
      </c>
      <c r="C1938" s="8" t="s">
        <v>4961</v>
      </c>
      <c r="D1938" s="8" t="s">
        <v>4962</v>
      </c>
      <c r="E1938" s="8" t="s">
        <v>4963</v>
      </c>
      <c r="F1938" s="8" t="s">
        <v>4964</v>
      </c>
    </row>
    <row r="1939" customHeight="1" spans="1:6">
      <c r="A1939" s="6">
        <v>1938</v>
      </c>
      <c r="B1939" s="8" t="s">
        <v>4965</v>
      </c>
      <c r="C1939" s="8" t="s">
        <v>4966</v>
      </c>
      <c r="D1939" s="8" t="s">
        <v>4967</v>
      </c>
      <c r="E1939" s="8" t="s">
        <v>2337</v>
      </c>
      <c r="F1939" s="8" t="s">
        <v>4968</v>
      </c>
    </row>
    <row r="1940" customHeight="1" spans="1:6">
      <c r="A1940" s="6">
        <v>1939</v>
      </c>
      <c r="B1940" s="8" t="s">
        <v>4965</v>
      </c>
      <c r="C1940" s="8" t="s">
        <v>4966</v>
      </c>
      <c r="D1940" s="8" t="s">
        <v>4967</v>
      </c>
      <c r="E1940" s="8" t="s">
        <v>2337</v>
      </c>
      <c r="F1940" s="8" t="s">
        <v>4968</v>
      </c>
    </row>
    <row r="1941" customHeight="1" spans="1:6">
      <c r="A1941" s="6">
        <v>1940</v>
      </c>
      <c r="B1941" s="8" t="s">
        <v>4969</v>
      </c>
      <c r="C1941" s="8" t="s">
        <v>4970</v>
      </c>
      <c r="D1941" s="8" t="s">
        <v>4971</v>
      </c>
      <c r="E1941" s="8" t="s">
        <v>2337</v>
      </c>
      <c r="F1941" s="8" t="s">
        <v>4972</v>
      </c>
    </row>
    <row r="1942" customHeight="1" spans="1:6">
      <c r="A1942" s="6">
        <v>1941</v>
      </c>
      <c r="B1942" s="8" t="s">
        <v>4969</v>
      </c>
      <c r="C1942" s="8" t="s">
        <v>4970</v>
      </c>
      <c r="D1942" s="8" t="s">
        <v>4971</v>
      </c>
      <c r="E1942" s="8" t="s">
        <v>2337</v>
      </c>
      <c r="F1942" s="8" t="s">
        <v>4972</v>
      </c>
    </row>
    <row r="1943" customHeight="1" spans="1:6">
      <c r="A1943" s="6">
        <v>1942</v>
      </c>
      <c r="B1943" s="8" t="s">
        <v>4973</v>
      </c>
      <c r="C1943" s="8" t="s">
        <v>4974</v>
      </c>
      <c r="D1943" s="8" t="s">
        <v>4975</v>
      </c>
      <c r="E1943" s="8" t="s">
        <v>311</v>
      </c>
      <c r="F1943" s="8" t="s">
        <v>4976</v>
      </c>
    </row>
    <row r="1944" customHeight="1" spans="1:6">
      <c r="A1944" s="6">
        <v>1943</v>
      </c>
      <c r="B1944" s="8" t="s">
        <v>4973</v>
      </c>
      <c r="C1944" s="8" t="s">
        <v>4974</v>
      </c>
      <c r="D1944" s="8" t="s">
        <v>4975</v>
      </c>
      <c r="E1944" s="8" t="s">
        <v>311</v>
      </c>
      <c r="F1944" s="8" t="s">
        <v>4976</v>
      </c>
    </row>
    <row r="1945" customHeight="1" spans="1:6">
      <c r="A1945" s="6">
        <v>1944</v>
      </c>
      <c r="B1945" s="8" t="s">
        <v>4977</v>
      </c>
      <c r="C1945" s="8" t="s">
        <v>4978</v>
      </c>
      <c r="D1945" s="8" t="s">
        <v>4979</v>
      </c>
      <c r="E1945" s="8" t="s">
        <v>1667</v>
      </c>
      <c r="F1945" s="8" t="s">
        <v>4980</v>
      </c>
    </row>
    <row r="1946" customHeight="1" spans="1:6">
      <c r="A1946" s="6">
        <v>1945</v>
      </c>
      <c r="B1946" s="8" t="s">
        <v>4977</v>
      </c>
      <c r="C1946" s="8" t="s">
        <v>4978</v>
      </c>
      <c r="D1946" s="8" t="s">
        <v>4979</v>
      </c>
      <c r="E1946" s="8" t="s">
        <v>1667</v>
      </c>
      <c r="F1946" s="8" t="s">
        <v>4980</v>
      </c>
    </row>
    <row r="1947" customHeight="1" spans="1:6">
      <c r="A1947" s="6">
        <v>1946</v>
      </c>
      <c r="B1947" s="8" t="s">
        <v>4981</v>
      </c>
      <c r="C1947" s="8" t="s">
        <v>4982</v>
      </c>
      <c r="D1947" s="8" t="s">
        <v>4983</v>
      </c>
      <c r="E1947" s="8" t="s">
        <v>1667</v>
      </c>
      <c r="F1947" s="8" t="s">
        <v>4984</v>
      </c>
    </row>
    <row r="1948" customHeight="1" spans="1:6">
      <c r="A1948" s="6">
        <v>1947</v>
      </c>
      <c r="B1948" s="8" t="s">
        <v>4981</v>
      </c>
      <c r="C1948" s="8" t="s">
        <v>4982</v>
      </c>
      <c r="D1948" s="8" t="s">
        <v>4983</v>
      </c>
      <c r="E1948" s="8" t="s">
        <v>1667</v>
      </c>
      <c r="F1948" s="8" t="s">
        <v>4984</v>
      </c>
    </row>
    <row r="1949" customHeight="1" spans="1:6">
      <c r="A1949" s="6">
        <v>1948</v>
      </c>
      <c r="B1949" s="8" t="s">
        <v>4981</v>
      </c>
      <c r="C1949" s="8" t="s">
        <v>4982</v>
      </c>
      <c r="D1949" s="8" t="s">
        <v>4983</v>
      </c>
      <c r="E1949" s="8" t="s">
        <v>1667</v>
      </c>
      <c r="F1949" s="8" t="s">
        <v>4984</v>
      </c>
    </row>
    <row r="1950" customHeight="1" spans="1:6">
      <c r="A1950" s="6">
        <v>1949</v>
      </c>
      <c r="B1950" s="8" t="s">
        <v>4985</v>
      </c>
      <c r="C1950" s="8" t="s">
        <v>4986</v>
      </c>
      <c r="D1950" s="8" t="s">
        <v>4987</v>
      </c>
      <c r="E1950" s="8" t="s">
        <v>48</v>
      </c>
      <c r="F1950" s="8" t="s">
        <v>4988</v>
      </c>
    </row>
    <row r="1951" customHeight="1" spans="1:6">
      <c r="A1951" s="6">
        <v>1950</v>
      </c>
      <c r="B1951" s="8" t="s">
        <v>4985</v>
      </c>
      <c r="C1951" s="8" t="s">
        <v>4986</v>
      </c>
      <c r="D1951" s="8" t="s">
        <v>4987</v>
      </c>
      <c r="E1951" s="8" t="s">
        <v>48</v>
      </c>
      <c r="F1951" s="8" t="s">
        <v>4988</v>
      </c>
    </row>
    <row r="1952" customHeight="1" spans="1:6">
      <c r="A1952" s="6">
        <v>1951</v>
      </c>
      <c r="B1952" s="7" t="str">
        <f>"978-7-115-37268-0"</f>
        <v>978-7-115-37268-0</v>
      </c>
      <c r="C1952" s="7" t="str">
        <f>"丰田精益管理．采购与供应商管理"</f>
        <v>丰田精益管理．采购与供应商管理</v>
      </c>
      <c r="D1952" s="7" t="str">
        <f>"冯永华主编"</f>
        <v>冯永华主编</v>
      </c>
      <c r="E1952" s="7" t="str">
        <f>"人民邮电出版社"</f>
        <v>人民邮电出版社</v>
      </c>
      <c r="F1952" s="7" t="str">
        <f>"F431.364/73"</f>
        <v>F431.364/73</v>
      </c>
    </row>
    <row r="1953" customHeight="1" spans="1:6">
      <c r="A1953" s="6">
        <v>1952</v>
      </c>
      <c r="B1953" s="7" t="str">
        <f>"978-7-115-37268-0"</f>
        <v>978-7-115-37268-0</v>
      </c>
      <c r="C1953" s="7" t="str">
        <f>"丰田精益管理．采购与供应商管理"</f>
        <v>丰田精益管理．采购与供应商管理</v>
      </c>
      <c r="D1953" s="7" t="str">
        <f>"冯永华主编"</f>
        <v>冯永华主编</v>
      </c>
      <c r="E1953" s="7" t="str">
        <f>"人民邮电出版社"</f>
        <v>人民邮电出版社</v>
      </c>
      <c r="F1953" s="7" t="str">
        <f>"F431.364/73"</f>
        <v>F431.364/73</v>
      </c>
    </row>
    <row r="1954" customHeight="1" spans="1:6">
      <c r="A1954" s="6">
        <v>1953</v>
      </c>
      <c r="B1954" s="8" t="s">
        <v>4989</v>
      </c>
      <c r="C1954" s="8" t="s">
        <v>4990</v>
      </c>
      <c r="D1954" s="8" t="s">
        <v>4991</v>
      </c>
      <c r="E1954" s="8" t="s">
        <v>33</v>
      </c>
      <c r="F1954" s="8" t="s">
        <v>4992</v>
      </c>
    </row>
    <row r="1955" customHeight="1" spans="1:6">
      <c r="A1955" s="6">
        <v>1954</v>
      </c>
      <c r="B1955" s="8" t="s">
        <v>4989</v>
      </c>
      <c r="C1955" s="8" t="s">
        <v>4990</v>
      </c>
      <c r="D1955" s="8" t="s">
        <v>4991</v>
      </c>
      <c r="E1955" s="8" t="s">
        <v>33</v>
      </c>
      <c r="F1955" s="8" t="s">
        <v>4992</v>
      </c>
    </row>
    <row r="1956" customHeight="1" spans="1:6">
      <c r="A1956" s="6">
        <v>1955</v>
      </c>
      <c r="B1956" s="7" t="str">
        <f>"978-7-5217-3087-6"</f>
        <v>978-7-5217-3087-6</v>
      </c>
      <c r="C1956" s="7" t="str">
        <f>"芯片陷阱：les dessous du raid de la CIA sur la premiere licorne francaise"</f>
        <v>芯片陷阱：les dessous du raid de la CIA sur la premiere licorne francaise</v>
      </c>
      <c r="D1956" s="7" t="str">
        <f>"(法) 马克·拉叙斯， 古文俊著；法意译"</f>
        <v>(法) 马克·拉叙斯， 古文俊著；法意译</v>
      </c>
      <c r="E1956" s="7" t="str">
        <f>"中信出版集团股份有限公司"</f>
        <v>中信出版集团股份有限公司</v>
      </c>
      <c r="F1956" s="7" t="str">
        <f>"F45/5"</f>
        <v>F45/5</v>
      </c>
    </row>
    <row r="1957" customHeight="1" spans="1:6">
      <c r="A1957" s="6">
        <v>1956</v>
      </c>
      <c r="B1957" s="7" t="str">
        <f>"978-7-5217-3087-6"</f>
        <v>978-7-5217-3087-6</v>
      </c>
      <c r="C1957" s="7" t="str">
        <f>"芯片陷阱：les dessous du raid de la CIA sur la premiere licorne francaise"</f>
        <v>芯片陷阱：les dessous du raid de la CIA sur la premiere licorne francaise</v>
      </c>
      <c r="D1957" s="7" t="str">
        <f>"(法) 马克·拉叙斯， 古文俊著；法意译"</f>
        <v>(法) 马克·拉叙斯， 古文俊著；法意译</v>
      </c>
      <c r="E1957" s="7" t="str">
        <f>"中信出版集团股份有限公司"</f>
        <v>中信出版集团股份有限公司</v>
      </c>
      <c r="F1957" s="7" t="str">
        <f>"F45/5"</f>
        <v>F45/5</v>
      </c>
    </row>
    <row r="1958" customHeight="1" spans="1:6">
      <c r="A1958" s="6">
        <v>1957</v>
      </c>
      <c r="B1958" s="8" t="s">
        <v>4993</v>
      </c>
      <c r="C1958" s="8" t="s">
        <v>4994</v>
      </c>
      <c r="D1958" s="8" t="s">
        <v>4995</v>
      </c>
      <c r="E1958" s="8" t="s">
        <v>311</v>
      </c>
      <c r="F1958" s="8" t="s">
        <v>4996</v>
      </c>
    </row>
    <row r="1959" customHeight="1" spans="1:6">
      <c r="A1959" s="6">
        <v>1958</v>
      </c>
      <c r="B1959" s="8" t="s">
        <v>4993</v>
      </c>
      <c r="C1959" s="8" t="s">
        <v>4994</v>
      </c>
      <c r="D1959" s="8" t="s">
        <v>4995</v>
      </c>
      <c r="E1959" s="8" t="s">
        <v>311</v>
      </c>
      <c r="F1959" s="8" t="s">
        <v>4996</v>
      </c>
    </row>
    <row r="1960" customHeight="1" spans="1:6">
      <c r="A1960" s="6">
        <v>1959</v>
      </c>
      <c r="B1960" s="8" t="s">
        <v>4997</v>
      </c>
      <c r="C1960" s="8" t="s">
        <v>4998</v>
      </c>
      <c r="D1960" s="8" t="s">
        <v>4999</v>
      </c>
      <c r="E1960" s="8" t="s">
        <v>5000</v>
      </c>
      <c r="F1960" s="8" t="s">
        <v>5001</v>
      </c>
    </row>
    <row r="1961" customHeight="1" spans="1:6">
      <c r="A1961" s="6">
        <v>1960</v>
      </c>
      <c r="B1961" s="8" t="s">
        <v>4997</v>
      </c>
      <c r="C1961" s="8" t="s">
        <v>4998</v>
      </c>
      <c r="D1961" s="8" t="s">
        <v>4999</v>
      </c>
      <c r="E1961" s="8" t="s">
        <v>5000</v>
      </c>
      <c r="F1961" s="8" t="s">
        <v>5001</v>
      </c>
    </row>
    <row r="1962" customHeight="1" spans="1:6">
      <c r="A1962" s="6">
        <v>1961</v>
      </c>
      <c r="B1962" s="8" t="s">
        <v>5002</v>
      </c>
      <c r="C1962" s="8" t="s">
        <v>5003</v>
      </c>
      <c r="D1962" s="8" t="s">
        <v>5004</v>
      </c>
      <c r="E1962" s="8" t="s">
        <v>4832</v>
      </c>
      <c r="F1962" s="8" t="s">
        <v>5005</v>
      </c>
    </row>
    <row r="1963" customHeight="1" spans="1:6">
      <c r="A1963" s="6">
        <v>1962</v>
      </c>
      <c r="B1963" s="8" t="s">
        <v>5002</v>
      </c>
      <c r="C1963" s="8" t="s">
        <v>5003</v>
      </c>
      <c r="D1963" s="8" t="s">
        <v>5004</v>
      </c>
      <c r="E1963" s="8" t="s">
        <v>4832</v>
      </c>
      <c r="F1963" s="8" t="s">
        <v>5005</v>
      </c>
    </row>
    <row r="1964" customHeight="1" spans="1:6">
      <c r="A1964" s="6">
        <v>1963</v>
      </c>
      <c r="B1964" s="8" t="s">
        <v>5006</v>
      </c>
      <c r="C1964" s="8" t="s">
        <v>5007</v>
      </c>
      <c r="D1964" s="8" t="s">
        <v>5008</v>
      </c>
      <c r="E1964" s="8" t="s">
        <v>189</v>
      </c>
      <c r="F1964" s="8" t="s">
        <v>5009</v>
      </c>
    </row>
    <row r="1965" customHeight="1" spans="1:6">
      <c r="A1965" s="6">
        <v>1964</v>
      </c>
      <c r="B1965" s="8" t="s">
        <v>5006</v>
      </c>
      <c r="C1965" s="8" t="s">
        <v>5007</v>
      </c>
      <c r="D1965" s="8" t="s">
        <v>5008</v>
      </c>
      <c r="E1965" s="8" t="s">
        <v>189</v>
      </c>
      <c r="F1965" s="8" t="s">
        <v>5009</v>
      </c>
    </row>
    <row r="1966" customHeight="1" spans="1:6">
      <c r="A1966" s="6">
        <v>1965</v>
      </c>
      <c r="B1966" s="8" t="s">
        <v>5010</v>
      </c>
      <c r="C1966" s="8" t="s">
        <v>5011</v>
      </c>
      <c r="D1966" s="8" t="s">
        <v>5012</v>
      </c>
      <c r="E1966" s="8" t="s">
        <v>2212</v>
      </c>
      <c r="F1966" s="8" t="s">
        <v>5013</v>
      </c>
    </row>
    <row r="1967" customHeight="1" spans="1:6">
      <c r="A1967" s="6">
        <v>1966</v>
      </c>
      <c r="B1967" s="8" t="s">
        <v>5010</v>
      </c>
      <c r="C1967" s="8" t="s">
        <v>5011</v>
      </c>
      <c r="D1967" s="8" t="s">
        <v>5012</v>
      </c>
      <c r="E1967" s="8" t="s">
        <v>2212</v>
      </c>
      <c r="F1967" s="8" t="s">
        <v>5013</v>
      </c>
    </row>
    <row r="1968" customHeight="1" spans="1:6">
      <c r="A1968" s="6">
        <v>1967</v>
      </c>
      <c r="B1968" s="8" t="s">
        <v>5010</v>
      </c>
      <c r="C1968" s="8" t="s">
        <v>5011</v>
      </c>
      <c r="D1968" s="8" t="s">
        <v>5012</v>
      </c>
      <c r="E1968" s="8" t="s">
        <v>2212</v>
      </c>
      <c r="F1968" s="8" t="s">
        <v>5013</v>
      </c>
    </row>
    <row r="1969" customHeight="1" spans="1:6">
      <c r="A1969" s="6">
        <v>1968</v>
      </c>
      <c r="B1969" s="7" t="str">
        <f>"978-7-5509-2649-3"</f>
        <v>978-7-5509-2649-3</v>
      </c>
      <c r="C1969" s="7" t="str">
        <f>"趋势的力量：数字技术与数字经济"</f>
        <v>趋势的力量：数字技术与数字经济</v>
      </c>
      <c r="D1969" s="7" t="str">
        <f>"陈学伟著"</f>
        <v>陈学伟著</v>
      </c>
      <c r="E1969" s="7" t="str">
        <f>"黄河水利出版社"</f>
        <v>黄河水利出版社</v>
      </c>
      <c r="F1969" s="7" t="str">
        <f>"F49/216"</f>
        <v>F49/216</v>
      </c>
    </row>
    <row r="1970" customHeight="1" spans="1:6">
      <c r="A1970" s="6">
        <v>1969</v>
      </c>
      <c r="B1970" s="7" t="str">
        <f>"978-7-5509-2649-3"</f>
        <v>978-7-5509-2649-3</v>
      </c>
      <c r="C1970" s="7" t="str">
        <f>"趋势的力量：数字技术与数字经济"</f>
        <v>趋势的力量：数字技术与数字经济</v>
      </c>
      <c r="D1970" s="7" t="str">
        <f>"陈学伟著"</f>
        <v>陈学伟著</v>
      </c>
      <c r="E1970" s="7" t="str">
        <f>"黄河水利出版社"</f>
        <v>黄河水利出版社</v>
      </c>
      <c r="F1970" s="7" t="str">
        <f>"F49/216"</f>
        <v>F49/216</v>
      </c>
    </row>
    <row r="1971" customHeight="1" spans="1:6">
      <c r="A1971" s="6">
        <v>1970</v>
      </c>
      <c r="B1971" s="7" t="str">
        <f t="shared" ref="B1971:B1973" si="133">"978-7-5618-6850-8"</f>
        <v>978-7-5618-6850-8</v>
      </c>
      <c r="C1971" s="7" t="str">
        <f t="shared" ref="C1971:C1973" si="134">"数字经济概论"</f>
        <v>数字经济概论</v>
      </c>
      <c r="D1971" s="7" t="str">
        <f t="shared" ref="D1971:D1973" si="135">"宋爽编著"</f>
        <v>宋爽编著</v>
      </c>
      <c r="E1971" s="7" t="str">
        <f t="shared" ref="E1971:E1973" si="136">"天津大学出版社"</f>
        <v>天津大学出版社</v>
      </c>
      <c r="F1971" s="7" t="str">
        <f t="shared" ref="F1971:F1973" si="137">"F49/217"</f>
        <v>F49/217</v>
      </c>
    </row>
    <row r="1972" customHeight="1" spans="1:6">
      <c r="A1972" s="6">
        <v>1971</v>
      </c>
      <c r="B1972" s="7" t="str">
        <f t="shared" si="133"/>
        <v>978-7-5618-6850-8</v>
      </c>
      <c r="C1972" s="7" t="str">
        <f t="shared" si="134"/>
        <v>数字经济概论</v>
      </c>
      <c r="D1972" s="7" t="str">
        <f t="shared" si="135"/>
        <v>宋爽编著</v>
      </c>
      <c r="E1972" s="7" t="str">
        <f t="shared" si="136"/>
        <v>天津大学出版社</v>
      </c>
      <c r="F1972" s="7" t="str">
        <f t="shared" si="137"/>
        <v>F49/217</v>
      </c>
    </row>
    <row r="1973" customHeight="1" spans="1:6">
      <c r="A1973" s="6">
        <v>1972</v>
      </c>
      <c r="B1973" s="7" t="str">
        <f t="shared" si="133"/>
        <v>978-7-5618-6850-8</v>
      </c>
      <c r="C1973" s="7" t="str">
        <f t="shared" si="134"/>
        <v>数字经济概论</v>
      </c>
      <c r="D1973" s="7" t="str">
        <f t="shared" si="135"/>
        <v>宋爽编著</v>
      </c>
      <c r="E1973" s="7" t="str">
        <f t="shared" si="136"/>
        <v>天津大学出版社</v>
      </c>
      <c r="F1973" s="7" t="str">
        <f t="shared" si="137"/>
        <v>F49/217</v>
      </c>
    </row>
    <row r="1974" customHeight="1" spans="1:6">
      <c r="A1974" s="6">
        <v>1973</v>
      </c>
      <c r="B1974" s="8" t="s">
        <v>5014</v>
      </c>
      <c r="C1974" s="8" t="s">
        <v>5015</v>
      </c>
      <c r="D1974" s="8" t="s">
        <v>5016</v>
      </c>
      <c r="E1974" s="8" t="s">
        <v>3146</v>
      </c>
      <c r="F1974" s="8" t="s">
        <v>5017</v>
      </c>
    </row>
    <row r="1975" customHeight="1" spans="1:6">
      <c r="A1975" s="6">
        <v>1974</v>
      </c>
      <c r="B1975" s="8" t="s">
        <v>5014</v>
      </c>
      <c r="C1975" s="8" t="s">
        <v>5015</v>
      </c>
      <c r="D1975" s="8" t="s">
        <v>5016</v>
      </c>
      <c r="E1975" s="8" t="s">
        <v>3146</v>
      </c>
      <c r="F1975" s="8" t="s">
        <v>5017</v>
      </c>
    </row>
    <row r="1976" customHeight="1" spans="1:6">
      <c r="A1976" s="6">
        <v>1975</v>
      </c>
      <c r="B1976" s="8" t="s">
        <v>5018</v>
      </c>
      <c r="C1976" s="8" t="s">
        <v>5019</v>
      </c>
      <c r="D1976" s="8" t="s">
        <v>5020</v>
      </c>
      <c r="E1976" s="8" t="s">
        <v>189</v>
      </c>
      <c r="F1976" s="8" t="s">
        <v>5021</v>
      </c>
    </row>
    <row r="1977" customHeight="1" spans="1:6">
      <c r="A1977" s="6">
        <v>1976</v>
      </c>
      <c r="B1977" s="8" t="s">
        <v>5018</v>
      </c>
      <c r="C1977" s="8" t="s">
        <v>5019</v>
      </c>
      <c r="D1977" s="8" t="s">
        <v>5020</v>
      </c>
      <c r="E1977" s="8" t="s">
        <v>189</v>
      </c>
      <c r="F1977" s="8" t="s">
        <v>5021</v>
      </c>
    </row>
    <row r="1978" customHeight="1" spans="1:6">
      <c r="A1978" s="6">
        <v>1977</v>
      </c>
      <c r="B1978" s="8" t="s">
        <v>5018</v>
      </c>
      <c r="C1978" s="8" t="s">
        <v>5022</v>
      </c>
      <c r="D1978" s="8" t="s">
        <v>5020</v>
      </c>
      <c r="E1978" s="8" t="s">
        <v>189</v>
      </c>
      <c r="F1978" s="8" t="s">
        <v>5023</v>
      </c>
    </row>
    <row r="1979" customHeight="1" spans="1:6">
      <c r="A1979" s="6">
        <v>1978</v>
      </c>
      <c r="B1979" s="8" t="s">
        <v>5018</v>
      </c>
      <c r="C1979" s="8" t="s">
        <v>5022</v>
      </c>
      <c r="D1979" s="8" t="s">
        <v>5020</v>
      </c>
      <c r="E1979" s="8" t="s">
        <v>189</v>
      </c>
      <c r="F1979" s="8" t="s">
        <v>5023</v>
      </c>
    </row>
    <row r="1980" customHeight="1" spans="1:6">
      <c r="A1980" s="6">
        <v>1979</v>
      </c>
      <c r="B1980" s="8" t="s">
        <v>5024</v>
      </c>
      <c r="C1980" s="8" t="s">
        <v>5025</v>
      </c>
      <c r="D1980" s="8" t="s">
        <v>5026</v>
      </c>
      <c r="E1980" s="8" t="s">
        <v>256</v>
      </c>
      <c r="F1980" s="8" t="s">
        <v>5027</v>
      </c>
    </row>
    <row r="1981" customHeight="1" spans="1:6">
      <c r="A1981" s="6">
        <v>1980</v>
      </c>
      <c r="B1981" s="8" t="s">
        <v>5024</v>
      </c>
      <c r="C1981" s="8" t="s">
        <v>5025</v>
      </c>
      <c r="D1981" s="8" t="s">
        <v>5026</v>
      </c>
      <c r="E1981" s="8" t="s">
        <v>256</v>
      </c>
      <c r="F1981" s="8" t="s">
        <v>5027</v>
      </c>
    </row>
    <row r="1982" customHeight="1" spans="1:6">
      <c r="A1982" s="6">
        <v>1981</v>
      </c>
      <c r="B1982" s="8" t="s">
        <v>5028</v>
      </c>
      <c r="C1982" s="8" t="s">
        <v>5029</v>
      </c>
      <c r="D1982" s="8" t="s">
        <v>5030</v>
      </c>
      <c r="E1982" s="8" t="s">
        <v>275</v>
      </c>
      <c r="F1982" s="8" t="s">
        <v>5031</v>
      </c>
    </row>
    <row r="1983" customHeight="1" spans="1:6">
      <c r="A1983" s="6">
        <v>1982</v>
      </c>
      <c r="B1983" s="8" t="s">
        <v>5028</v>
      </c>
      <c r="C1983" s="8" t="s">
        <v>5029</v>
      </c>
      <c r="D1983" s="8" t="s">
        <v>5030</v>
      </c>
      <c r="E1983" s="8" t="s">
        <v>275</v>
      </c>
      <c r="F1983" s="8" t="s">
        <v>5031</v>
      </c>
    </row>
    <row r="1984" customHeight="1" spans="1:6">
      <c r="A1984" s="6">
        <v>1983</v>
      </c>
      <c r="B1984" s="8" t="s">
        <v>5028</v>
      </c>
      <c r="C1984" s="8" t="s">
        <v>5029</v>
      </c>
      <c r="D1984" s="8" t="s">
        <v>5030</v>
      </c>
      <c r="E1984" s="8" t="s">
        <v>275</v>
      </c>
      <c r="F1984" s="8" t="s">
        <v>5031</v>
      </c>
    </row>
    <row r="1985" customHeight="1" spans="1:6">
      <c r="A1985" s="6">
        <v>1984</v>
      </c>
      <c r="B1985" s="8" t="s">
        <v>5032</v>
      </c>
      <c r="C1985" s="8" t="s">
        <v>5033</v>
      </c>
      <c r="D1985" s="8" t="s">
        <v>5034</v>
      </c>
      <c r="E1985" s="8" t="s">
        <v>256</v>
      </c>
      <c r="F1985" s="8" t="s">
        <v>5035</v>
      </c>
    </row>
    <row r="1986" customHeight="1" spans="1:6">
      <c r="A1986" s="6">
        <v>1985</v>
      </c>
      <c r="B1986" s="8" t="s">
        <v>5032</v>
      </c>
      <c r="C1986" s="8" t="s">
        <v>5033</v>
      </c>
      <c r="D1986" s="8" t="s">
        <v>5034</v>
      </c>
      <c r="E1986" s="8" t="s">
        <v>256</v>
      </c>
      <c r="F1986" s="8" t="s">
        <v>5035</v>
      </c>
    </row>
    <row r="1987" customHeight="1" spans="1:6">
      <c r="A1987" s="6">
        <v>1986</v>
      </c>
      <c r="B1987" s="8" t="s">
        <v>5036</v>
      </c>
      <c r="C1987" s="8" t="s">
        <v>5037</v>
      </c>
      <c r="D1987" s="8" t="s">
        <v>5038</v>
      </c>
      <c r="E1987" s="8" t="s">
        <v>5039</v>
      </c>
      <c r="F1987" s="8" t="s">
        <v>5040</v>
      </c>
    </row>
    <row r="1988" customHeight="1" spans="1:6">
      <c r="A1988" s="6">
        <v>1987</v>
      </c>
      <c r="B1988" s="8" t="s">
        <v>5036</v>
      </c>
      <c r="C1988" s="8" t="s">
        <v>5037</v>
      </c>
      <c r="D1988" s="8" t="s">
        <v>5038</v>
      </c>
      <c r="E1988" s="8" t="s">
        <v>5039</v>
      </c>
      <c r="F1988" s="8" t="s">
        <v>5040</v>
      </c>
    </row>
    <row r="1989" customHeight="1" spans="1:6">
      <c r="A1989" s="6">
        <v>1988</v>
      </c>
      <c r="B1989" s="8" t="s">
        <v>5041</v>
      </c>
      <c r="C1989" s="8" t="s">
        <v>5042</v>
      </c>
      <c r="D1989" s="8" t="s">
        <v>5043</v>
      </c>
      <c r="E1989" s="8" t="s">
        <v>350</v>
      </c>
      <c r="F1989" s="8" t="s">
        <v>5044</v>
      </c>
    </row>
    <row r="1990" customHeight="1" spans="1:6">
      <c r="A1990" s="6">
        <v>1989</v>
      </c>
      <c r="B1990" s="8" t="s">
        <v>5041</v>
      </c>
      <c r="C1990" s="8" t="s">
        <v>5042</v>
      </c>
      <c r="D1990" s="8" t="s">
        <v>5043</v>
      </c>
      <c r="E1990" s="8" t="s">
        <v>350</v>
      </c>
      <c r="F1990" s="8" t="s">
        <v>5044</v>
      </c>
    </row>
    <row r="1991" customHeight="1" spans="1:6">
      <c r="A1991" s="6">
        <v>1990</v>
      </c>
      <c r="B1991" s="8" t="s">
        <v>5041</v>
      </c>
      <c r="C1991" s="8" t="s">
        <v>5042</v>
      </c>
      <c r="D1991" s="8" t="s">
        <v>5043</v>
      </c>
      <c r="E1991" s="8" t="s">
        <v>350</v>
      </c>
      <c r="F1991" s="8" t="s">
        <v>5044</v>
      </c>
    </row>
    <row r="1992" customHeight="1" spans="1:6">
      <c r="A1992" s="6">
        <v>1991</v>
      </c>
      <c r="B1992" s="8" t="s">
        <v>5045</v>
      </c>
      <c r="C1992" s="8" t="s">
        <v>5046</v>
      </c>
      <c r="D1992" s="8" t="s">
        <v>5047</v>
      </c>
      <c r="E1992" s="8" t="s">
        <v>216</v>
      </c>
      <c r="F1992" s="8" t="s">
        <v>5048</v>
      </c>
    </row>
    <row r="1993" customHeight="1" spans="1:6">
      <c r="A1993" s="6">
        <v>1992</v>
      </c>
      <c r="B1993" s="8" t="s">
        <v>5049</v>
      </c>
      <c r="C1993" s="8" t="s">
        <v>5050</v>
      </c>
      <c r="D1993" s="8" t="s">
        <v>5051</v>
      </c>
      <c r="E1993" s="8" t="s">
        <v>530</v>
      </c>
      <c r="F1993" s="8" t="s">
        <v>5052</v>
      </c>
    </row>
    <row r="1994" customHeight="1" spans="1:6">
      <c r="A1994" s="6">
        <v>1993</v>
      </c>
      <c r="B1994" s="8" t="s">
        <v>5049</v>
      </c>
      <c r="C1994" s="8" t="s">
        <v>5050</v>
      </c>
      <c r="D1994" s="8" t="s">
        <v>5051</v>
      </c>
      <c r="E1994" s="8" t="s">
        <v>530</v>
      </c>
      <c r="F1994" s="8" t="s">
        <v>5052</v>
      </c>
    </row>
    <row r="1995" customHeight="1" spans="1:6">
      <c r="A1995" s="6">
        <v>1994</v>
      </c>
      <c r="B1995" s="8" t="s">
        <v>5053</v>
      </c>
      <c r="C1995" s="8" t="s">
        <v>5054</v>
      </c>
      <c r="D1995" s="8" t="s">
        <v>5055</v>
      </c>
      <c r="E1995" s="8" t="s">
        <v>5039</v>
      </c>
      <c r="F1995" s="8" t="s">
        <v>5056</v>
      </c>
    </row>
    <row r="1996" customHeight="1" spans="1:6">
      <c r="A1996" s="6">
        <v>1995</v>
      </c>
      <c r="B1996" s="8" t="s">
        <v>5053</v>
      </c>
      <c r="C1996" s="8" t="s">
        <v>5054</v>
      </c>
      <c r="D1996" s="8" t="s">
        <v>5055</v>
      </c>
      <c r="E1996" s="8" t="s">
        <v>5039</v>
      </c>
      <c r="F1996" s="8" t="s">
        <v>5056</v>
      </c>
    </row>
    <row r="1997" customHeight="1" spans="1:6">
      <c r="A1997" s="6">
        <v>1996</v>
      </c>
      <c r="B1997" s="8" t="s">
        <v>5057</v>
      </c>
      <c r="C1997" s="8" t="s">
        <v>5058</v>
      </c>
      <c r="D1997" s="8" t="s">
        <v>5059</v>
      </c>
      <c r="E1997" s="8" t="s">
        <v>48</v>
      </c>
      <c r="F1997" s="8" t="s">
        <v>5060</v>
      </c>
    </row>
    <row r="1998" customHeight="1" spans="1:6">
      <c r="A1998" s="6">
        <v>1997</v>
      </c>
      <c r="B1998" s="8" t="s">
        <v>5057</v>
      </c>
      <c r="C1998" s="8" t="s">
        <v>5058</v>
      </c>
      <c r="D1998" s="8" t="s">
        <v>5059</v>
      </c>
      <c r="E1998" s="8" t="s">
        <v>48</v>
      </c>
      <c r="F1998" s="8" t="s">
        <v>5060</v>
      </c>
    </row>
    <row r="1999" customHeight="1" spans="1:6">
      <c r="A1999" s="6">
        <v>1998</v>
      </c>
      <c r="B1999" s="7" t="str">
        <f>"978-7-5763-0073-4"</f>
        <v>978-7-5763-0073-4</v>
      </c>
      <c r="C1999" s="7" t="str">
        <f>"数字经济与5G新商机"</f>
        <v>数字经济与5G新商机</v>
      </c>
      <c r="D1999" s="7" t="str">
        <f>"彭昭著"</f>
        <v>彭昭著</v>
      </c>
      <c r="E1999" s="7" t="str">
        <f>"北京理工大学出版社"</f>
        <v>北京理工大学出版社</v>
      </c>
      <c r="F1999" s="7" t="str">
        <f>"F492/52"</f>
        <v>F492/52</v>
      </c>
    </row>
    <row r="2000" customHeight="1" spans="1:6">
      <c r="A2000" s="6">
        <v>1999</v>
      </c>
      <c r="B2000" s="7" t="str">
        <f>"978-7-5763-0073-4"</f>
        <v>978-7-5763-0073-4</v>
      </c>
      <c r="C2000" s="7" t="str">
        <f>"数字经济与5G新商机"</f>
        <v>数字经济与5G新商机</v>
      </c>
      <c r="D2000" s="7" t="str">
        <f>"彭昭著"</f>
        <v>彭昭著</v>
      </c>
      <c r="E2000" s="7" t="str">
        <f>"北京理工大学出版社"</f>
        <v>北京理工大学出版社</v>
      </c>
      <c r="F2000" s="7" t="str">
        <f>"F492/52"</f>
        <v>F492/52</v>
      </c>
    </row>
    <row r="2001" customHeight="1" spans="1:6">
      <c r="A2001" s="6">
        <v>2000</v>
      </c>
      <c r="B2001" s="7" t="str">
        <f>"978-7-5225-0182-6"</f>
        <v>978-7-5225-0182-6</v>
      </c>
      <c r="C2001" s="7" t="str">
        <f>"数字经济：从数字到智慧的升级路径"</f>
        <v>数字经济：从数字到智慧的升级路径</v>
      </c>
      <c r="D2001" s="7" t="str">
        <f>"严谨著"</f>
        <v>严谨著</v>
      </c>
      <c r="E2001" s="7" t="str">
        <f>"九州出版社"</f>
        <v>九州出版社</v>
      </c>
      <c r="F2001" s="7" t="str">
        <f>"F492/53"</f>
        <v>F492/53</v>
      </c>
    </row>
    <row r="2002" customHeight="1" spans="1:6">
      <c r="A2002" s="6">
        <v>2001</v>
      </c>
      <c r="B2002" s="7" t="str">
        <f>"978-7-5225-0182-6"</f>
        <v>978-7-5225-0182-6</v>
      </c>
      <c r="C2002" s="7" t="str">
        <f>"数字经济：从数字到智慧的升级路径"</f>
        <v>数字经济：从数字到智慧的升级路径</v>
      </c>
      <c r="D2002" s="7" t="str">
        <f>"严谨著"</f>
        <v>严谨著</v>
      </c>
      <c r="E2002" s="7" t="str">
        <f>"九州出版社"</f>
        <v>九州出版社</v>
      </c>
      <c r="F2002" s="7" t="str">
        <f>"F492/53"</f>
        <v>F492/53</v>
      </c>
    </row>
    <row r="2003" customHeight="1" spans="1:6">
      <c r="A2003" s="6">
        <v>2002</v>
      </c>
      <c r="B2003" s="8" t="s">
        <v>5061</v>
      </c>
      <c r="C2003" s="8" t="s">
        <v>5062</v>
      </c>
      <c r="D2003" s="8" t="s">
        <v>5063</v>
      </c>
      <c r="E2003" s="8" t="s">
        <v>216</v>
      </c>
      <c r="F2003" s="8" t="s">
        <v>5064</v>
      </c>
    </row>
    <row r="2004" customHeight="1" spans="1:6">
      <c r="A2004" s="6">
        <v>2003</v>
      </c>
      <c r="B2004" s="8" t="s">
        <v>5061</v>
      </c>
      <c r="C2004" s="8" t="s">
        <v>5062</v>
      </c>
      <c r="D2004" s="8" t="s">
        <v>5063</v>
      </c>
      <c r="E2004" s="8" t="s">
        <v>216</v>
      </c>
      <c r="F2004" s="8" t="s">
        <v>5064</v>
      </c>
    </row>
    <row r="2005" customHeight="1" spans="1:6">
      <c r="A2005" s="6">
        <v>2004</v>
      </c>
      <c r="B2005" s="8" t="s">
        <v>5065</v>
      </c>
      <c r="C2005" s="8" t="s">
        <v>5066</v>
      </c>
      <c r="D2005" s="8" t="s">
        <v>5067</v>
      </c>
      <c r="E2005" s="8" t="s">
        <v>43</v>
      </c>
      <c r="F2005" s="8" t="s">
        <v>5068</v>
      </c>
    </row>
    <row r="2006" customHeight="1" spans="1:6">
      <c r="A2006" s="6">
        <v>2005</v>
      </c>
      <c r="B2006" s="8" t="s">
        <v>5065</v>
      </c>
      <c r="C2006" s="8" t="s">
        <v>5066</v>
      </c>
      <c r="D2006" s="8" t="s">
        <v>5067</v>
      </c>
      <c r="E2006" s="8" t="s">
        <v>43</v>
      </c>
      <c r="F2006" s="8" t="s">
        <v>5068</v>
      </c>
    </row>
    <row r="2007" customHeight="1" spans="1:6">
      <c r="A2007" s="6">
        <v>2006</v>
      </c>
      <c r="B2007" s="8" t="s">
        <v>5069</v>
      </c>
      <c r="C2007" s="8" t="s">
        <v>5070</v>
      </c>
      <c r="D2007" s="8" t="s">
        <v>5071</v>
      </c>
      <c r="E2007" s="8" t="s">
        <v>3146</v>
      </c>
      <c r="F2007" s="8" t="s">
        <v>5072</v>
      </c>
    </row>
    <row r="2008" customHeight="1" spans="1:6">
      <c r="A2008" s="6">
        <v>2007</v>
      </c>
      <c r="B2008" s="8" t="s">
        <v>5069</v>
      </c>
      <c r="C2008" s="8" t="s">
        <v>5070</v>
      </c>
      <c r="D2008" s="8" t="s">
        <v>5071</v>
      </c>
      <c r="E2008" s="8" t="s">
        <v>3146</v>
      </c>
      <c r="F2008" s="8" t="s">
        <v>5072</v>
      </c>
    </row>
    <row r="2009" customHeight="1" spans="1:6">
      <c r="A2009" s="6">
        <v>2008</v>
      </c>
      <c r="B2009" s="8" t="s">
        <v>5073</v>
      </c>
      <c r="C2009" s="8" t="s">
        <v>5074</v>
      </c>
      <c r="D2009" s="8" t="s">
        <v>5075</v>
      </c>
      <c r="E2009" s="8" t="s">
        <v>5076</v>
      </c>
      <c r="F2009" s="8" t="s">
        <v>5077</v>
      </c>
    </row>
    <row r="2010" customHeight="1" spans="1:6">
      <c r="A2010" s="6">
        <v>2009</v>
      </c>
      <c r="B2010" s="8" t="s">
        <v>5073</v>
      </c>
      <c r="C2010" s="8" t="s">
        <v>5074</v>
      </c>
      <c r="D2010" s="8" t="s">
        <v>5075</v>
      </c>
      <c r="E2010" s="8" t="s">
        <v>5076</v>
      </c>
      <c r="F2010" s="8" t="s">
        <v>5077</v>
      </c>
    </row>
    <row r="2011" customHeight="1" spans="1:6">
      <c r="A2011" s="6">
        <v>2010</v>
      </c>
      <c r="B2011" s="8" t="s">
        <v>5073</v>
      </c>
      <c r="C2011" s="8" t="s">
        <v>5074</v>
      </c>
      <c r="D2011" s="8" t="s">
        <v>5075</v>
      </c>
      <c r="E2011" s="8" t="s">
        <v>5076</v>
      </c>
      <c r="F2011" s="8" t="s">
        <v>5077</v>
      </c>
    </row>
    <row r="2012" customHeight="1" spans="1:6">
      <c r="A2012" s="6">
        <v>2011</v>
      </c>
      <c r="B2012" s="8" t="s">
        <v>5078</v>
      </c>
      <c r="C2012" s="8" t="s">
        <v>5079</v>
      </c>
      <c r="D2012" s="8" t="s">
        <v>5080</v>
      </c>
      <c r="E2012" s="8" t="s">
        <v>1145</v>
      </c>
      <c r="F2012" s="8" t="s">
        <v>5081</v>
      </c>
    </row>
    <row r="2013" customHeight="1" spans="1:6">
      <c r="A2013" s="6">
        <v>2012</v>
      </c>
      <c r="B2013" s="8" t="s">
        <v>5078</v>
      </c>
      <c r="C2013" s="8" t="s">
        <v>5079</v>
      </c>
      <c r="D2013" s="8" t="s">
        <v>5080</v>
      </c>
      <c r="E2013" s="8" t="s">
        <v>1145</v>
      </c>
      <c r="F2013" s="8" t="s">
        <v>5081</v>
      </c>
    </row>
    <row r="2014" customHeight="1" spans="1:6">
      <c r="A2014" s="6">
        <v>2013</v>
      </c>
      <c r="B2014" s="8" t="s">
        <v>5082</v>
      </c>
      <c r="C2014" s="8" t="s">
        <v>5083</v>
      </c>
      <c r="D2014" s="8" t="s">
        <v>5084</v>
      </c>
      <c r="E2014" s="8" t="s">
        <v>2790</v>
      </c>
      <c r="F2014" s="8" t="s">
        <v>5085</v>
      </c>
    </row>
    <row r="2015" customHeight="1" spans="1:6">
      <c r="A2015" s="6">
        <v>2014</v>
      </c>
      <c r="B2015" s="8" t="s">
        <v>5082</v>
      </c>
      <c r="C2015" s="8" t="s">
        <v>5083</v>
      </c>
      <c r="D2015" s="8" t="s">
        <v>5084</v>
      </c>
      <c r="E2015" s="8" t="s">
        <v>2790</v>
      </c>
      <c r="F2015" s="8" t="s">
        <v>5085</v>
      </c>
    </row>
    <row r="2016" customHeight="1" spans="1:6">
      <c r="A2016" s="6">
        <v>2015</v>
      </c>
      <c r="B2016" s="8" t="s">
        <v>5086</v>
      </c>
      <c r="C2016" s="8" t="s">
        <v>5087</v>
      </c>
      <c r="D2016" s="8" t="s">
        <v>5088</v>
      </c>
      <c r="E2016" s="8" t="s">
        <v>43</v>
      </c>
      <c r="F2016" s="8" t="s">
        <v>5089</v>
      </c>
    </row>
    <row r="2017" customHeight="1" spans="1:6">
      <c r="A2017" s="6">
        <v>2016</v>
      </c>
      <c r="B2017" s="8" t="s">
        <v>5086</v>
      </c>
      <c r="C2017" s="8" t="s">
        <v>5087</v>
      </c>
      <c r="D2017" s="8" t="s">
        <v>5088</v>
      </c>
      <c r="E2017" s="8" t="s">
        <v>43</v>
      </c>
      <c r="F2017" s="8" t="s">
        <v>5089</v>
      </c>
    </row>
    <row r="2018" customHeight="1" spans="1:6">
      <c r="A2018" s="6">
        <v>2017</v>
      </c>
      <c r="B2018" s="7" t="str">
        <f>"978-7-5217-2330-4"</f>
        <v>978-7-5217-2330-4</v>
      </c>
      <c r="C2018" s="7" t="str">
        <f>"DK铁路史：火车、工程师与工业文明的故事"</f>
        <v>DK铁路史：火车、工程师与工业文明的故事</v>
      </c>
      <c r="D2018" s="7" t="str">
        <f>"(英) 克里斯蒂安·沃尔玛尔著Christian Wolmar；陈帅译"</f>
        <v>(英) 克里斯蒂安·沃尔玛尔著Christian Wolmar；陈帅译</v>
      </c>
      <c r="E2018" s="7" t="str">
        <f>"中信出版集团股份有限公司"</f>
        <v>中信出版集团股份有限公司</v>
      </c>
      <c r="F2018" s="7" t="str">
        <f>"F531.9/3"</f>
        <v>F531.9/3</v>
      </c>
    </row>
    <row r="2019" customHeight="1" spans="1:6">
      <c r="A2019" s="6">
        <v>2018</v>
      </c>
      <c r="B2019" s="7" t="str">
        <f>"978-7-5217-2330-4"</f>
        <v>978-7-5217-2330-4</v>
      </c>
      <c r="C2019" s="7" t="str">
        <f>"DK铁路史：火车、工程师与工业文明的故事"</f>
        <v>DK铁路史：火车、工程师与工业文明的故事</v>
      </c>
      <c r="D2019" s="7" t="str">
        <f>"(英) 克里斯蒂安·沃尔玛尔著Christian Wolmar；陈帅译"</f>
        <v>(英) 克里斯蒂安·沃尔玛尔著Christian Wolmar；陈帅译</v>
      </c>
      <c r="E2019" s="7" t="str">
        <f>"中信出版集团股份有限公司"</f>
        <v>中信出版集团股份有限公司</v>
      </c>
      <c r="F2019" s="7" t="str">
        <f>"F531.9/3"</f>
        <v>F531.9/3</v>
      </c>
    </row>
    <row r="2020" customHeight="1" spans="1:6">
      <c r="A2020" s="6">
        <v>2019</v>
      </c>
      <c r="B2020" s="8" t="s">
        <v>5090</v>
      </c>
      <c r="C2020" s="8" t="s">
        <v>5091</v>
      </c>
      <c r="D2020" s="8" t="s">
        <v>5092</v>
      </c>
      <c r="E2020" s="8" t="s">
        <v>5093</v>
      </c>
      <c r="F2020" s="8" t="s">
        <v>5094</v>
      </c>
    </row>
    <row r="2021" customHeight="1" spans="1:6">
      <c r="A2021" s="6">
        <v>2020</v>
      </c>
      <c r="B2021" s="8" t="s">
        <v>5090</v>
      </c>
      <c r="C2021" s="8" t="s">
        <v>5091</v>
      </c>
      <c r="D2021" s="8" t="s">
        <v>5092</v>
      </c>
      <c r="E2021" s="8" t="s">
        <v>5093</v>
      </c>
      <c r="F2021" s="8" t="s">
        <v>5094</v>
      </c>
    </row>
    <row r="2022" customHeight="1" spans="1:6">
      <c r="A2022" s="6">
        <v>2021</v>
      </c>
      <c r="B2022" s="8" t="s">
        <v>5095</v>
      </c>
      <c r="C2022" s="8" t="s">
        <v>5096</v>
      </c>
      <c r="D2022" s="8" t="s">
        <v>5097</v>
      </c>
      <c r="E2022" s="8" t="s">
        <v>5098</v>
      </c>
      <c r="F2022" s="8" t="s">
        <v>5099</v>
      </c>
    </row>
    <row r="2023" customHeight="1" spans="1:6">
      <c r="A2023" s="6">
        <v>2022</v>
      </c>
      <c r="B2023" s="8" t="s">
        <v>5095</v>
      </c>
      <c r="C2023" s="8" t="s">
        <v>5096</v>
      </c>
      <c r="D2023" s="8" t="s">
        <v>5097</v>
      </c>
      <c r="E2023" s="8" t="s">
        <v>5098</v>
      </c>
      <c r="F2023" s="8" t="s">
        <v>5099</v>
      </c>
    </row>
    <row r="2024" customHeight="1" spans="1:6">
      <c r="A2024" s="6">
        <v>2023</v>
      </c>
      <c r="B2024" s="8" t="s">
        <v>5100</v>
      </c>
      <c r="C2024" s="8" t="s">
        <v>5101</v>
      </c>
      <c r="D2024" s="8" t="s">
        <v>5102</v>
      </c>
      <c r="E2024" s="8" t="s">
        <v>283</v>
      </c>
      <c r="F2024" s="8" t="s">
        <v>5103</v>
      </c>
    </row>
    <row r="2025" customHeight="1" spans="1:6">
      <c r="A2025" s="6">
        <v>2024</v>
      </c>
      <c r="B2025" s="8" t="s">
        <v>5100</v>
      </c>
      <c r="C2025" s="8" t="s">
        <v>5101</v>
      </c>
      <c r="D2025" s="8" t="s">
        <v>5102</v>
      </c>
      <c r="E2025" s="8" t="s">
        <v>283</v>
      </c>
      <c r="F2025" s="8" t="s">
        <v>5103</v>
      </c>
    </row>
    <row r="2026" customHeight="1" spans="1:6">
      <c r="A2026" s="6">
        <v>2025</v>
      </c>
      <c r="B2026" s="8" t="s">
        <v>5104</v>
      </c>
      <c r="C2026" s="8" t="s">
        <v>5105</v>
      </c>
      <c r="D2026" s="8" t="s">
        <v>5106</v>
      </c>
      <c r="E2026" s="8" t="s">
        <v>1342</v>
      </c>
      <c r="F2026" s="8" t="s">
        <v>5107</v>
      </c>
    </row>
    <row r="2027" customHeight="1" spans="1:6">
      <c r="A2027" s="6">
        <v>2026</v>
      </c>
      <c r="B2027" s="8" t="s">
        <v>5104</v>
      </c>
      <c r="C2027" s="8" t="s">
        <v>5105</v>
      </c>
      <c r="D2027" s="8" t="s">
        <v>5106</v>
      </c>
      <c r="E2027" s="8" t="s">
        <v>1342</v>
      </c>
      <c r="F2027" s="8" t="s">
        <v>5107</v>
      </c>
    </row>
    <row r="2028" customHeight="1" spans="1:6">
      <c r="A2028" s="6">
        <v>2027</v>
      </c>
      <c r="B2028" s="8" t="s">
        <v>5108</v>
      </c>
      <c r="C2028" s="8" t="s">
        <v>5109</v>
      </c>
      <c r="D2028" s="8" t="s">
        <v>5106</v>
      </c>
      <c r="E2028" s="8" t="s">
        <v>1342</v>
      </c>
      <c r="F2028" s="8" t="s">
        <v>5110</v>
      </c>
    </row>
    <row r="2029" customHeight="1" spans="1:6">
      <c r="A2029" s="6">
        <v>2028</v>
      </c>
      <c r="B2029" s="8" t="s">
        <v>5108</v>
      </c>
      <c r="C2029" s="8" t="s">
        <v>5109</v>
      </c>
      <c r="D2029" s="8" t="s">
        <v>5106</v>
      </c>
      <c r="E2029" s="8" t="s">
        <v>1342</v>
      </c>
      <c r="F2029" s="8" t="s">
        <v>5110</v>
      </c>
    </row>
    <row r="2030" customHeight="1" spans="1:6">
      <c r="A2030" s="6">
        <v>2029</v>
      </c>
      <c r="B2030" s="8" t="s">
        <v>5111</v>
      </c>
      <c r="C2030" s="8" t="s">
        <v>5112</v>
      </c>
      <c r="D2030" s="8" t="s">
        <v>5113</v>
      </c>
      <c r="E2030" s="8" t="s">
        <v>5114</v>
      </c>
      <c r="F2030" s="8" t="s">
        <v>5115</v>
      </c>
    </row>
    <row r="2031" customHeight="1" spans="1:6">
      <c r="A2031" s="6">
        <v>2030</v>
      </c>
      <c r="B2031" s="8" t="s">
        <v>5111</v>
      </c>
      <c r="C2031" s="8" t="s">
        <v>5112</v>
      </c>
      <c r="D2031" s="8" t="s">
        <v>5113</v>
      </c>
      <c r="E2031" s="8" t="s">
        <v>5114</v>
      </c>
      <c r="F2031" s="8" t="s">
        <v>5115</v>
      </c>
    </row>
    <row r="2032" customHeight="1" spans="1:6">
      <c r="A2032" s="6">
        <v>2031</v>
      </c>
      <c r="B2032" s="8" t="s">
        <v>5111</v>
      </c>
      <c r="C2032" s="8" t="s">
        <v>5112</v>
      </c>
      <c r="D2032" s="8" t="s">
        <v>5113</v>
      </c>
      <c r="E2032" s="8" t="s">
        <v>5114</v>
      </c>
      <c r="F2032" s="8" t="s">
        <v>5115</v>
      </c>
    </row>
    <row r="2033" customHeight="1" spans="1:6">
      <c r="A2033" s="6">
        <v>2032</v>
      </c>
      <c r="B2033" s="8" t="s">
        <v>5116</v>
      </c>
      <c r="C2033" s="8" t="s">
        <v>5117</v>
      </c>
      <c r="D2033" s="8" t="s">
        <v>5118</v>
      </c>
      <c r="E2033" s="8" t="s">
        <v>197</v>
      </c>
      <c r="F2033" s="8" t="s">
        <v>5119</v>
      </c>
    </row>
    <row r="2034" customHeight="1" spans="1:6">
      <c r="A2034" s="6">
        <v>2033</v>
      </c>
      <c r="B2034" s="8" t="s">
        <v>5116</v>
      </c>
      <c r="C2034" s="8" t="s">
        <v>5117</v>
      </c>
      <c r="D2034" s="8" t="s">
        <v>5118</v>
      </c>
      <c r="E2034" s="8" t="s">
        <v>197</v>
      </c>
      <c r="F2034" s="8" t="s">
        <v>5119</v>
      </c>
    </row>
    <row r="2035" customHeight="1" spans="1:6">
      <c r="A2035" s="6">
        <v>2034</v>
      </c>
      <c r="B2035" s="8" t="s">
        <v>5120</v>
      </c>
      <c r="C2035" s="8" t="s">
        <v>5121</v>
      </c>
      <c r="D2035" s="8" t="s">
        <v>5122</v>
      </c>
      <c r="E2035" s="8" t="s">
        <v>2337</v>
      </c>
      <c r="F2035" s="8" t="s">
        <v>5123</v>
      </c>
    </row>
    <row r="2036" customHeight="1" spans="1:6">
      <c r="A2036" s="6">
        <v>2035</v>
      </c>
      <c r="B2036" s="8" t="s">
        <v>5120</v>
      </c>
      <c r="C2036" s="8" t="s">
        <v>5121</v>
      </c>
      <c r="D2036" s="8" t="s">
        <v>5122</v>
      </c>
      <c r="E2036" s="8" t="s">
        <v>2337</v>
      </c>
      <c r="F2036" s="8" t="s">
        <v>5123</v>
      </c>
    </row>
    <row r="2037" customHeight="1" spans="1:6">
      <c r="A2037" s="6">
        <v>2036</v>
      </c>
      <c r="B2037" s="8" t="s">
        <v>5124</v>
      </c>
      <c r="C2037" s="8" t="s">
        <v>5125</v>
      </c>
      <c r="D2037" s="8" t="s">
        <v>5126</v>
      </c>
      <c r="E2037" s="8" t="s">
        <v>5127</v>
      </c>
      <c r="F2037" s="8" t="s">
        <v>5128</v>
      </c>
    </row>
    <row r="2038" customHeight="1" spans="1:6">
      <c r="A2038" s="6">
        <v>2037</v>
      </c>
      <c r="B2038" s="8" t="s">
        <v>5124</v>
      </c>
      <c r="C2038" s="8" t="s">
        <v>5125</v>
      </c>
      <c r="D2038" s="8" t="s">
        <v>5126</v>
      </c>
      <c r="E2038" s="8" t="s">
        <v>5127</v>
      </c>
      <c r="F2038" s="8" t="s">
        <v>5128</v>
      </c>
    </row>
    <row r="2039" customHeight="1" spans="1:6">
      <c r="A2039" s="6">
        <v>2038</v>
      </c>
      <c r="B2039" s="8" t="s">
        <v>5124</v>
      </c>
      <c r="C2039" s="8" t="s">
        <v>5125</v>
      </c>
      <c r="D2039" s="8" t="s">
        <v>5126</v>
      </c>
      <c r="E2039" s="8" t="s">
        <v>5127</v>
      </c>
      <c r="F2039" s="8" t="s">
        <v>5128</v>
      </c>
    </row>
    <row r="2040" customHeight="1" spans="1:6">
      <c r="A2040" s="6">
        <v>2039</v>
      </c>
      <c r="B2040" s="8" t="s">
        <v>5129</v>
      </c>
      <c r="C2040" s="8" t="s">
        <v>5130</v>
      </c>
      <c r="D2040" s="8" t="s">
        <v>5131</v>
      </c>
      <c r="E2040" s="8" t="s">
        <v>48</v>
      </c>
      <c r="F2040" s="8" t="s">
        <v>5132</v>
      </c>
    </row>
    <row r="2041" customHeight="1" spans="1:6">
      <c r="A2041" s="6">
        <v>2040</v>
      </c>
      <c r="B2041" s="8" t="s">
        <v>5129</v>
      </c>
      <c r="C2041" s="8" t="s">
        <v>5130</v>
      </c>
      <c r="D2041" s="8" t="s">
        <v>5131</v>
      </c>
      <c r="E2041" s="8" t="s">
        <v>48</v>
      </c>
      <c r="F2041" s="8" t="s">
        <v>5132</v>
      </c>
    </row>
    <row r="2042" customHeight="1" spans="1:6">
      <c r="A2042" s="6">
        <v>2041</v>
      </c>
      <c r="B2042" s="8" t="s">
        <v>5133</v>
      </c>
      <c r="C2042" s="8" t="s">
        <v>5134</v>
      </c>
      <c r="D2042" s="8" t="s">
        <v>5135</v>
      </c>
      <c r="E2042" s="8" t="s">
        <v>5127</v>
      </c>
      <c r="F2042" s="8" t="s">
        <v>5136</v>
      </c>
    </row>
    <row r="2043" customHeight="1" spans="1:6">
      <c r="A2043" s="6">
        <v>2042</v>
      </c>
      <c r="B2043" s="8" t="s">
        <v>5133</v>
      </c>
      <c r="C2043" s="8" t="s">
        <v>5134</v>
      </c>
      <c r="D2043" s="8" t="s">
        <v>5135</v>
      </c>
      <c r="E2043" s="8" t="s">
        <v>5127</v>
      </c>
      <c r="F2043" s="8" t="s">
        <v>5136</v>
      </c>
    </row>
    <row r="2044" customHeight="1" spans="1:6">
      <c r="A2044" s="6">
        <v>2043</v>
      </c>
      <c r="B2044" s="8" t="s">
        <v>5133</v>
      </c>
      <c r="C2044" s="8" t="s">
        <v>5134</v>
      </c>
      <c r="D2044" s="8" t="s">
        <v>5135</v>
      </c>
      <c r="E2044" s="8" t="s">
        <v>5127</v>
      </c>
      <c r="F2044" s="8" t="s">
        <v>5136</v>
      </c>
    </row>
    <row r="2045" customHeight="1" spans="1:6">
      <c r="A2045" s="6">
        <v>2044</v>
      </c>
      <c r="B2045" s="8" t="s">
        <v>5137</v>
      </c>
      <c r="C2045" s="8" t="s">
        <v>5138</v>
      </c>
      <c r="D2045" s="8" t="s">
        <v>5139</v>
      </c>
      <c r="E2045" s="8" t="s">
        <v>2267</v>
      </c>
      <c r="F2045" s="8" t="s">
        <v>5140</v>
      </c>
    </row>
    <row r="2046" customHeight="1" spans="1:6">
      <c r="A2046" s="6">
        <v>2045</v>
      </c>
      <c r="B2046" s="8" t="s">
        <v>5137</v>
      </c>
      <c r="C2046" s="8" t="s">
        <v>5138</v>
      </c>
      <c r="D2046" s="8" t="s">
        <v>5139</v>
      </c>
      <c r="E2046" s="8" t="s">
        <v>2267</v>
      </c>
      <c r="F2046" s="8" t="s">
        <v>5140</v>
      </c>
    </row>
    <row r="2047" customHeight="1" spans="1:6">
      <c r="A2047" s="6">
        <v>2046</v>
      </c>
      <c r="B2047" s="8" t="s">
        <v>5141</v>
      </c>
      <c r="C2047" s="8" t="s">
        <v>5142</v>
      </c>
      <c r="D2047" s="8" t="s">
        <v>5143</v>
      </c>
      <c r="E2047" s="8" t="s">
        <v>1617</v>
      </c>
      <c r="F2047" s="8" t="s">
        <v>5144</v>
      </c>
    </row>
    <row r="2048" customHeight="1" spans="1:6">
      <c r="A2048" s="6">
        <v>2047</v>
      </c>
      <c r="B2048" s="8" t="s">
        <v>5141</v>
      </c>
      <c r="C2048" s="8" t="s">
        <v>5142</v>
      </c>
      <c r="D2048" s="8" t="s">
        <v>5143</v>
      </c>
      <c r="E2048" s="8" t="s">
        <v>1617</v>
      </c>
      <c r="F2048" s="8" t="s">
        <v>5144</v>
      </c>
    </row>
    <row r="2049" customHeight="1" spans="1:6">
      <c r="A2049" s="6">
        <v>2048</v>
      </c>
      <c r="B2049" s="8" t="s">
        <v>5145</v>
      </c>
      <c r="C2049" s="8" t="s">
        <v>5146</v>
      </c>
      <c r="D2049" s="8" t="s">
        <v>5147</v>
      </c>
      <c r="E2049" s="8" t="s">
        <v>571</v>
      </c>
      <c r="F2049" s="8" t="s">
        <v>5148</v>
      </c>
    </row>
    <row r="2050" customHeight="1" spans="1:6">
      <c r="A2050" s="6">
        <v>2049</v>
      </c>
      <c r="B2050" s="8" t="s">
        <v>5145</v>
      </c>
      <c r="C2050" s="8" t="s">
        <v>5146</v>
      </c>
      <c r="D2050" s="8" t="s">
        <v>5147</v>
      </c>
      <c r="E2050" s="8" t="s">
        <v>571</v>
      </c>
      <c r="F2050" s="8" t="s">
        <v>5148</v>
      </c>
    </row>
    <row r="2051" customHeight="1" spans="1:6">
      <c r="A2051" s="6">
        <v>2050</v>
      </c>
      <c r="B2051" s="8" t="s">
        <v>5149</v>
      </c>
      <c r="C2051" s="8" t="s">
        <v>5150</v>
      </c>
      <c r="D2051" s="8" t="s">
        <v>5151</v>
      </c>
      <c r="E2051" s="8" t="s">
        <v>5152</v>
      </c>
      <c r="F2051" s="8" t="s">
        <v>5153</v>
      </c>
    </row>
    <row r="2052" customHeight="1" spans="1:6">
      <c r="A2052" s="6">
        <v>2051</v>
      </c>
      <c r="B2052" s="8" t="s">
        <v>5149</v>
      </c>
      <c r="C2052" s="8" t="s">
        <v>5150</v>
      </c>
      <c r="D2052" s="8" t="s">
        <v>5151</v>
      </c>
      <c r="E2052" s="8" t="s">
        <v>5152</v>
      </c>
      <c r="F2052" s="8" t="s">
        <v>5153</v>
      </c>
    </row>
    <row r="2053" customHeight="1" spans="1:6">
      <c r="A2053" s="6">
        <v>2052</v>
      </c>
      <c r="B2053" s="8" t="s">
        <v>5154</v>
      </c>
      <c r="C2053" s="8" t="s">
        <v>5146</v>
      </c>
      <c r="D2053" s="8" t="s">
        <v>5155</v>
      </c>
      <c r="E2053" s="8" t="s">
        <v>438</v>
      </c>
      <c r="F2053" s="8" t="s">
        <v>5156</v>
      </c>
    </row>
    <row r="2054" customHeight="1" spans="1:6">
      <c r="A2054" s="6">
        <v>2053</v>
      </c>
      <c r="B2054" s="8" t="s">
        <v>5154</v>
      </c>
      <c r="C2054" s="8" t="s">
        <v>5146</v>
      </c>
      <c r="D2054" s="8" t="s">
        <v>5155</v>
      </c>
      <c r="E2054" s="8" t="s">
        <v>438</v>
      </c>
      <c r="F2054" s="8" t="s">
        <v>5156</v>
      </c>
    </row>
    <row r="2055" customHeight="1" spans="1:6">
      <c r="A2055" s="6">
        <v>2054</v>
      </c>
      <c r="B2055" s="8" t="s">
        <v>5157</v>
      </c>
      <c r="C2055" s="8" t="s">
        <v>5158</v>
      </c>
      <c r="D2055" s="8" t="s">
        <v>5159</v>
      </c>
      <c r="E2055" s="8" t="s">
        <v>530</v>
      </c>
      <c r="F2055" s="8" t="s">
        <v>5160</v>
      </c>
    </row>
    <row r="2056" customHeight="1" spans="1:6">
      <c r="A2056" s="6">
        <v>2055</v>
      </c>
      <c r="B2056" s="8" t="s">
        <v>5157</v>
      </c>
      <c r="C2056" s="8" t="s">
        <v>5158</v>
      </c>
      <c r="D2056" s="8" t="s">
        <v>5159</v>
      </c>
      <c r="E2056" s="8" t="s">
        <v>530</v>
      </c>
      <c r="F2056" s="8" t="s">
        <v>5160</v>
      </c>
    </row>
    <row r="2057" customHeight="1" spans="1:6">
      <c r="A2057" s="6">
        <v>2056</v>
      </c>
      <c r="B2057" s="8" t="s">
        <v>5161</v>
      </c>
      <c r="C2057" s="8" t="s">
        <v>5162</v>
      </c>
      <c r="D2057" s="8" t="s">
        <v>5163</v>
      </c>
      <c r="E2057" s="8" t="s">
        <v>530</v>
      </c>
      <c r="F2057" s="8" t="s">
        <v>5164</v>
      </c>
    </row>
    <row r="2058" customHeight="1" spans="1:6">
      <c r="A2058" s="6">
        <v>2057</v>
      </c>
      <c r="B2058" s="8" t="s">
        <v>5161</v>
      </c>
      <c r="C2058" s="8" t="s">
        <v>5162</v>
      </c>
      <c r="D2058" s="8" t="s">
        <v>5163</v>
      </c>
      <c r="E2058" s="8" t="s">
        <v>530</v>
      </c>
      <c r="F2058" s="8" t="s">
        <v>5164</v>
      </c>
    </row>
    <row r="2059" customHeight="1" spans="1:6">
      <c r="A2059" s="6">
        <v>2058</v>
      </c>
      <c r="B2059" s="8" t="s">
        <v>5165</v>
      </c>
      <c r="C2059" s="8" t="s">
        <v>5166</v>
      </c>
      <c r="D2059" s="8" t="s">
        <v>5167</v>
      </c>
      <c r="E2059" s="8" t="s">
        <v>530</v>
      </c>
      <c r="F2059" s="8" t="s">
        <v>5168</v>
      </c>
    </row>
    <row r="2060" customHeight="1" spans="1:6">
      <c r="A2060" s="6">
        <v>2059</v>
      </c>
      <c r="B2060" s="8" t="s">
        <v>5165</v>
      </c>
      <c r="C2060" s="8" t="s">
        <v>5166</v>
      </c>
      <c r="D2060" s="8" t="s">
        <v>5167</v>
      </c>
      <c r="E2060" s="8" t="s">
        <v>530</v>
      </c>
      <c r="F2060" s="8" t="s">
        <v>5168</v>
      </c>
    </row>
    <row r="2061" customHeight="1" spans="1:6">
      <c r="A2061" s="6">
        <v>2060</v>
      </c>
      <c r="B2061" s="8" t="s">
        <v>5169</v>
      </c>
      <c r="C2061" s="8" t="s">
        <v>5170</v>
      </c>
      <c r="D2061" s="8" t="s">
        <v>5171</v>
      </c>
      <c r="E2061" s="8" t="s">
        <v>571</v>
      </c>
      <c r="F2061" s="8" t="s">
        <v>5172</v>
      </c>
    </row>
    <row r="2062" customHeight="1" spans="1:6">
      <c r="A2062" s="6">
        <v>2061</v>
      </c>
      <c r="B2062" s="8" t="s">
        <v>5169</v>
      </c>
      <c r="C2062" s="8" t="s">
        <v>5170</v>
      </c>
      <c r="D2062" s="8" t="s">
        <v>5171</v>
      </c>
      <c r="E2062" s="8" t="s">
        <v>571</v>
      </c>
      <c r="F2062" s="8" t="s">
        <v>5172</v>
      </c>
    </row>
    <row r="2063" customHeight="1" spans="1:6">
      <c r="A2063" s="6">
        <v>2062</v>
      </c>
      <c r="B2063" s="8" t="s">
        <v>5173</v>
      </c>
      <c r="C2063" s="8" t="s">
        <v>5174</v>
      </c>
      <c r="D2063" s="8" t="s">
        <v>5175</v>
      </c>
      <c r="E2063" s="8" t="s">
        <v>288</v>
      </c>
      <c r="F2063" s="8" t="s">
        <v>5176</v>
      </c>
    </row>
    <row r="2064" customHeight="1" spans="1:6">
      <c r="A2064" s="6">
        <v>2063</v>
      </c>
      <c r="B2064" s="8" t="s">
        <v>5173</v>
      </c>
      <c r="C2064" s="8" t="s">
        <v>5174</v>
      </c>
      <c r="D2064" s="8" t="s">
        <v>5175</v>
      </c>
      <c r="E2064" s="8" t="s">
        <v>288</v>
      </c>
      <c r="F2064" s="8" t="s">
        <v>5176</v>
      </c>
    </row>
    <row r="2065" customHeight="1" spans="1:6">
      <c r="A2065" s="6">
        <v>2064</v>
      </c>
      <c r="B2065" s="7" t="str">
        <f t="shared" ref="B2065:B2067" si="138">"978-7-111-68859-4"</f>
        <v>978-7-111-68859-4</v>
      </c>
      <c r="C2065" s="7" t="str">
        <f t="shared" ref="C2065:C2067" si="139">"旅游市场营销学"</f>
        <v>旅游市场营销学</v>
      </c>
      <c r="D2065" s="7" t="str">
        <f t="shared" ref="D2065:D2067" si="140">"主编鲍富元"</f>
        <v>主编鲍富元</v>
      </c>
      <c r="E2065" s="7" t="str">
        <f t="shared" ref="E2065:E2067" si="141">"机械工业出版社"</f>
        <v>机械工业出版社</v>
      </c>
      <c r="F2065" s="7" t="str">
        <f t="shared" ref="F2065:F2067" si="142">"F590.8/66=2D"</f>
        <v>F590.8/66=2D</v>
      </c>
    </row>
    <row r="2066" customHeight="1" spans="1:6">
      <c r="A2066" s="6">
        <v>2065</v>
      </c>
      <c r="B2066" s="7" t="str">
        <f t="shared" si="138"/>
        <v>978-7-111-68859-4</v>
      </c>
      <c r="C2066" s="7" t="str">
        <f t="shared" si="139"/>
        <v>旅游市场营销学</v>
      </c>
      <c r="D2066" s="7" t="str">
        <f t="shared" si="140"/>
        <v>主编鲍富元</v>
      </c>
      <c r="E2066" s="7" t="str">
        <f t="shared" si="141"/>
        <v>机械工业出版社</v>
      </c>
      <c r="F2066" s="7" t="str">
        <f t="shared" si="142"/>
        <v>F590.8/66=2D</v>
      </c>
    </row>
    <row r="2067" customHeight="1" spans="1:6">
      <c r="A2067" s="6">
        <v>2066</v>
      </c>
      <c r="B2067" s="7" t="str">
        <f t="shared" si="138"/>
        <v>978-7-111-68859-4</v>
      </c>
      <c r="C2067" s="7" t="str">
        <f t="shared" si="139"/>
        <v>旅游市场营销学</v>
      </c>
      <c r="D2067" s="7" t="str">
        <f t="shared" si="140"/>
        <v>主编鲍富元</v>
      </c>
      <c r="E2067" s="7" t="str">
        <f t="shared" si="141"/>
        <v>机械工业出版社</v>
      </c>
      <c r="F2067" s="7" t="str">
        <f t="shared" si="142"/>
        <v>F590.8/66=2D</v>
      </c>
    </row>
    <row r="2068" customHeight="1" spans="1:6">
      <c r="A2068" s="6">
        <v>2067</v>
      </c>
      <c r="B2068" s="7" t="str">
        <f t="shared" ref="B2068:B2070" si="143">"978-7-5504-4988-6"</f>
        <v>978-7-5504-4988-6</v>
      </c>
      <c r="C2068" s="7" t="str">
        <f t="shared" ref="C2068:C2070" si="144">"旅游市场营销"</f>
        <v>旅游市场营销</v>
      </c>
      <c r="D2068" s="7" t="str">
        <f t="shared" ref="D2068:D2070" si="145">"主编曹兴平"</f>
        <v>主编曹兴平</v>
      </c>
      <c r="E2068" s="7" t="str">
        <f t="shared" ref="E2068:E2070" si="146">"西南财经大学出版社"</f>
        <v>西南财经大学出版社</v>
      </c>
      <c r="F2068" s="7" t="str">
        <f t="shared" ref="F2068:F2070" si="147">"F590.82/27"</f>
        <v>F590.82/27</v>
      </c>
    </row>
    <row r="2069" customHeight="1" spans="1:6">
      <c r="A2069" s="6">
        <v>2068</v>
      </c>
      <c r="B2069" s="7" t="str">
        <f t="shared" si="143"/>
        <v>978-7-5504-4988-6</v>
      </c>
      <c r="C2069" s="7" t="str">
        <f t="shared" si="144"/>
        <v>旅游市场营销</v>
      </c>
      <c r="D2069" s="7" t="str">
        <f t="shared" si="145"/>
        <v>主编曹兴平</v>
      </c>
      <c r="E2069" s="7" t="str">
        <f t="shared" si="146"/>
        <v>西南财经大学出版社</v>
      </c>
      <c r="F2069" s="7" t="str">
        <f t="shared" si="147"/>
        <v>F590.82/27</v>
      </c>
    </row>
    <row r="2070" customHeight="1" spans="1:6">
      <c r="A2070" s="6">
        <v>2069</v>
      </c>
      <c r="B2070" s="7" t="str">
        <f t="shared" si="143"/>
        <v>978-7-5504-4988-6</v>
      </c>
      <c r="C2070" s="7" t="str">
        <f t="shared" si="144"/>
        <v>旅游市场营销</v>
      </c>
      <c r="D2070" s="7" t="str">
        <f t="shared" si="145"/>
        <v>主编曹兴平</v>
      </c>
      <c r="E2070" s="7" t="str">
        <f t="shared" si="146"/>
        <v>西南财经大学出版社</v>
      </c>
      <c r="F2070" s="7" t="str">
        <f t="shared" si="147"/>
        <v>F590.82/27</v>
      </c>
    </row>
    <row r="2071" customHeight="1" spans="1:6">
      <c r="A2071" s="6">
        <v>2070</v>
      </c>
      <c r="B2071" s="8" t="s">
        <v>5177</v>
      </c>
      <c r="C2071" s="8" t="s">
        <v>5178</v>
      </c>
      <c r="D2071" s="8" t="s">
        <v>5179</v>
      </c>
      <c r="E2071" s="8" t="s">
        <v>5180</v>
      </c>
      <c r="F2071" s="8" t="s">
        <v>5181</v>
      </c>
    </row>
    <row r="2072" customHeight="1" spans="1:6">
      <c r="A2072" s="6">
        <v>2071</v>
      </c>
      <c r="B2072" s="8" t="s">
        <v>5177</v>
      </c>
      <c r="C2072" s="8" t="s">
        <v>5178</v>
      </c>
      <c r="D2072" s="8" t="s">
        <v>5179</v>
      </c>
      <c r="E2072" s="8" t="s">
        <v>5180</v>
      </c>
      <c r="F2072" s="8" t="s">
        <v>5181</v>
      </c>
    </row>
    <row r="2073" customHeight="1" spans="1:6">
      <c r="A2073" s="6">
        <v>2072</v>
      </c>
      <c r="B2073" s="8" t="s">
        <v>5182</v>
      </c>
      <c r="C2073" s="8" t="s">
        <v>5183</v>
      </c>
      <c r="D2073" s="8" t="s">
        <v>5184</v>
      </c>
      <c r="E2073" s="8" t="s">
        <v>854</v>
      </c>
      <c r="F2073" s="8" t="s">
        <v>5185</v>
      </c>
    </row>
    <row r="2074" customHeight="1" spans="1:6">
      <c r="A2074" s="6">
        <v>2073</v>
      </c>
      <c r="B2074" s="8" t="s">
        <v>5182</v>
      </c>
      <c r="C2074" s="8" t="s">
        <v>5183</v>
      </c>
      <c r="D2074" s="8" t="s">
        <v>5184</v>
      </c>
      <c r="E2074" s="8" t="s">
        <v>854</v>
      </c>
      <c r="F2074" s="8" t="s">
        <v>5185</v>
      </c>
    </row>
    <row r="2075" customHeight="1" spans="1:6">
      <c r="A2075" s="6">
        <v>2074</v>
      </c>
      <c r="B2075" s="8" t="s">
        <v>5186</v>
      </c>
      <c r="C2075" s="8" t="s">
        <v>5187</v>
      </c>
      <c r="D2075" s="8" t="s">
        <v>5188</v>
      </c>
      <c r="E2075" s="8" t="s">
        <v>283</v>
      </c>
      <c r="F2075" s="8" t="s">
        <v>5189</v>
      </c>
    </row>
    <row r="2076" customHeight="1" spans="1:6">
      <c r="A2076" s="6">
        <v>2075</v>
      </c>
      <c r="B2076" s="8" t="s">
        <v>5186</v>
      </c>
      <c r="C2076" s="8" t="s">
        <v>5187</v>
      </c>
      <c r="D2076" s="8" t="s">
        <v>5188</v>
      </c>
      <c r="E2076" s="8" t="s">
        <v>283</v>
      </c>
      <c r="F2076" s="8" t="s">
        <v>5189</v>
      </c>
    </row>
    <row r="2077" customHeight="1" spans="1:6">
      <c r="A2077" s="6">
        <v>2076</v>
      </c>
      <c r="B2077" s="8" t="s">
        <v>5186</v>
      </c>
      <c r="C2077" s="8" t="s">
        <v>5187</v>
      </c>
      <c r="D2077" s="8" t="s">
        <v>5188</v>
      </c>
      <c r="E2077" s="8" t="s">
        <v>283</v>
      </c>
      <c r="F2077" s="8" t="s">
        <v>5189</v>
      </c>
    </row>
    <row r="2078" customHeight="1" spans="1:6">
      <c r="A2078" s="6">
        <v>2077</v>
      </c>
      <c r="B2078" s="8" t="s">
        <v>5190</v>
      </c>
      <c r="C2078" s="8" t="s">
        <v>5191</v>
      </c>
      <c r="D2078" s="8" t="s">
        <v>5192</v>
      </c>
      <c r="E2078" s="8" t="s">
        <v>576</v>
      </c>
      <c r="F2078" s="8" t="s">
        <v>5193</v>
      </c>
    </row>
    <row r="2079" customHeight="1" spans="1:6">
      <c r="A2079" s="6">
        <v>2078</v>
      </c>
      <c r="B2079" s="8" t="s">
        <v>5190</v>
      </c>
      <c r="C2079" s="8" t="s">
        <v>5191</v>
      </c>
      <c r="D2079" s="8" t="s">
        <v>5192</v>
      </c>
      <c r="E2079" s="8" t="s">
        <v>576</v>
      </c>
      <c r="F2079" s="8" t="s">
        <v>5193</v>
      </c>
    </row>
    <row r="2080" customHeight="1" spans="1:6">
      <c r="A2080" s="6">
        <v>2079</v>
      </c>
      <c r="B2080" s="8" t="s">
        <v>5190</v>
      </c>
      <c r="C2080" s="8" t="s">
        <v>5191</v>
      </c>
      <c r="D2080" s="8" t="s">
        <v>5192</v>
      </c>
      <c r="E2080" s="8" t="s">
        <v>576</v>
      </c>
      <c r="F2080" s="8" t="s">
        <v>5193</v>
      </c>
    </row>
    <row r="2081" customHeight="1" spans="1:6">
      <c r="A2081" s="6">
        <v>2080</v>
      </c>
      <c r="B2081" s="8" t="s">
        <v>5194</v>
      </c>
      <c r="C2081" s="8" t="s">
        <v>5195</v>
      </c>
      <c r="D2081" s="8" t="s">
        <v>5196</v>
      </c>
      <c r="E2081" s="8" t="s">
        <v>2267</v>
      </c>
      <c r="F2081" s="8" t="s">
        <v>5197</v>
      </c>
    </row>
    <row r="2082" customHeight="1" spans="1:6">
      <c r="A2082" s="6">
        <v>2081</v>
      </c>
      <c r="B2082" s="8" t="s">
        <v>5194</v>
      </c>
      <c r="C2082" s="8" t="s">
        <v>5195</v>
      </c>
      <c r="D2082" s="8" t="s">
        <v>5196</v>
      </c>
      <c r="E2082" s="8" t="s">
        <v>2267</v>
      </c>
      <c r="F2082" s="8" t="s">
        <v>5197</v>
      </c>
    </row>
    <row r="2083" customHeight="1" spans="1:6">
      <c r="A2083" s="6">
        <v>2082</v>
      </c>
      <c r="B2083" s="8" t="s">
        <v>5198</v>
      </c>
      <c r="C2083" s="8" t="s">
        <v>5199</v>
      </c>
      <c r="D2083" s="8" t="s">
        <v>5200</v>
      </c>
      <c r="E2083" s="8" t="s">
        <v>854</v>
      </c>
      <c r="F2083" s="8" t="s">
        <v>5201</v>
      </c>
    </row>
    <row r="2084" customHeight="1" spans="1:6">
      <c r="A2084" s="6">
        <v>2083</v>
      </c>
      <c r="B2084" s="8" t="s">
        <v>5198</v>
      </c>
      <c r="C2084" s="8" t="s">
        <v>5199</v>
      </c>
      <c r="D2084" s="8" t="s">
        <v>5200</v>
      </c>
      <c r="E2084" s="8" t="s">
        <v>854</v>
      </c>
      <c r="F2084" s="8" t="s">
        <v>5201</v>
      </c>
    </row>
    <row r="2085" customHeight="1" spans="1:6">
      <c r="A2085" s="6">
        <v>2084</v>
      </c>
      <c r="B2085" s="8" t="s">
        <v>5202</v>
      </c>
      <c r="C2085" s="8" t="s">
        <v>5203</v>
      </c>
      <c r="D2085" s="8" t="s">
        <v>5204</v>
      </c>
      <c r="E2085" s="8" t="s">
        <v>211</v>
      </c>
      <c r="F2085" s="8" t="s">
        <v>5205</v>
      </c>
    </row>
    <row r="2086" customHeight="1" spans="1:6">
      <c r="A2086" s="6">
        <v>2085</v>
      </c>
      <c r="B2086" s="8" t="s">
        <v>5202</v>
      </c>
      <c r="C2086" s="8" t="s">
        <v>5203</v>
      </c>
      <c r="D2086" s="8" t="s">
        <v>5204</v>
      </c>
      <c r="E2086" s="8" t="s">
        <v>211</v>
      </c>
      <c r="F2086" s="8" t="s">
        <v>5205</v>
      </c>
    </row>
    <row r="2087" customHeight="1" spans="1:6">
      <c r="A2087" s="6">
        <v>2086</v>
      </c>
      <c r="B2087" s="8" t="s">
        <v>5202</v>
      </c>
      <c r="C2087" s="8" t="s">
        <v>5203</v>
      </c>
      <c r="D2087" s="8" t="s">
        <v>5204</v>
      </c>
      <c r="E2087" s="8" t="s">
        <v>211</v>
      </c>
      <c r="F2087" s="8" t="s">
        <v>5205</v>
      </c>
    </row>
    <row r="2088" customHeight="1" spans="1:6">
      <c r="A2088" s="6">
        <v>2087</v>
      </c>
      <c r="B2088" s="8" t="s">
        <v>5206</v>
      </c>
      <c r="C2088" s="8" t="s">
        <v>5207</v>
      </c>
      <c r="D2088" s="8" t="s">
        <v>5208</v>
      </c>
      <c r="E2088" s="8" t="s">
        <v>1617</v>
      </c>
      <c r="F2088" s="8" t="s">
        <v>5209</v>
      </c>
    </row>
    <row r="2089" customHeight="1" spans="1:6">
      <c r="A2089" s="6">
        <v>2088</v>
      </c>
      <c r="B2089" s="8" t="s">
        <v>5206</v>
      </c>
      <c r="C2089" s="8" t="s">
        <v>5207</v>
      </c>
      <c r="D2089" s="8" t="s">
        <v>5208</v>
      </c>
      <c r="E2089" s="8" t="s">
        <v>1617</v>
      </c>
      <c r="F2089" s="8" t="s">
        <v>5209</v>
      </c>
    </row>
    <row r="2090" customHeight="1" spans="1:6">
      <c r="A2090" s="6">
        <v>2089</v>
      </c>
      <c r="B2090" s="8" t="s">
        <v>5206</v>
      </c>
      <c r="C2090" s="8" t="s">
        <v>5207</v>
      </c>
      <c r="D2090" s="8" t="s">
        <v>5208</v>
      </c>
      <c r="E2090" s="8" t="s">
        <v>1617</v>
      </c>
      <c r="F2090" s="8" t="s">
        <v>5209</v>
      </c>
    </row>
    <row r="2091" customHeight="1" spans="1:6">
      <c r="A2091" s="6">
        <v>2090</v>
      </c>
      <c r="B2091" s="8" t="s">
        <v>5210</v>
      </c>
      <c r="C2091" s="8" t="s">
        <v>5211</v>
      </c>
      <c r="D2091" s="8" t="s">
        <v>5212</v>
      </c>
      <c r="E2091" s="8" t="s">
        <v>571</v>
      </c>
      <c r="F2091" s="8" t="s">
        <v>5213</v>
      </c>
    </row>
    <row r="2092" customHeight="1" spans="1:6">
      <c r="A2092" s="6">
        <v>2091</v>
      </c>
      <c r="B2092" s="8" t="s">
        <v>5210</v>
      </c>
      <c r="C2092" s="8" t="s">
        <v>5211</v>
      </c>
      <c r="D2092" s="8" t="s">
        <v>5212</v>
      </c>
      <c r="E2092" s="8" t="s">
        <v>571</v>
      </c>
      <c r="F2092" s="8" t="s">
        <v>5213</v>
      </c>
    </row>
    <row r="2093" customHeight="1" spans="1:6">
      <c r="A2093" s="6">
        <v>2092</v>
      </c>
      <c r="B2093" s="7" t="str">
        <f>"978-7-220-11993-4"</f>
        <v>978-7-220-11993-4</v>
      </c>
      <c r="C2093" s="7" t="str">
        <f>"国际文旅融合示范案例研究"</f>
        <v>国际文旅融合示范案例研究</v>
      </c>
      <c r="D2093" s="7" t="str">
        <f>"庞学铨主编"</f>
        <v>庞学铨主编</v>
      </c>
      <c r="E2093" s="7" t="str">
        <f>"四川人民出版社"</f>
        <v>四川人民出版社</v>
      </c>
      <c r="F2093" s="7" t="str">
        <f>"F591/25"</f>
        <v>F591/25</v>
      </c>
    </row>
    <row r="2094" customHeight="1" spans="1:6">
      <c r="A2094" s="6">
        <v>2093</v>
      </c>
      <c r="B2094" s="7" t="str">
        <f>"978-7-220-11993-4"</f>
        <v>978-7-220-11993-4</v>
      </c>
      <c r="C2094" s="7" t="str">
        <f>"国际文旅融合示范案例研究"</f>
        <v>国际文旅融合示范案例研究</v>
      </c>
      <c r="D2094" s="7" t="str">
        <f>"庞学铨主编"</f>
        <v>庞学铨主编</v>
      </c>
      <c r="E2094" s="7" t="str">
        <f>"四川人民出版社"</f>
        <v>四川人民出版社</v>
      </c>
      <c r="F2094" s="7" t="str">
        <f>"F591/25"</f>
        <v>F591/25</v>
      </c>
    </row>
    <row r="2095" customHeight="1" spans="1:6">
      <c r="A2095" s="6">
        <v>2094</v>
      </c>
      <c r="B2095" s="8" t="s">
        <v>5214</v>
      </c>
      <c r="C2095" s="8" t="s">
        <v>5215</v>
      </c>
      <c r="D2095" s="8" t="s">
        <v>5216</v>
      </c>
      <c r="E2095" s="8" t="s">
        <v>5114</v>
      </c>
      <c r="F2095" s="8" t="s">
        <v>5217</v>
      </c>
    </row>
    <row r="2096" customHeight="1" spans="1:6">
      <c r="A2096" s="6">
        <v>2095</v>
      </c>
      <c r="B2096" s="8" t="s">
        <v>5214</v>
      </c>
      <c r="C2096" s="8" t="s">
        <v>5215</v>
      </c>
      <c r="D2096" s="8" t="s">
        <v>5216</v>
      </c>
      <c r="E2096" s="8" t="s">
        <v>5114</v>
      </c>
      <c r="F2096" s="8" t="s">
        <v>5217</v>
      </c>
    </row>
    <row r="2097" customHeight="1" spans="1:6">
      <c r="A2097" s="6">
        <v>2096</v>
      </c>
      <c r="B2097" s="8" t="s">
        <v>5218</v>
      </c>
      <c r="C2097" s="8" t="s">
        <v>5219</v>
      </c>
      <c r="D2097" s="8" t="s">
        <v>5220</v>
      </c>
      <c r="E2097" s="8" t="s">
        <v>5114</v>
      </c>
      <c r="F2097" s="8" t="s">
        <v>5221</v>
      </c>
    </row>
    <row r="2098" customHeight="1" spans="1:6">
      <c r="A2098" s="6">
        <v>2097</v>
      </c>
      <c r="B2098" s="8" t="s">
        <v>5218</v>
      </c>
      <c r="C2098" s="8" t="s">
        <v>5219</v>
      </c>
      <c r="D2098" s="8" t="s">
        <v>5220</v>
      </c>
      <c r="E2098" s="8" t="s">
        <v>5114</v>
      </c>
      <c r="F2098" s="8" t="s">
        <v>5221</v>
      </c>
    </row>
    <row r="2099" customHeight="1" spans="1:6">
      <c r="A2099" s="6">
        <v>2098</v>
      </c>
      <c r="B2099" s="7" t="str">
        <f>"978-7-5096-7655-4"</f>
        <v>978-7-5096-7655-4</v>
      </c>
      <c r="C2099" s="7" t="str">
        <f>"世界旅游产业新格局与中国旅游强国之路"</f>
        <v>世界旅游产业新格局与中国旅游强国之路</v>
      </c>
      <c r="D2099" s="7" t="str">
        <f>"金准， 宋瑞， 王莹著"</f>
        <v>金准， 宋瑞， 王莹著</v>
      </c>
      <c r="E2099" s="7" t="str">
        <f>"经济管理出版社"</f>
        <v>经济管理出版社</v>
      </c>
      <c r="F2099" s="7" t="str">
        <f>"F592.3/170"</f>
        <v>F592.3/170</v>
      </c>
    </row>
    <row r="2100" customHeight="1" spans="1:6">
      <c r="A2100" s="6">
        <v>2099</v>
      </c>
      <c r="B2100" s="7" t="str">
        <f>"978-7-5096-7655-4"</f>
        <v>978-7-5096-7655-4</v>
      </c>
      <c r="C2100" s="7" t="str">
        <f>"世界旅游产业新格局与中国旅游强国之路"</f>
        <v>世界旅游产业新格局与中国旅游强国之路</v>
      </c>
      <c r="D2100" s="7" t="str">
        <f>"金准， 宋瑞， 王莹著"</f>
        <v>金准， 宋瑞， 王莹著</v>
      </c>
      <c r="E2100" s="7" t="str">
        <f>"经济管理出版社"</f>
        <v>经济管理出版社</v>
      </c>
      <c r="F2100" s="7" t="str">
        <f>"F592.3/170"</f>
        <v>F592.3/170</v>
      </c>
    </row>
    <row r="2101" customHeight="1" spans="1:6">
      <c r="A2101" s="6">
        <v>2100</v>
      </c>
      <c r="B2101" s="8" t="s">
        <v>5222</v>
      </c>
      <c r="C2101" s="8" t="s">
        <v>5223</v>
      </c>
      <c r="D2101" s="8" t="s">
        <v>1323</v>
      </c>
      <c r="E2101" s="8" t="s">
        <v>1189</v>
      </c>
      <c r="F2101" s="8" t="s">
        <v>5224</v>
      </c>
    </row>
    <row r="2102" customHeight="1" spans="1:6">
      <c r="A2102" s="6">
        <v>2101</v>
      </c>
      <c r="B2102" s="8" t="s">
        <v>5222</v>
      </c>
      <c r="C2102" s="8" t="s">
        <v>5223</v>
      </c>
      <c r="D2102" s="8" t="s">
        <v>1323</v>
      </c>
      <c r="E2102" s="8" t="s">
        <v>1189</v>
      </c>
      <c r="F2102" s="8" t="s">
        <v>5224</v>
      </c>
    </row>
    <row r="2103" customHeight="1" spans="1:6">
      <c r="A2103" s="6">
        <v>2102</v>
      </c>
      <c r="B2103" s="8" t="s">
        <v>5222</v>
      </c>
      <c r="C2103" s="8" t="s">
        <v>5223</v>
      </c>
      <c r="D2103" s="8" t="s">
        <v>1323</v>
      </c>
      <c r="E2103" s="8" t="s">
        <v>1189</v>
      </c>
      <c r="F2103" s="8" t="s">
        <v>5224</v>
      </c>
    </row>
    <row r="2104" customHeight="1" spans="1:6">
      <c r="A2104" s="6">
        <v>2103</v>
      </c>
      <c r="B2104" s="8" t="s">
        <v>5225</v>
      </c>
      <c r="C2104" s="8" t="s">
        <v>5226</v>
      </c>
      <c r="D2104" s="8" t="s">
        <v>5227</v>
      </c>
      <c r="E2104" s="8" t="s">
        <v>1189</v>
      </c>
      <c r="F2104" s="8" t="s">
        <v>5228</v>
      </c>
    </row>
    <row r="2105" customHeight="1" spans="1:6">
      <c r="A2105" s="6">
        <v>2104</v>
      </c>
      <c r="B2105" s="8" t="s">
        <v>5225</v>
      </c>
      <c r="C2105" s="8" t="s">
        <v>5226</v>
      </c>
      <c r="D2105" s="8" t="s">
        <v>5227</v>
      </c>
      <c r="E2105" s="8" t="s">
        <v>1189</v>
      </c>
      <c r="F2105" s="8" t="s">
        <v>5228</v>
      </c>
    </row>
    <row r="2106" customHeight="1" spans="1:6">
      <c r="A2106" s="6">
        <v>2105</v>
      </c>
      <c r="B2106" s="8" t="s">
        <v>5225</v>
      </c>
      <c r="C2106" s="8" t="s">
        <v>5226</v>
      </c>
      <c r="D2106" s="8" t="s">
        <v>5227</v>
      </c>
      <c r="E2106" s="8" t="s">
        <v>1189</v>
      </c>
      <c r="F2106" s="8" t="s">
        <v>5228</v>
      </c>
    </row>
    <row r="2107" customHeight="1" spans="1:6">
      <c r="A2107" s="6">
        <v>2106</v>
      </c>
      <c r="B2107" s="8" t="s">
        <v>5229</v>
      </c>
      <c r="C2107" s="8" t="s">
        <v>5230</v>
      </c>
      <c r="D2107" s="8" t="s">
        <v>5231</v>
      </c>
      <c r="E2107" s="8" t="s">
        <v>1189</v>
      </c>
      <c r="F2107" s="8" t="s">
        <v>5232</v>
      </c>
    </row>
    <row r="2108" customHeight="1" spans="1:6">
      <c r="A2108" s="6">
        <v>2107</v>
      </c>
      <c r="B2108" s="8" t="s">
        <v>5229</v>
      </c>
      <c r="C2108" s="8" t="s">
        <v>5230</v>
      </c>
      <c r="D2108" s="8" t="s">
        <v>5231</v>
      </c>
      <c r="E2108" s="8" t="s">
        <v>1189</v>
      </c>
      <c r="F2108" s="8" t="s">
        <v>5232</v>
      </c>
    </row>
    <row r="2109" customHeight="1" spans="1:6">
      <c r="A2109" s="6">
        <v>2108</v>
      </c>
      <c r="B2109" s="8" t="s">
        <v>5229</v>
      </c>
      <c r="C2109" s="8" t="s">
        <v>5230</v>
      </c>
      <c r="D2109" s="8" t="s">
        <v>5231</v>
      </c>
      <c r="E2109" s="8" t="s">
        <v>1189</v>
      </c>
      <c r="F2109" s="8" t="s">
        <v>5232</v>
      </c>
    </row>
    <row r="2110" customHeight="1" spans="1:6">
      <c r="A2110" s="6">
        <v>2109</v>
      </c>
      <c r="B2110" s="8" t="s">
        <v>5233</v>
      </c>
      <c r="C2110" s="8" t="s">
        <v>5234</v>
      </c>
      <c r="D2110" s="8" t="s">
        <v>5235</v>
      </c>
      <c r="E2110" s="8" t="s">
        <v>549</v>
      </c>
      <c r="F2110" s="8" t="s">
        <v>5236</v>
      </c>
    </row>
    <row r="2111" customHeight="1" spans="1:6">
      <c r="A2111" s="6">
        <v>2110</v>
      </c>
      <c r="B2111" s="8" t="s">
        <v>5233</v>
      </c>
      <c r="C2111" s="8" t="s">
        <v>5234</v>
      </c>
      <c r="D2111" s="8" t="s">
        <v>5235</v>
      </c>
      <c r="E2111" s="8" t="s">
        <v>549</v>
      </c>
      <c r="F2111" s="8" t="s">
        <v>5236</v>
      </c>
    </row>
    <row r="2112" customHeight="1" spans="1:6">
      <c r="A2112" s="6">
        <v>2111</v>
      </c>
      <c r="B2112" s="8" t="s">
        <v>5237</v>
      </c>
      <c r="C2112" s="8" t="s">
        <v>5238</v>
      </c>
      <c r="D2112" s="8" t="s">
        <v>5239</v>
      </c>
      <c r="E2112" s="8" t="s">
        <v>360</v>
      </c>
      <c r="F2112" s="8" t="s">
        <v>5240</v>
      </c>
    </row>
    <row r="2113" customHeight="1" spans="1:6">
      <c r="A2113" s="6">
        <v>2112</v>
      </c>
      <c r="B2113" s="8" t="s">
        <v>5237</v>
      </c>
      <c r="C2113" s="8" t="s">
        <v>5238</v>
      </c>
      <c r="D2113" s="8" t="s">
        <v>5239</v>
      </c>
      <c r="E2113" s="8" t="s">
        <v>360</v>
      </c>
      <c r="F2113" s="8" t="s">
        <v>5240</v>
      </c>
    </row>
    <row r="2114" customHeight="1" spans="1:6">
      <c r="A2114" s="6">
        <v>2113</v>
      </c>
      <c r="B2114" s="8" t="s">
        <v>5241</v>
      </c>
      <c r="C2114" s="8" t="s">
        <v>5242</v>
      </c>
      <c r="D2114" s="8" t="s">
        <v>5243</v>
      </c>
      <c r="E2114" s="8" t="s">
        <v>1355</v>
      </c>
      <c r="F2114" s="8" t="s">
        <v>5244</v>
      </c>
    </row>
    <row r="2115" customHeight="1" spans="1:6">
      <c r="A2115" s="6">
        <v>2114</v>
      </c>
      <c r="B2115" s="8" t="s">
        <v>5241</v>
      </c>
      <c r="C2115" s="8" t="s">
        <v>5242</v>
      </c>
      <c r="D2115" s="8" t="s">
        <v>5243</v>
      </c>
      <c r="E2115" s="8" t="s">
        <v>1355</v>
      </c>
      <c r="F2115" s="8" t="s">
        <v>5244</v>
      </c>
    </row>
    <row r="2116" customHeight="1" spans="1:6">
      <c r="A2116" s="6">
        <v>2115</v>
      </c>
      <c r="B2116" s="8" t="s">
        <v>5245</v>
      </c>
      <c r="C2116" s="8" t="s">
        <v>5246</v>
      </c>
      <c r="D2116" s="8" t="s">
        <v>5247</v>
      </c>
      <c r="E2116" s="8" t="s">
        <v>1189</v>
      </c>
      <c r="F2116" s="8" t="s">
        <v>5248</v>
      </c>
    </row>
    <row r="2117" customHeight="1" spans="1:6">
      <c r="A2117" s="6">
        <v>2116</v>
      </c>
      <c r="B2117" s="8" t="s">
        <v>5245</v>
      </c>
      <c r="C2117" s="8" t="s">
        <v>5246</v>
      </c>
      <c r="D2117" s="8" t="s">
        <v>5247</v>
      </c>
      <c r="E2117" s="8" t="s">
        <v>1189</v>
      </c>
      <c r="F2117" s="8" t="s">
        <v>5248</v>
      </c>
    </row>
    <row r="2118" customHeight="1" spans="1:6">
      <c r="A2118" s="6">
        <v>2117</v>
      </c>
      <c r="B2118" s="8" t="s">
        <v>5245</v>
      </c>
      <c r="C2118" s="8" t="s">
        <v>5246</v>
      </c>
      <c r="D2118" s="8" t="s">
        <v>5247</v>
      </c>
      <c r="E2118" s="8" t="s">
        <v>1189</v>
      </c>
      <c r="F2118" s="8" t="s">
        <v>5248</v>
      </c>
    </row>
    <row r="2119" customHeight="1" spans="1:6">
      <c r="A2119" s="6">
        <v>2118</v>
      </c>
      <c r="B2119" s="8" t="s">
        <v>5249</v>
      </c>
      <c r="C2119" s="8" t="s">
        <v>5250</v>
      </c>
      <c r="D2119" s="8" t="s">
        <v>5251</v>
      </c>
      <c r="E2119" s="8" t="s">
        <v>1189</v>
      </c>
      <c r="F2119" s="8" t="s">
        <v>5252</v>
      </c>
    </row>
    <row r="2120" customHeight="1" spans="1:6">
      <c r="A2120" s="6">
        <v>2119</v>
      </c>
      <c r="B2120" s="8" t="s">
        <v>5249</v>
      </c>
      <c r="C2120" s="8" t="s">
        <v>5250</v>
      </c>
      <c r="D2120" s="8" t="s">
        <v>5251</v>
      </c>
      <c r="E2120" s="8" t="s">
        <v>1189</v>
      </c>
      <c r="F2120" s="8" t="s">
        <v>5252</v>
      </c>
    </row>
    <row r="2121" customHeight="1" spans="1:6">
      <c r="A2121" s="6">
        <v>2120</v>
      </c>
      <c r="B2121" s="8" t="s">
        <v>5249</v>
      </c>
      <c r="C2121" s="8" t="s">
        <v>5250</v>
      </c>
      <c r="D2121" s="8" t="s">
        <v>5251</v>
      </c>
      <c r="E2121" s="8" t="s">
        <v>1189</v>
      </c>
      <c r="F2121" s="8" t="s">
        <v>5252</v>
      </c>
    </row>
    <row r="2122" customHeight="1" spans="1:6">
      <c r="A2122" s="6">
        <v>2121</v>
      </c>
      <c r="B2122" s="8" t="s">
        <v>5253</v>
      </c>
      <c r="C2122" s="8" t="s">
        <v>5254</v>
      </c>
      <c r="D2122" s="8" t="s">
        <v>5255</v>
      </c>
      <c r="E2122" s="8" t="s">
        <v>1189</v>
      </c>
      <c r="F2122" s="8" t="s">
        <v>5256</v>
      </c>
    </row>
    <row r="2123" customHeight="1" spans="1:6">
      <c r="A2123" s="6">
        <v>2122</v>
      </c>
      <c r="B2123" s="8" t="s">
        <v>5253</v>
      </c>
      <c r="C2123" s="8" t="s">
        <v>5254</v>
      </c>
      <c r="D2123" s="8" t="s">
        <v>5255</v>
      </c>
      <c r="E2123" s="8" t="s">
        <v>1189</v>
      </c>
      <c r="F2123" s="8" t="s">
        <v>5256</v>
      </c>
    </row>
    <row r="2124" customHeight="1" spans="1:6">
      <c r="A2124" s="6">
        <v>2123</v>
      </c>
      <c r="B2124" s="8" t="s">
        <v>5253</v>
      </c>
      <c r="C2124" s="8" t="s">
        <v>5254</v>
      </c>
      <c r="D2124" s="8" t="s">
        <v>5255</v>
      </c>
      <c r="E2124" s="8" t="s">
        <v>1189</v>
      </c>
      <c r="F2124" s="8" t="s">
        <v>5256</v>
      </c>
    </row>
    <row r="2125" customHeight="1" spans="1:6">
      <c r="A2125" s="6">
        <v>2124</v>
      </c>
      <c r="B2125" s="8" t="s">
        <v>5257</v>
      </c>
      <c r="C2125" s="8" t="s">
        <v>5258</v>
      </c>
      <c r="D2125" s="8" t="s">
        <v>5259</v>
      </c>
      <c r="E2125" s="8" t="s">
        <v>211</v>
      </c>
      <c r="F2125" s="8" t="s">
        <v>5260</v>
      </c>
    </row>
    <row r="2126" customHeight="1" spans="1:6">
      <c r="A2126" s="6">
        <v>2125</v>
      </c>
      <c r="B2126" s="8" t="s">
        <v>5257</v>
      </c>
      <c r="C2126" s="8" t="s">
        <v>5258</v>
      </c>
      <c r="D2126" s="8" t="s">
        <v>5259</v>
      </c>
      <c r="E2126" s="8" t="s">
        <v>211</v>
      </c>
      <c r="F2126" s="8" t="s">
        <v>5260</v>
      </c>
    </row>
    <row r="2127" customHeight="1" spans="1:6">
      <c r="A2127" s="6">
        <v>2126</v>
      </c>
      <c r="B2127" s="8" t="s">
        <v>5261</v>
      </c>
      <c r="C2127" s="8" t="s">
        <v>5262</v>
      </c>
      <c r="D2127" s="8" t="s">
        <v>5263</v>
      </c>
      <c r="E2127" s="8" t="s">
        <v>360</v>
      </c>
      <c r="F2127" s="8" t="s">
        <v>5264</v>
      </c>
    </row>
    <row r="2128" customHeight="1" spans="1:6">
      <c r="A2128" s="6">
        <v>2127</v>
      </c>
      <c r="B2128" s="8" t="s">
        <v>5261</v>
      </c>
      <c r="C2128" s="8" t="s">
        <v>5262</v>
      </c>
      <c r="D2128" s="8" t="s">
        <v>5263</v>
      </c>
      <c r="E2128" s="8" t="s">
        <v>360</v>
      </c>
      <c r="F2128" s="8" t="s">
        <v>5264</v>
      </c>
    </row>
    <row r="2129" customHeight="1" spans="1:6">
      <c r="A2129" s="6">
        <v>2128</v>
      </c>
      <c r="B2129" s="8" t="s">
        <v>5265</v>
      </c>
      <c r="C2129" s="8" t="s">
        <v>5266</v>
      </c>
      <c r="D2129" s="8" t="s">
        <v>5267</v>
      </c>
      <c r="E2129" s="8" t="s">
        <v>48</v>
      </c>
      <c r="F2129" s="8" t="s">
        <v>5268</v>
      </c>
    </row>
    <row r="2130" customHeight="1" spans="1:6">
      <c r="A2130" s="6">
        <v>2129</v>
      </c>
      <c r="B2130" s="8" t="s">
        <v>5265</v>
      </c>
      <c r="C2130" s="8" t="s">
        <v>5266</v>
      </c>
      <c r="D2130" s="8" t="s">
        <v>5267</v>
      </c>
      <c r="E2130" s="8" t="s">
        <v>48</v>
      </c>
      <c r="F2130" s="8" t="s">
        <v>5268</v>
      </c>
    </row>
    <row r="2131" customHeight="1" spans="1:6">
      <c r="A2131" s="6">
        <v>2130</v>
      </c>
      <c r="B2131" s="8" t="s">
        <v>5269</v>
      </c>
      <c r="C2131" s="8" t="s">
        <v>5270</v>
      </c>
      <c r="D2131" s="8" t="s">
        <v>5271</v>
      </c>
      <c r="E2131" s="8" t="s">
        <v>48</v>
      </c>
      <c r="F2131" s="8" t="s">
        <v>5272</v>
      </c>
    </row>
    <row r="2132" customHeight="1" spans="1:6">
      <c r="A2132" s="6">
        <v>2131</v>
      </c>
      <c r="B2132" s="8" t="s">
        <v>5269</v>
      </c>
      <c r="C2132" s="8" t="s">
        <v>5270</v>
      </c>
      <c r="D2132" s="8" t="s">
        <v>5271</v>
      </c>
      <c r="E2132" s="8" t="s">
        <v>48</v>
      </c>
      <c r="F2132" s="8" t="s">
        <v>5272</v>
      </c>
    </row>
    <row r="2133" customHeight="1" spans="1:6">
      <c r="A2133" s="6">
        <v>2132</v>
      </c>
      <c r="B2133" s="8" t="s">
        <v>5273</v>
      </c>
      <c r="C2133" s="8" t="s">
        <v>5274</v>
      </c>
      <c r="D2133" s="8" t="s">
        <v>5216</v>
      </c>
      <c r="E2133" s="8" t="s">
        <v>5114</v>
      </c>
      <c r="F2133" s="8" t="s">
        <v>5275</v>
      </c>
    </row>
    <row r="2134" customHeight="1" spans="1:6">
      <c r="A2134" s="6">
        <v>2133</v>
      </c>
      <c r="B2134" s="8" t="s">
        <v>5273</v>
      </c>
      <c r="C2134" s="8" t="s">
        <v>5274</v>
      </c>
      <c r="D2134" s="8" t="s">
        <v>5216</v>
      </c>
      <c r="E2134" s="8" t="s">
        <v>5114</v>
      </c>
      <c r="F2134" s="8" t="s">
        <v>5275</v>
      </c>
    </row>
    <row r="2135" customHeight="1" spans="1:6">
      <c r="A2135" s="6">
        <v>2134</v>
      </c>
      <c r="B2135" s="8" t="s">
        <v>5276</v>
      </c>
      <c r="C2135" s="8" t="s">
        <v>5277</v>
      </c>
      <c r="D2135" s="8" t="s">
        <v>5278</v>
      </c>
      <c r="E2135" s="8" t="s">
        <v>1189</v>
      </c>
      <c r="F2135" s="8" t="s">
        <v>5279</v>
      </c>
    </row>
    <row r="2136" customHeight="1" spans="1:6">
      <c r="A2136" s="6">
        <v>2135</v>
      </c>
      <c r="B2136" s="8" t="s">
        <v>5276</v>
      </c>
      <c r="C2136" s="8" t="s">
        <v>5277</v>
      </c>
      <c r="D2136" s="8" t="s">
        <v>5278</v>
      </c>
      <c r="E2136" s="8" t="s">
        <v>1189</v>
      </c>
      <c r="F2136" s="8" t="s">
        <v>5279</v>
      </c>
    </row>
    <row r="2137" customHeight="1" spans="1:6">
      <c r="A2137" s="6">
        <v>2136</v>
      </c>
      <c r="B2137" s="8" t="s">
        <v>5276</v>
      </c>
      <c r="C2137" s="8" t="s">
        <v>5277</v>
      </c>
      <c r="D2137" s="8" t="s">
        <v>5278</v>
      </c>
      <c r="E2137" s="8" t="s">
        <v>1189</v>
      </c>
      <c r="F2137" s="8" t="s">
        <v>5279</v>
      </c>
    </row>
    <row r="2138" customHeight="1" spans="1:6">
      <c r="A2138" s="6">
        <v>2137</v>
      </c>
      <c r="B2138" s="8" t="s">
        <v>5280</v>
      </c>
      <c r="C2138" s="8" t="s">
        <v>5281</v>
      </c>
      <c r="D2138" s="8" t="s">
        <v>5282</v>
      </c>
      <c r="E2138" s="8" t="s">
        <v>239</v>
      </c>
      <c r="F2138" s="8" t="s">
        <v>5283</v>
      </c>
    </row>
    <row r="2139" customHeight="1" spans="1:6">
      <c r="A2139" s="6">
        <v>2138</v>
      </c>
      <c r="B2139" s="8" t="s">
        <v>5280</v>
      </c>
      <c r="C2139" s="8" t="s">
        <v>5281</v>
      </c>
      <c r="D2139" s="8" t="s">
        <v>5282</v>
      </c>
      <c r="E2139" s="8" t="s">
        <v>239</v>
      </c>
      <c r="F2139" s="8" t="s">
        <v>5283</v>
      </c>
    </row>
    <row r="2140" customHeight="1" spans="1:6">
      <c r="A2140" s="6">
        <v>2139</v>
      </c>
      <c r="B2140" s="8" t="s">
        <v>5284</v>
      </c>
      <c r="C2140" s="8" t="s">
        <v>5285</v>
      </c>
      <c r="D2140" s="8" t="s">
        <v>5286</v>
      </c>
      <c r="E2140" s="8" t="s">
        <v>615</v>
      </c>
      <c r="F2140" s="8" t="s">
        <v>5287</v>
      </c>
    </row>
    <row r="2141" customHeight="1" spans="1:6">
      <c r="A2141" s="6">
        <v>2140</v>
      </c>
      <c r="B2141" s="8" t="s">
        <v>5284</v>
      </c>
      <c r="C2141" s="8" t="s">
        <v>5285</v>
      </c>
      <c r="D2141" s="8" t="s">
        <v>5286</v>
      </c>
      <c r="E2141" s="8" t="s">
        <v>615</v>
      </c>
      <c r="F2141" s="8" t="s">
        <v>5287</v>
      </c>
    </row>
    <row r="2142" customHeight="1" spans="1:6">
      <c r="A2142" s="6">
        <v>2141</v>
      </c>
      <c r="B2142" s="8" t="s">
        <v>5288</v>
      </c>
      <c r="C2142" s="8" t="s">
        <v>5289</v>
      </c>
      <c r="D2142" s="8" t="s">
        <v>5290</v>
      </c>
      <c r="E2142" s="8" t="s">
        <v>675</v>
      </c>
      <c r="F2142" s="8" t="s">
        <v>5291</v>
      </c>
    </row>
    <row r="2143" customHeight="1" spans="1:6">
      <c r="A2143" s="6">
        <v>2142</v>
      </c>
      <c r="B2143" s="8" t="s">
        <v>5288</v>
      </c>
      <c r="C2143" s="8" t="s">
        <v>5289</v>
      </c>
      <c r="D2143" s="8" t="s">
        <v>5290</v>
      </c>
      <c r="E2143" s="8" t="s">
        <v>675</v>
      </c>
      <c r="F2143" s="8" t="s">
        <v>5291</v>
      </c>
    </row>
    <row r="2144" customHeight="1" spans="1:6">
      <c r="A2144" s="6">
        <v>2143</v>
      </c>
      <c r="B2144" s="8" t="s">
        <v>5292</v>
      </c>
      <c r="C2144" s="8" t="s">
        <v>5293</v>
      </c>
      <c r="D2144" s="8" t="s">
        <v>5294</v>
      </c>
      <c r="E2144" s="8" t="s">
        <v>288</v>
      </c>
      <c r="F2144" s="8" t="s">
        <v>5295</v>
      </c>
    </row>
    <row r="2145" customHeight="1" spans="1:6">
      <c r="A2145" s="6">
        <v>2144</v>
      </c>
      <c r="B2145" s="8" t="s">
        <v>5292</v>
      </c>
      <c r="C2145" s="8" t="s">
        <v>5293</v>
      </c>
      <c r="D2145" s="8" t="s">
        <v>5294</v>
      </c>
      <c r="E2145" s="8" t="s">
        <v>288</v>
      </c>
      <c r="F2145" s="8" t="s">
        <v>5295</v>
      </c>
    </row>
    <row r="2146" customHeight="1" spans="1:6">
      <c r="A2146" s="6">
        <v>2145</v>
      </c>
      <c r="B2146" s="8" t="s">
        <v>5296</v>
      </c>
      <c r="C2146" s="8" t="s">
        <v>5297</v>
      </c>
      <c r="D2146" s="8" t="s">
        <v>5298</v>
      </c>
      <c r="E2146" s="8" t="s">
        <v>916</v>
      </c>
      <c r="F2146" s="8" t="s">
        <v>5299</v>
      </c>
    </row>
    <row r="2147" customHeight="1" spans="1:6">
      <c r="A2147" s="6">
        <v>2146</v>
      </c>
      <c r="B2147" s="8" t="s">
        <v>5296</v>
      </c>
      <c r="C2147" s="8" t="s">
        <v>5297</v>
      </c>
      <c r="D2147" s="8" t="s">
        <v>5298</v>
      </c>
      <c r="E2147" s="8" t="s">
        <v>916</v>
      </c>
      <c r="F2147" s="8" t="s">
        <v>5299</v>
      </c>
    </row>
    <row r="2148" customHeight="1" spans="1:6">
      <c r="A2148" s="6">
        <v>2147</v>
      </c>
      <c r="B2148" s="8" t="s">
        <v>5300</v>
      </c>
      <c r="C2148" s="8" t="s">
        <v>5301</v>
      </c>
      <c r="D2148" s="8" t="s">
        <v>5302</v>
      </c>
      <c r="E2148" s="8" t="s">
        <v>311</v>
      </c>
      <c r="F2148" s="8" t="s">
        <v>5303</v>
      </c>
    </row>
    <row r="2149" customHeight="1" spans="1:6">
      <c r="A2149" s="6">
        <v>2148</v>
      </c>
      <c r="B2149" s="8" t="s">
        <v>5300</v>
      </c>
      <c r="C2149" s="8" t="s">
        <v>5301</v>
      </c>
      <c r="D2149" s="8" t="s">
        <v>5302</v>
      </c>
      <c r="E2149" s="8" t="s">
        <v>311</v>
      </c>
      <c r="F2149" s="8" t="s">
        <v>5303</v>
      </c>
    </row>
    <row r="2150" customHeight="1" spans="1:6">
      <c r="A2150" s="6">
        <v>2149</v>
      </c>
      <c r="B2150" s="8" t="s">
        <v>5300</v>
      </c>
      <c r="C2150" s="8" t="s">
        <v>5301</v>
      </c>
      <c r="D2150" s="8" t="s">
        <v>5302</v>
      </c>
      <c r="E2150" s="8" t="s">
        <v>311</v>
      </c>
      <c r="F2150" s="8" t="s">
        <v>5303</v>
      </c>
    </row>
    <row r="2151" customHeight="1" spans="1:6">
      <c r="A2151" s="6">
        <v>2150</v>
      </c>
      <c r="B2151" s="8" t="s">
        <v>5304</v>
      </c>
      <c r="C2151" s="8" t="s">
        <v>5305</v>
      </c>
      <c r="D2151" s="8" t="s">
        <v>5306</v>
      </c>
      <c r="E2151" s="8" t="s">
        <v>311</v>
      </c>
      <c r="F2151" s="8" t="s">
        <v>5307</v>
      </c>
    </row>
    <row r="2152" customHeight="1" spans="1:6">
      <c r="A2152" s="6">
        <v>2151</v>
      </c>
      <c r="B2152" s="8" t="s">
        <v>5304</v>
      </c>
      <c r="C2152" s="8" t="s">
        <v>5305</v>
      </c>
      <c r="D2152" s="8" t="s">
        <v>5306</v>
      </c>
      <c r="E2152" s="8" t="s">
        <v>311</v>
      </c>
      <c r="F2152" s="8" t="s">
        <v>5307</v>
      </c>
    </row>
    <row r="2153" customHeight="1" spans="1:6">
      <c r="A2153" s="6">
        <v>2152</v>
      </c>
      <c r="B2153" s="8" t="s">
        <v>5308</v>
      </c>
      <c r="C2153" s="8" t="s">
        <v>5309</v>
      </c>
      <c r="D2153" s="8" t="s">
        <v>5310</v>
      </c>
      <c r="E2153" s="8" t="s">
        <v>283</v>
      </c>
      <c r="F2153" s="8" t="s">
        <v>5311</v>
      </c>
    </row>
    <row r="2154" customHeight="1" spans="1:6">
      <c r="A2154" s="6">
        <v>2153</v>
      </c>
      <c r="B2154" s="8" t="s">
        <v>5308</v>
      </c>
      <c r="C2154" s="8" t="s">
        <v>5309</v>
      </c>
      <c r="D2154" s="8" t="s">
        <v>5310</v>
      </c>
      <c r="E2154" s="8" t="s">
        <v>283</v>
      </c>
      <c r="F2154" s="8" t="s">
        <v>5311</v>
      </c>
    </row>
    <row r="2155" customHeight="1" spans="1:6">
      <c r="A2155" s="6">
        <v>2154</v>
      </c>
      <c r="B2155" s="7" t="str">
        <f>"978-7-5057-4905-4"</f>
        <v>978-7-5057-4905-4</v>
      </c>
      <c r="C2155" s="7" t="str">
        <f>"财经媒体写作指南"</f>
        <v>财经媒体写作指南</v>
      </c>
      <c r="D2155" s="7" t="str">
        <f>"李箐著"</f>
        <v>李箐著</v>
      </c>
      <c r="E2155" s="7" t="str">
        <f>"中国友谊出版公司"</f>
        <v>中国友谊出版公司</v>
      </c>
      <c r="F2155" s="7" t="str">
        <f>"F-62/2"</f>
        <v>F-62/2</v>
      </c>
    </row>
    <row r="2156" customHeight="1" spans="1:6">
      <c r="A2156" s="6">
        <v>2155</v>
      </c>
      <c r="B2156" s="7" t="str">
        <f>"978-7-5057-4905-4"</f>
        <v>978-7-5057-4905-4</v>
      </c>
      <c r="C2156" s="7" t="str">
        <f>"财经媒体写作指南"</f>
        <v>财经媒体写作指南</v>
      </c>
      <c r="D2156" s="7" t="str">
        <f>"李箐著"</f>
        <v>李箐著</v>
      </c>
      <c r="E2156" s="7" t="str">
        <f>"中国友谊出版公司"</f>
        <v>中国友谊出版公司</v>
      </c>
      <c r="F2156" s="7" t="str">
        <f>"F-62/2"</f>
        <v>F-62/2</v>
      </c>
    </row>
    <row r="2157" customHeight="1" spans="1:6">
      <c r="A2157" s="6">
        <v>2156</v>
      </c>
      <c r="B2157" s="8" t="s">
        <v>5312</v>
      </c>
      <c r="C2157" s="8" t="s">
        <v>5313</v>
      </c>
      <c r="D2157" s="8" t="s">
        <v>5314</v>
      </c>
      <c r="E2157" s="8" t="s">
        <v>1796</v>
      </c>
      <c r="F2157" s="8" t="s">
        <v>5315</v>
      </c>
    </row>
    <row r="2158" customHeight="1" spans="1:6">
      <c r="A2158" s="6">
        <v>2157</v>
      </c>
      <c r="B2158" s="8" t="s">
        <v>5312</v>
      </c>
      <c r="C2158" s="8" t="s">
        <v>5313</v>
      </c>
      <c r="D2158" s="8" t="s">
        <v>5314</v>
      </c>
      <c r="E2158" s="8" t="s">
        <v>1796</v>
      </c>
      <c r="F2158" s="8" t="s">
        <v>5315</v>
      </c>
    </row>
    <row r="2159" customHeight="1" spans="1:6">
      <c r="A2159" s="6">
        <v>2158</v>
      </c>
      <c r="B2159" s="8" t="s">
        <v>5312</v>
      </c>
      <c r="C2159" s="8" t="s">
        <v>5313</v>
      </c>
      <c r="D2159" s="8" t="s">
        <v>5314</v>
      </c>
      <c r="E2159" s="8" t="s">
        <v>1796</v>
      </c>
      <c r="F2159" s="8" t="s">
        <v>5315</v>
      </c>
    </row>
    <row r="2160" customHeight="1" spans="1:6">
      <c r="A2160" s="6">
        <v>2159</v>
      </c>
      <c r="B2160" s="7" t="str">
        <f t="shared" ref="B2160:B2162" si="148">"978-7-5217-3274-0"</f>
        <v>978-7-5217-3274-0</v>
      </c>
      <c r="C2160" s="7" t="str">
        <f t="shared" ref="C2160:C2162" si="149">"激活组织：华为奋进的密码"</f>
        <v>激活组织：华为奋进的密码</v>
      </c>
      <c r="D2160" s="7" t="str">
        <f t="shared" ref="D2160:D2162" si="150">"吴晓波， 徐光国， 张武杰著"</f>
        <v>吴晓波， 徐光国， 张武杰著</v>
      </c>
      <c r="E2160" s="7" t="str">
        <f t="shared" ref="E2160:E2164" si="151">"中信出版集团股份有限公司"</f>
        <v>中信出版集团股份有限公司</v>
      </c>
      <c r="F2160" s="7" t="str">
        <f t="shared" ref="F2160:F2162" si="152">"F632.765.3/65"</f>
        <v>F632.765.3/65</v>
      </c>
    </row>
    <row r="2161" customHeight="1" spans="1:6">
      <c r="A2161" s="6">
        <v>2160</v>
      </c>
      <c r="B2161" s="7" t="str">
        <f t="shared" si="148"/>
        <v>978-7-5217-3274-0</v>
      </c>
      <c r="C2161" s="7" t="str">
        <f t="shared" si="149"/>
        <v>激活组织：华为奋进的密码</v>
      </c>
      <c r="D2161" s="7" t="str">
        <f t="shared" si="150"/>
        <v>吴晓波， 徐光国， 张武杰著</v>
      </c>
      <c r="E2161" s="7" t="str">
        <f t="shared" si="151"/>
        <v>中信出版集团股份有限公司</v>
      </c>
      <c r="F2161" s="7" t="str">
        <f t="shared" si="152"/>
        <v>F632.765.3/65</v>
      </c>
    </row>
    <row r="2162" customHeight="1" spans="1:6">
      <c r="A2162" s="6">
        <v>2161</v>
      </c>
      <c r="B2162" s="7" t="str">
        <f t="shared" si="148"/>
        <v>978-7-5217-3274-0</v>
      </c>
      <c r="C2162" s="7" t="str">
        <f t="shared" si="149"/>
        <v>激活组织：华为奋进的密码</v>
      </c>
      <c r="D2162" s="7" t="str">
        <f t="shared" si="150"/>
        <v>吴晓波， 徐光国， 张武杰著</v>
      </c>
      <c r="E2162" s="7" t="str">
        <f t="shared" si="151"/>
        <v>中信出版集团股份有限公司</v>
      </c>
      <c r="F2162" s="7" t="str">
        <f t="shared" si="152"/>
        <v>F632.765.3/65</v>
      </c>
    </row>
    <row r="2163" customHeight="1" spans="1:6">
      <c r="A2163" s="6">
        <v>2162</v>
      </c>
      <c r="B2163" s="7" t="str">
        <f>"978-7-5217-2303-8"</f>
        <v>978-7-5217-2303-8</v>
      </c>
      <c r="C2163" s="7" t="str">
        <f>"华为访谈录"</f>
        <v>华为访谈录</v>
      </c>
      <c r="D2163" s="7" t="str">
        <f>"田涛编"</f>
        <v>田涛编</v>
      </c>
      <c r="E2163" s="7" t="str">
        <f t="shared" si="151"/>
        <v>中信出版集团股份有限公司</v>
      </c>
      <c r="F2163" s="7" t="str">
        <f>"F632.765.3/66"</f>
        <v>F632.765.3/66</v>
      </c>
    </row>
    <row r="2164" customHeight="1" spans="1:6">
      <c r="A2164" s="6">
        <v>2163</v>
      </c>
      <c r="B2164" s="7" t="str">
        <f>"978-7-5217-2303-8"</f>
        <v>978-7-5217-2303-8</v>
      </c>
      <c r="C2164" s="7" t="str">
        <f>"华为访谈录"</f>
        <v>华为访谈录</v>
      </c>
      <c r="D2164" s="7" t="str">
        <f>"田涛编"</f>
        <v>田涛编</v>
      </c>
      <c r="E2164" s="7" t="str">
        <f t="shared" si="151"/>
        <v>中信出版集团股份有限公司</v>
      </c>
      <c r="F2164" s="7" t="str">
        <f>"F632.765.3/66"</f>
        <v>F632.765.3/66</v>
      </c>
    </row>
    <row r="2165" customHeight="1" spans="1:6">
      <c r="A2165" s="6">
        <v>2164</v>
      </c>
      <c r="B2165" s="7" t="str">
        <f>"978-7-308-20089-9"</f>
        <v>978-7-308-20089-9</v>
      </c>
      <c r="C2165" s="7" t="str">
        <f>"华为供应链管理"</f>
        <v>华为供应链管理</v>
      </c>
      <c r="D2165" s="7" t="str">
        <f>"辛童著"</f>
        <v>辛童著</v>
      </c>
      <c r="E2165" s="7" t="str">
        <f>"浙江大学出版社"</f>
        <v>浙江大学出版社</v>
      </c>
      <c r="F2165" s="7" t="str">
        <f>"F632.765.3/67"</f>
        <v>F632.765.3/67</v>
      </c>
    </row>
    <row r="2166" customHeight="1" spans="1:6">
      <c r="A2166" s="6">
        <v>2165</v>
      </c>
      <c r="B2166" s="7" t="str">
        <f>"978-7-308-20089-9"</f>
        <v>978-7-308-20089-9</v>
      </c>
      <c r="C2166" s="7" t="str">
        <f>"华为供应链管理"</f>
        <v>华为供应链管理</v>
      </c>
      <c r="D2166" s="7" t="str">
        <f>"辛童著"</f>
        <v>辛童著</v>
      </c>
      <c r="E2166" s="7" t="str">
        <f>"浙江大学出版社"</f>
        <v>浙江大学出版社</v>
      </c>
      <c r="F2166" s="7" t="str">
        <f>"F632.765.3/67"</f>
        <v>F632.765.3/67</v>
      </c>
    </row>
    <row r="2167" customHeight="1" spans="1:6">
      <c r="A2167" s="6">
        <v>2166</v>
      </c>
      <c r="B2167" s="8" t="s">
        <v>5316</v>
      </c>
      <c r="C2167" s="8" t="s">
        <v>5317</v>
      </c>
      <c r="D2167" s="8" t="s">
        <v>5318</v>
      </c>
      <c r="E2167" s="8" t="s">
        <v>3146</v>
      </c>
      <c r="F2167" s="8" t="s">
        <v>5319</v>
      </c>
    </row>
    <row r="2168" customHeight="1" spans="1:6">
      <c r="A2168" s="6">
        <v>2167</v>
      </c>
      <c r="B2168" s="8" t="s">
        <v>5316</v>
      </c>
      <c r="C2168" s="8" t="s">
        <v>5317</v>
      </c>
      <c r="D2168" s="8" t="s">
        <v>5318</v>
      </c>
      <c r="E2168" s="8" t="s">
        <v>3146</v>
      </c>
      <c r="F2168" s="8" t="s">
        <v>5319</v>
      </c>
    </row>
    <row r="2169" customHeight="1" spans="1:6">
      <c r="A2169" s="6">
        <v>2168</v>
      </c>
      <c r="B2169" s="8" t="s">
        <v>5316</v>
      </c>
      <c r="C2169" s="8" t="s">
        <v>5317</v>
      </c>
      <c r="D2169" s="8" t="s">
        <v>5318</v>
      </c>
      <c r="E2169" s="8" t="s">
        <v>3146</v>
      </c>
      <c r="F2169" s="8" t="s">
        <v>5319</v>
      </c>
    </row>
    <row r="2170" customHeight="1" spans="1:6">
      <c r="A2170" s="6">
        <v>2169</v>
      </c>
      <c r="B2170" s="8" t="s">
        <v>5320</v>
      </c>
      <c r="C2170" s="8" t="s">
        <v>5321</v>
      </c>
      <c r="D2170" s="8" t="s">
        <v>5322</v>
      </c>
      <c r="E2170" s="8" t="s">
        <v>350</v>
      </c>
      <c r="F2170" s="8" t="s">
        <v>5323</v>
      </c>
    </row>
    <row r="2171" customHeight="1" spans="1:6">
      <c r="A2171" s="6">
        <v>2170</v>
      </c>
      <c r="B2171" s="8" t="s">
        <v>5320</v>
      </c>
      <c r="C2171" s="8" t="s">
        <v>5321</v>
      </c>
      <c r="D2171" s="8" t="s">
        <v>5322</v>
      </c>
      <c r="E2171" s="8" t="s">
        <v>350</v>
      </c>
      <c r="F2171" s="8" t="s">
        <v>5323</v>
      </c>
    </row>
    <row r="2172" customHeight="1" spans="1:6">
      <c r="A2172" s="6">
        <v>2171</v>
      </c>
      <c r="B2172" s="8" t="s">
        <v>5320</v>
      </c>
      <c r="C2172" s="8" t="s">
        <v>5321</v>
      </c>
      <c r="D2172" s="8" t="s">
        <v>5322</v>
      </c>
      <c r="E2172" s="8" t="s">
        <v>350</v>
      </c>
      <c r="F2172" s="8" t="s">
        <v>5323</v>
      </c>
    </row>
    <row r="2173" customHeight="1" spans="1:6">
      <c r="A2173" s="6">
        <v>2172</v>
      </c>
      <c r="B2173" s="8" t="s">
        <v>2054</v>
      </c>
      <c r="C2173" s="8" t="s">
        <v>5324</v>
      </c>
      <c r="D2173" s="8" t="s">
        <v>5325</v>
      </c>
      <c r="E2173" s="8" t="s">
        <v>2057</v>
      </c>
      <c r="F2173" s="8" t="s">
        <v>5326</v>
      </c>
    </row>
    <row r="2174" customHeight="1" spans="1:6">
      <c r="A2174" s="6">
        <v>2173</v>
      </c>
      <c r="B2174" s="7" t="str">
        <f t="shared" ref="B2174:B2176" si="153">"978-7-5672-3561-8"</f>
        <v>978-7-5672-3561-8</v>
      </c>
      <c r="C2174" s="7" t="str">
        <f t="shared" ref="C2174:C2176" si="154">"跨文化商务交际"</f>
        <v>跨文化商务交际</v>
      </c>
      <c r="D2174" s="7" t="str">
        <f t="shared" ref="D2174:D2176" si="155">"主编茅和华"</f>
        <v>主编茅和华</v>
      </c>
      <c r="E2174" s="7" t="str">
        <f t="shared" ref="E2174:E2176" si="156">"苏州大学出版社"</f>
        <v>苏州大学出版社</v>
      </c>
      <c r="F2174" s="7" t="str">
        <f t="shared" ref="F2174:F2176" si="157">"F7/172"</f>
        <v>F7/172</v>
      </c>
    </row>
    <row r="2175" customHeight="1" spans="1:6">
      <c r="A2175" s="6">
        <v>2174</v>
      </c>
      <c r="B2175" s="7" t="str">
        <f t="shared" si="153"/>
        <v>978-7-5672-3561-8</v>
      </c>
      <c r="C2175" s="7" t="str">
        <f t="shared" si="154"/>
        <v>跨文化商务交际</v>
      </c>
      <c r="D2175" s="7" t="str">
        <f t="shared" si="155"/>
        <v>主编茅和华</v>
      </c>
      <c r="E2175" s="7" t="str">
        <f t="shared" si="156"/>
        <v>苏州大学出版社</v>
      </c>
      <c r="F2175" s="7" t="str">
        <f t="shared" si="157"/>
        <v>F7/172</v>
      </c>
    </row>
    <row r="2176" customHeight="1" spans="1:6">
      <c r="A2176" s="6">
        <v>2175</v>
      </c>
      <c r="B2176" s="7" t="str">
        <f t="shared" si="153"/>
        <v>978-7-5672-3561-8</v>
      </c>
      <c r="C2176" s="7" t="str">
        <f t="shared" si="154"/>
        <v>跨文化商务交际</v>
      </c>
      <c r="D2176" s="7" t="str">
        <f t="shared" si="155"/>
        <v>主编茅和华</v>
      </c>
      <c r="E2176" s="7" t="str">
        <f t="shared" si="156"/>
        <v>苏州大学出版社</v>
      </c>
      <c r="F2176" s="7" t="str">
        <f t="shared" si="157"/>
        <v>F7/172</v>
      </c>
    </row>
    <row r="2177" customHeight="1" spans="1:6">
      <c r="A2177" s="6">
        <v>2176</v>
      </c>
      <c r="B2177" s="7" t="str">
        <f>"978-7-5024-8274-9"</f>
        <v>978-7-5024-8274-9</v>
      </c>
      <c r="C2177" s="7" t="str">
        <f>"商务英语口语课程改革与实践"</f>
        <v>商务英语口语课程改革与实践</v>
      </c>
      <c r="D2177" s="7" t="str">
        <f>"莫群俐著"</f>
        <v>莫群俐著</v>
      </c>
      <c r="E2177" s="7" t="str">
        <f>"冶金工业出版社"</f>
        <v>冶金工业出版社</v>
      </c>
      <c r="F2177" s="7" t="str">
        <f>"F7/173"</f>
        <v>F7/173</v>
      </c>
    </row>
    <row r="2178" customHeight="1" spans="1:6">
      <c r="A2178" s="6">
        <v>2177</v>
      </c>
      <c r="B2178" s="7" t="str">
        <f>"978-7-5024-8274-9"</f>
        <v>978-7-5024-8274-9</v>
      </c>
      <c r="C2178" s="7" t="str">
        <f>"商务英语口语课程改革与实践"</f>
        <v>商务英语口语课程改革与实践</v>
      </c>
      <c r="D2178" s="7" t="str">
        <f>"莫群俐著"</f>
        <v>莫群俐著</v>
      </c>
      <c r="E2178" s="7" t="str">
        <f>"冶金工业出版社"</f>
        <v>冶金工业出版社</v>
      </c>
      <c r="F2178" s="7" t="str">
        <f>"F7/173"</f>
        <v>F7/173</v>
      </c>
    </row>
    <row r="2179" customHeight="1" spans="1:6">
      <c r="A2179" s="6">
        <v>2178</v>
      </c>
      <c r="B2179" s="8" t="s">
        <v>5327</v>
      </c>
      <c r="C2179" s="8" t="s">
        <v>5328</v>
      </c>
      <c r="D2179" s="8" t="s">
        <v>5329</v>
      </c>
      <c r="E2179" s="8" t="s">
        <v>5127</v>
      </c>
      <c r="F2179" s="8" t="s">
        <v>5330</v>
      </c>
    </row>
    <row r="2180" customHeight="1" spans="1:6">
      <c r="A2180" s="6">
        <v>2179</v>
      </c>
      <c r="B2180" s="8" t="s">
        <v>5327</v>
      </c>
      <c r="C2180" s="8" t="s">
        <v>5328</v>
      </c>
      <c r="D2180" s="8" t="s">
        <v>5329</v>
      </c>
      <c r="E2180" s="8" t="s">
        <v>5127</v>
      </c>
      <c r="F2180" s="8" t="s">
        <v>5330</v>
      </c>
    </row>
    <row r="2181" customHeight="1" spans="1:6">
      <c r="A2181" s="6">
        <v>2180</v>
      </c>
      <c r="B2181" s="8" t="s">
        <v>5327</v>
      </c>
      <c r="C2181" s="8" t="s">
        <v>5328</v>
      </c>
      <c r="D2181" s="8" t="s">
        <v>5329</v>
      </c>
      <c r="E2181" s="8" t="s">
        <v>5127</v>
      </c>
      <c r="F2181" s="8" t="s">
        <v>5330</v>
      </c>
    </row>
    <row r="2182" customHeight="1" spans="1:6">
      <c r="A2182" s="6">
        <v>2181</v>
      </c>
      <c r="B2182" s="8" t="s">
        <v>5331</v>
      </c>
      <c r="C2182" s="8" t="s">
        <v>5332</v>
      </c>
      <c r="D2182" s="8" t="s">
        <v>5333</v>
      </c>
      <c r="E2182" s="8" t="s">
        <v>3146</v>
      </c>
      <c r="F2182" s="8" t="s">
        <v>5334</v>
      </c>
    </row>
    <row r="2183" customHeight="1" spans="1:6">
      <c r="A2183" s="6">
        <v>2182</v>
      </c>
      <c r="B2183" s="8" t="s">
        <v>5331</v>
      </c>
      <c r="C2183" s="8" t="s">
        <v>5332</v>
      </c>
      <c r="D2183" s="8" t="s">
        <v>5333</v>
      </c>
      <c r="E2183" s="8" t="s">
        <v>3146</v>
      </c>
      <c r="F2183" s="8" t="s">
        <v>5334</v>
      </c>
    </row>
    <row r="2184" customHeight="1" spans="1:6">
      <c r="A2184" s="6">
        <v>2183</v>
      </c>
      <c r="B2184" s="8" t="s">
        <v>5335</v>
      </c>
      <c r="C2184" s="8" t="s">
        <v>5336</v>
      </c>
      <c r="D2184" s="8" t="s">
        <v>5337</v>
      </c>
      <c r="E2184" s="8" t="s">
        <v>239</v>
      </c>
      <c r="F2184" s="8" t="s">
        <v>5338</v>
      </c>
    </row>
    <row r="2185" customHeight="1" spans="1:6">
      <c r="A2185" s="6">
        <v>2184</v>
      </c>
      <c r="B2185" s="8" t="s">
        <v>5335</v>
      </c>
      <c r="C2185" s="8" t="s">
        <v>5336</v>
      </c>
      <c r="D2185" s="8" t="s">
        <v>5337</v>
      </c>
      <c r="E2185" s="8" t="s">
        <v>239</v>
      </c>
      <c r="F2185" s="8" t="s">
        <v>5338</v>
      </c>
    </row>
    <row r="2186" customHeight="1" spans="1:6">
      <c r="A2186" s="6">
        <v>2185</v>
      </c>
      <c r="B2186" s="8" t="s">
        <v>5335</v>
      </c>
      <c r="C2186" s="8" t="s">
        <v>5336</v>
      </c>
      <c r="D2186" s="8" t="s">
        <v>5337</v>
      </c>
      <c r="E2186" s="8" t="s">
        <v>239</v>
      </c>
      <c r="F2186" s="8" t="s">
        <v>5338</v>
      </c>
    </row>
    <row r="2187" customHeight="1" spans="1:6">
      <c r="A2187" s="6">
        <v>2186</v>
      </c>
      <c r="B2187" s="8" t="s">
        <v>5339</v>
      </c>
      <c r="C2187" s="8" t="s">
        <v>5340</v>
      </c>
      <c r="D2187" s="8" t="s">
        <v>5341</v>
      </c>
      <c r="E2187" s="8" t="s">
        <v>5127</v>
      </c>
      <c r="F2187" s="8" t="s">
        <v>5342</v>
      </c>
    </row>
    <row r="2188" customHeight="1" spans="1:6">
      <c r="A2188" s="6">
        <v>2187</v>
      </c>
      <c r="B2188" s="8" t="s">
        <v>5339</v>
      </c>
      <c r="C2188" s="8" t="s">
        <v>5340</v>
      </c>
      <c r="D2188" s="8" t="s">
        <v>5341</v>
      </c>
      <c r="E2188" s="8" t="s">
        <v>5127</v>
      </c>
      <c r="F2188" s="8" t="s">
        <v>5342</v>
      </c>
    </row>
    <row r="2189" customHeight="1" spans="1:6">
      <c r="A2189" s="6">
        <v>2188</v>
      </c>
      <c r="B2189" s="8" t="s">
        <v>5339</v>
      </c>
      <c r="C2189" s="8" t="s">
        <v>5340</v>
      </c>
      <c r="D2189" s="8" t="s">
        <v>5341</v>
      </c>
      <c r="E2189" s="8" t="s">
        <v>5127</v>
      </c>
      <c r="F2189" s="8" t="s">
        <v>5342</v>
      </c>
    </row>
    <row r="2190" customHeight="1" spans="1:6">
      <c r="A2190" s="6">
        <v>2189</v>
      </c>
      <c r="B2190" s="8" t="s">
        <v>5343</v>
      </c>
      <c r="C2190" s="8" t="s">
        <v>5344</v>
      </c>
      <c r="D2190" s="8" t="s">
        <v>5345</v>
      </c>
      <c r="E2190" s="8" t="s">
        <v>2459</v>
      </c>
      <c r="F2190" s="8" t="s">
        <v>5346</v>
      </c>
    </row>
    <row r="2191" customHeight="1" spans="1:6">
      <c r="A2191" s="6">
        <v>2190</v>
      </c>
      <c r="B2191" s="8" t="s">
        <v>5343</v>
      </c>
      <c r="C2191" s="8" t="s">
        <v>5344</v>
      </c>
      <c r="D2191" s="8" t="s">
        <v>5345</v>
      </c>
      <c r="E2191" s="8" t="s">
        <v>2459</v>
      </c>
      <c r="F2191" s="8" t="s">
        <v>5346</v>
      </c>
    </row>
    <row r="2192" customHeight="1" spans="1:6">
      <c r="A2192" s="6">
        <v>2191</v>
      </c>
      <c r="B2192" s="8" t="s">
        <v>5343</v>
      </c>
      <c r="C2192" s="8" t="s">
        <v>5344</v>
      </c>
      <c r="D2192" s="8" t="s">
        <v>5345</v>
      </c>
      <c r="E2192" s="8" t="s">
        <v>2459</v>
      </c>
      <c r="F2192" s="8" t="s">
        <v>5346</v>
      </c>
    </row>
    <row r="2193" customHeight="1" spans="1:6">
      <c r="A2193" s="6">
        <v>2192</v>
      </c>
      <c r="B2193" s="8" t="s">
        <v>5347</v>
      </c>
      <c r="C2193" s="8" t="s">
        <v>5348</v>
      </c>
      <c r="D2193" s="8" t="s">
        <v>5349</v>
      </c>
      <c r="E2193" s="8" t="s">
        <v>1189</v>
      </c>
      <c r="F2193" s="8" t="s">
        <v>5350</v>
      </c>
    </row>
    <row r="2194" customHeight="1" spans="1:6">
      <c r="A2194" s="6">
        <v>2193</v>
      </c>
      <c r="B2194" s="8" t="s">
        <v>5347</v>
      </c>
      <c r="C2194" s="8" t="s">
        <v>5348</v>
      </c>
      <c r="D2194" s="8" t="s">
        <v>5349</v>
      </c>
      <c r="E2194" s="8" t="s">
        <v>1189</v>
      </c>
      <c r="F2194" s="8" t="s">
        <v>5350</v>
      </c>
    </row>
    <row r="2195" customHeight="1" spans="1:6">
      <c r="A2195" s="6">
        <v>2194</v>
      </c>
      <c r="B2195" s="8" t="s">
        <v>5347</v>
      </c>
      <c r="C2195" s="8" t="s">
        <v>5348</v>
      </c>
      <c r="D2195" s="8" t="s">
        <v>5349</v>
      </c>
      <c r="E2195" s="8" t="s">
        <v>1189</v>
      </c>
      <c r="F2195" s="8" t="s">
        <v>5350</v>
      </c>
    </row>
    <row r="2196" customHeight="1" spans="1:6">
      <c r="A2196" s="6">
        <v>2195</v>
      </c>
      <c r="B2196" s="8" t="s">
        <v>5351</v>
      </c>
      <c r="C2196" s="8" t="s">
        <v>5352</v>
      </c>
      <c r="D2196" s="8" t="s">
        <v>5353</v>
      </c>
      <c r="E2196" s="8" t="s">
        <v>1189</v>
      </c>
      <c r="F2196" s="8" t="s">
        <v>5354</v>
      </c>
    </row>
    <row r="2197" customHeight="1" spans="1:6">
      <c r="A2197" s="6">
        <v>2196</v>
      </c>
      <c r="B2197" s="8" t="s">
        <v>5351</v>
      </c>
      <c r="C2197" s="8" t="s">
        <v>5352</v>
      </c>
      <c r="D2197" s="8" t="s">
        <v>5353</v>
      </c>
      <c r="E2197" s="8" t="s">
        <v>1189</v>
      </c>
      <c r="F2197" s="8" t="s">
        <v>5354</v>
      </c>
    </row>
    <row r="2198" customHeight="1" spans="1:6">
      <c r="A2198" s="6">
        <v>2197</v>
      </c>
      <c r="B2198" s="8" t="s">
        <v>5351</v>
      </c>
      <c r="C2198" s="8" t="s">
        <v>5352</v>
      </c>
      <c r="D2198" s="8" t="s">
        <v>5353</v>
      </c>
      <c r="E2198" s="8" t="s">
        <v>1189</v>
      </c>
      <c r="F2198" s="8" t="s">
        <v>5354</v>
      </c>
    </row>
    <row r="2199" customHeight="1" spans="1:6">
      <c r="A2199" s="6">
        <v>2198</v>
      </c>
      <c r="B2199" s="8" t="s">
        <v>5355</v>
      </c>
      <c r="C2199" s="8" t="s">
        <v>5356</v>
      </c>
      <c r="D2199" s="8" t="s">
        <v>5357</v>
      </c>
      <c r="E2199" s="8" t="s">
        <v>5358</v>
      </c>
      <c r="F2199" s="8" t="s">
        <v>5359</v>
      </c>
    </row>
    <row r="2200" customHeight="1" spans="1:6">
      <c r="A2200" s="6">
        <v>2199</v>
      </c>
      <c r="B2200" s="8" t="s">
        <v>5355</v>
      </c>
      <c r="C2200" s="8" t="s">
        <v>5356</v>
      </c>
      <c r="D2200" s="8" t="s">
        <v>5357</v>
      </c>
      <c r="E2200" s="8" t="s">
        <v>5358</v>
      </c>
      <c r="F2200" s="8" t="s">
        <v>5359</v>
      </c>
    </row>
    <row r="2201" customHeight="1" spans="1:6">
      <c r="A2201" s="6">
        <v>2200</v>
      </c>
      <c r="B2201" s="8" t="s">
        <v>5355</v>
      </c>
      <c r="C2201" s="8" t="s">
        <v>5356</v>
      </c>
      <c r="D2201" s="8" t="s">
        <v>5357</v>
      </c>
      <c r="E2201" s="8" t="s">
        <v>5358</v>
      </c>
      <c r="F2201" s="8" t="s">
        <v>5359</v>
      </c>
    </row>
    <row r="2202" customHeight="1" spans="1:6">
      <c r="A2202" s="6">
        <v>2201</v>
      </c>
      <c r="B2202" s="8" t="s">
        <v>5360</v>
      </c>
      <c r="C2202" s="8" t="s">
        <v>5361</v>
      </c>
      <c r="D2202" s="8" t="s">
        <v>5362</v>
      </c>
      <c r="E2202" s="8" t="s">
        <v>571</v>
      </c>
      <c r="F2202" s="8" t="s">
        <v>5363</v>
      </c>
    </row>
    <row r="2203" customHeight="1" spans="1:6">
      <c r="A2203" s="6">
        <v>2202</v>
      </c>
      <c r="B2203" s="8" t="s">
        <v>5360</v>
      </c>
      <c r="C2203" s="8" t="s">
        <v>5361</v>
      </c>
      <c r="D2203" s="8" t="s">
        <v>5362</v>
      </c>
      <c r="E2203" s="8" t="s">
        <v>571</v>
      </c>
      <c r="F2203" s="8" t="s">
        <v>5363</v>
      </c>
    </row>
    <row r="2204" customHeight="1" spans="1:6">
      <c r="A2204" s="6">
        <v>2203</v>
      </c>
      <c r="B2204" s="8" t="s">
        <v>5360</v>
      </c>
      <c r="C2204" s="8" t="s">
        <v>5361</v>
      </c>
      <c r="D2204" s="8" t="s">
        <v>5362</v>
      </c>
      <c r="E2204" s="8" t="s">
        <v>571</v>
      </c>
      <c r="F2204" s="8" t="s">
        <v>5363</v>
      </c>
    </row>
    <row r="2205" customHeight="1" spans="1:6">
      <c r="A2205" s="6">
        <v>2204</v>
      </c>
      <c r="B2205" s="8" t="s">
        <v>5364</v>
      </c>
      <c r="C2205" s="8" t="s">
        <v>5365</v>
      </c>
      <c r="D2205" s="8" t="s">
        <v>5366</v>
      </c>
      <c r="E2205" s="8" t="s">
        <v>3180</v>
      </c>
      <c r="F2205" s="8" t="s">
        <v>5367</v>
      </c>
    </row>
    <row r="2206" customHeight="1" spans="1:6">
      <c r="A2206" s="6">
        <v>2205</v>
      </c>
      <c r="B2206" s="8" t="s">
        <v>5364</v>
      </c>
      <c r="C2206" s="8" t="s">
        <v>5365</v>
      </c>
      <c r="D2206" s="8" t="s">
        <v>5366</v>
      </c>
      <c r="E2206" s="8" t="s">
        <v>3180</v>
      </c>
      <c r="F2206" s="8" t="s">
        <v>5367</v>
      </c>
    </row>
    <row r="2207" customHeight="1" spans="1:6">
      <c r="A2207" s="6">
        <v>2206</v>
      </c>
      <c r="B2207" s="8" t="s">
        <v>5368</v>
      </c>
      <c r="C2207" s="8" t="s">
        <v>5369</v>
      </c>
      <c r="D2207" s="8" t="s">
        <v>5370</v>
      </c>
      <c r="E2207" s="8" t="s">
        <v>1342</v>
      </c>
      <c r="F2207" s="8" t="s">
        <v>5371</v>
      </c>
    </row>
    <row r="2208" customHeight="1" spans="1:6">
      <c r="A2208" s="6">
        <v>2207</v>
      </c>
      <c r="B2208" s="8" t="s">
        <v>5368</v>
      </c>
      <c r="C2208" s="8" t="s">
        <v>5369</v>
      </c>
      <c r="D2208" s="8" t="s">
        <v>5370</v>
      </c>
      <c r="E2208" s="8" t="s">
        <v>1342</v>
      </c>
      <c r="F2208" s="8" t="s">
        <v>5371</v>
      </c>
    </row>
    <row r="2209" customHeight="1" spans="1:6">
      <c r="A2209" s="6">
        <v>2208</v>
      </c>
      <c r="B2209" s="8" t="s">
        <v>5372</v>
      </c>
      <c r="C2209" s="8" t="s">
        <v>5373</v>
      </c>
      <c r="D2209" s="8" t="s">
        <v>5374</v>
      </c>
      <c r="E2209" s="8" t="s">
        <v>1189</v>
      </c>
      <c r="F2209" s="8" t="s">
        <v>5375</v>
      </c>
    </row>
    <row r="2210" customHeight="1" spans="1:6">
      <c r="A2210" s="6">
        <v>2209</v>
      </c>
      <c r="B2210" s="8" t="s">
        <v>5372</v>
      </c>
      <c r="C2210" s="8" t="s">
        <v>5373</v>
      </c>
      <c r="D2210" s="8" t="s">
        <v>5374</v>
      </c>
      <c r="E2210" s="8" t="s">
        <v>1189</v>
      </c>
      <c r="F2210" s="8" t="s">
        <v>5375</v>
      </c>
    </row>
    <row r="2211" customHeight="1" spans="1:6">
      <c r="A2211" s="6">
        <v>2210</v>
      </c>
      <c r="B2211" s="8" t="s">
        <v>5372</v>
      </c>
      <c r="C2211" s="8" t="s">
        <v>5373</v>
      </c>
      <c r="D2211" s="8" t="s">
        <v>5374</v>
      </c>
      <c r="E2211" s="8" t="s">
        <v>1189</v>
      </c>
      <c r="F2211" s="8" t="s">
        <v>5375</v>
      </c>
    </row>
    <row r="2212" customHeight="1" spans="1:6">
      <c r="A2212" s="6">
        <v>2211</v>
      </c>
      <c r="B2212" s="8" t="s">
        <v>5376</v>
      </c>
      <c r="C2212" s="8" t="s">
        <v>5377</v>
      </c>
      <c r="D2212" s="8" t="s">
        <v>5378</v>
      </c>
      <c r="E2212" s="8" t="s">
        <v>239</v>
      </c>
      <c r="F2212" s="8" t="s">
        <v>5379</v>
      </c>
    </row>
    <row r="2213" customHeight="1" spans="1:6">
      <c r="A2213" s="6">
        <v>2212</v>
      </c>
      <c r="B2213" s="8" t="s">
        <v>5376</v>
      </c>
      <c r="C2213" s="8" t="s">
        <v>5377</v>
      </c>
      <c r="D2213" s="8" t="s">
        <v>5378</v>
      </c>
      <c r="E2213" s="8" t="s">
        <v>239</v>
      </c>
      <c r="F2213" s="8" t="s">
        <v>5379</v>
      </c>
    </row>
    <row r="2214" customHeight="1" spans="1:6">
      <c r="A2214" s="6">
        <v>2213</v>
      </c>
      <c r="B2214" s="8" t="s">
        <v>5376</v>
      </c>
      <c r="C2214" s="8" t="s">
        <v>5377</v>
      </c>
      <c r="D2214" s="8" t="s">
        <v>5378</v>
      </c>
      <c r="E2214" s="8" t="s">
        <v>239</v>
      </c>
      <c r="F2214" s="8" t="s">
        <v>5379</v>
      </c>
    </row>
    <row r="2215" customHeight="1" spans="1:6">
      <c r="A2215" s="6">
        <v>2214</v>
      </c>
      <c r="B2215" s="8" t="s">
        <v>5380</v>
      </c>
      <c r="C2215" s="8" t="s">
        <v>5381</v>
      </c>
      <c r="D2215" s="8" t="s">
        <v>5382</v>
      </c>
      <c r="E2215" s="8" t="s">
        <v>710</v>
      </c>
      <c r="F2215" s="8" t="s">
        <v>5383</v>
      </c>
    </row>
    <row r="2216" customHeight="1" spans="1:6">
      <c r="A2216" s="6">
        <v>2215</v>
      </c>
      <c r="B2216" s="8" t="s">
        <v>5380</v>
      </c>
      <c r="C2216" s="8" t="s">
        <v>5381</v>
      </c>
      <c r="D2216" s="8" t="s">
        <v>5382</v>
      </c>
      <c r="E2216" s="8" t="s">
        <v>710</v>
      </c>
      <c r="F2216" s="8" t="s">
        <v>5383</v>
      </c>
    </row>
    <row r="2217" customHeight="1" spans="1:6">
      <c r="A2217" s="6">
        <v>2216</v>
      </c>
      <c r="B2217" s="8" t="s">
        <v>5384</v>
      </c>
      <c r="C2217" s="8" t="s">
        <v>5385</v>
      </c>
      <c r="D2217" s="8" t="s">
        <v>5386</v>
      </c>
      <c r="E2217" s="8" t="s">
        <v>5127</v>
      </c>
      <c r="F2217" s="8" t="s">
        <v>5387</v>
      </c>
    </row>
    <row r="2218" customHeight="1" spans="1:6">
      <c r="A2218" s="6">
        <v>2217</v>
      </c>
      <c r="B2218" s="8" t="s">
        <v>5384</v>
      </c>
      <c r="C2218" s="8" t="s">
        <v>5385</v>
      </c>
      <c r="D2218" s="8" t="s">
        <v>5386</v>
      </c>
      <c r="E2218" s="8" t="s">
        <v>5127</v>
      </c>
      <c r="F2218" s="8" t="s">
        <v>5387</v>
      </c>
    </row>
    <row r="2219" customHeight="1" spans="1:6">
      <c r="A2219" s="6">
        <v>2218</v>
      </c>
      <c r="B2219" s="8" t="s">
        <v>5384</v>
      </c>
      <c r="C2219" s="8" t="s">
        <v>5385</v>
      </c>
      <c r="D2219" s="8" t="s">
        <v>5386</v>
      </c>
      <c r="E2219" s="8" t="s">
        <v>5127</v>
      </c>
      <c r="F2219" s="8" t="s">
        <v>5387</v>
      </c>
    </row>
    <row r="2220" customHeight="1" spans="1:6">
      <c r="A2220" s="6">
        <v>2219</v>
      </c>
      <c r="B2220" s="8" t="s">
        <v>5388</v>
      </c>
      <c r="C2220" s="8" t="s">
        <v>5389</v>
      </c>
      <c r="D2220" s="8" t="s">
        <v>5390</v>
      </c>
      <c r="E2220" s="8" t="s">
        <v>2230</v>
      </c>
      <c r="F2220" s="8" t="s">
        <v>5391</v>
      </c>
    </row>
    <row r="2221" customHeight="1" spans="1:6">
      <c r="A2221" s="6">
        <v>2220</v>
      </c>
      <c r="B2221" s="8" t="s">
        <v>5388</v>
      </c>
      <c r="C2221" s="8" t="s">
        <v>5389</v>
      </c>
      <c r="D2221" s="8" t="s">
        <v>5390</v>
      </c>
      <c r="E2221" s="8" t="s">
        <v>2230</v>
      </c>
      <c r="F2221" s="8" t="s">
        <v>5391</v>
      </c>
    </row>
    <row r="2222" customHeight="1" spans="1:6">
      <c r="A2222" s="6">
        <v>2221</v>
      </c>
      <c r="B2222" s="8" t="s">
        <v>5388</v>
      </c>
      <c r="C2222" s="8" t="s">
        <v>5389</v>
      </c>
      <c r="D2222" s="8" t="s">
        <v>5390</v>
      </c>
      <c r="E2222" s="8" t="s">
        <v>2230</v>
      </c>
      <c r="F2222" s="8" t="s">
        <v>5391</v>
      </c>
    </row>
    <row r="2223" customHeight="1" spans="1:6">
      <c r="A2223" s="6">
        <v>2222</v>
      </c>
      <c r="B2223" s="8" t="s">
        <v>5392</v>
      </c>
      <c r="C2223" s="8" t="s">
        <v>5393</v>
      </c>
      <c r="D2223" s="8" t="s">
        <v>5394</v>
      </c>
      <c r="E2223" s="8" t="s">
        <v>571</v>
      </c>
      <c r="F2223" s="8" t="s">
        <v>5395</v>
      </c>
    </row>
    <row r="2224" customHeight="1" spans="1:6">
      <c r="A2224" s="6">
        <v>2223</v>
      </c>
      <c r="B2224" s="8" t="s">
        <v>5392</v>
      </c>
      <c r="C2224" s="8" t="s">
        <v>5393</v>
      </c>
      <c r="D2224" s="8" t="s">
        <v>5394</v>
      </c>
      <c r="E2224" s="8" t="s">
        <v>571</v>
      </c>
      <c r="F2224" s="8" t="s">
        <v>5395</v>
      </c>
    </row>
    <row r="2225" customHeight="1" spans="1:6">
      <c r="A2225" s="6">
        <v>2224</v>
      </c>
      <c r="B2225" s="7" t="str">
        <f>"978-7-5028-5321-1"</f>
        <v>978-7-5028-5321-1</v>
      </c>
      <c r="C2225" s="7" t="str">
        <f>"区块链+：重构未来商业场景"</f>
        <v>区块链+：重构未来商业场景</v>
      </c>
      <c r="D2225" s="7" t="str">
        <f>"浩森主编"</f>
        <v>浩森主编</v>
      </c>
      <c r="E2225" s="7" t="str">
        <f>"地震出版社"</f>
        <v>地震出版社</v>
      </c>
      <c r="F2225" s="7" t="str">
        <f>"F71/88"</f>
        <v>F71/88</v>
      </c>
    </row>
    <row r="2226" customHeight="1" spans="1:6">
      <c r="A2226" s="6">
        <v>2225</v>
      </c>
      <c r="B2226" s="7" t="str">
        <f>"978-7-5028-5321-1"</f>
        <v>978-7-5028-5321-1</v>
      </c>
      <c r="C2226" s="7" t="str">
        <f>"区块链+：重构未来商业场景"</f>
        <v>区块链+：重构未来商业场景</v>
      </c>
      <c r="D2226" s="7" t="str">
        <f>"浩森主编"</f>
        <v>浩森主编</v>
      </c>
      <c r="E2226" s="7" t="str">
        <f>"地震出版社"</f>
        <v>地震出版社</v>
      </c>
      <c r="F2226" s="7" t="str">
        <f>"F71/88"</f>
        <v>F71/88</v>
      </c>
    </row>
    <row r="2227" customHeight="1" spans="1:6">
      <c r="A2227" s="6">
        <v>2226</v>
      </c>
      <c r="B2227" s="7" t="str">
        <f>"978-7-5096-8068-1"</f>
        <v>978-7-5096-8068-1</v>
      </c>
      <c r="C2227" s="7" t="str">
        <f>"共享经济：组织形态与行为革新：Organizational form and behavioral innovation"</f>
        <v>共享经济：组织形态与行为革新：Organizational form and behavioral innovation</v>
      </c>
      <c r="D2227" s="7" t="str">
        <f>"赵慧娟著"</f>
        <v>赵慧娟著</v>
      </c>
      <c r="E2227" s="7" t="str">
        <f>"经济管理出版社"</f>
        <v>经济管理出版社</v>
      </c>
      <c r="F2227" s="7" t="str">
        <f>"F71/89"</f>
        <v>F71/89</v>
      </c>
    </row>
    <row r="2228" customHeight="1" spans="1:6">
      <c r="A2228" s="6">
        <v>2227</v>
      </c>
      <c r="B2228" s="7" t="str">
        <f>"978-7-5096-8068-1"</f>
        <v>978-7-5096-8068-1</v>
      </c>
      <c r="C2228" s="7" t="str">
        <f>"共享经济：组织形态与行为革新：Organizational form and behavioral innovation"</f>
        <v>共享经济：组织形态与行为革新：Organizational form and behavioral innovation</v>
      </c>
      <c r="D2228" s="7" t="str">
        <f>"赵慧娟著"</f>
        <v>赵慧娟著</v>
      </c>
      <c r="E2228" s="7" t="str">
        <f>"经济管理出版社"</f>
        <v>经济管理出版社</v>
      </c>
      <c r="F2228" s="7" t="str">
        <f>"F71/89"</f>
        <v>F71/89</v>
      </c>
    </row>
    <row r="2229" customHeight="1" spans="1:6">
      <c r="A2229" s="6">
        <v>2228</v>
      </c>
      <c r="B2229" s="8" t="s">
        <v>5396</v>
      </c>
      <c r="C2229" s="8" t="s">
        <v>5397</v>
      </c>
      <c r="D2229" s="8" t="s">
        <v>5398</v>
      </c>
      <c r="E2229" s="8" t="s">
        <v>1189</v>
      </c>
      <c r="F2229" s="8" t="s">
        <v>5399</v>
      </c>
    </row>
    <row r="2230" customHeight="1" spans="1:6">
      <c r="A2230" s="6">
        <v>2229</v>
      </c>
      <c r="B2230" s="8" t="s">
        <v>5396</v>
      </c>
      <c r="C2230" s="8" t="s">
        <v>5397</v>
      </c>
      <c r="D2230" s="8" t="s">
        <v>5398</v>
      </c>
      <c r="E2230" s="8" t="s">
        <v>1189</v>
      </c>
      <c r="F2230" s="8" t="s">
        <v>5399</v>
      </c>
    </row>
    <row r="2231" customHeight="1" spans="1:6">
      <c r="A2231" s="6">
        <v>2230</v>
      </c>
      <c r="B2231" s="8" t="s">
        <v>5396</v>
      </c>
      <c r="C2231" s="8" t="s">
        <v>5397</v>
      </c>
      <c r="D2231" s="8" t="s">
        <v>5398</v>
      </c>
      <c r="E2231" s="8" t="s">
        <v>1189</v>
      </c>
      <c r="F2231" s="8" t="s">
        <v>5399</v>
      </c>
    </row>
    <row r="2232" customHeight="1" spans="1:6">
      <c r="A2232" s="6">
        <v>2231</v>
      </c>
      <c r="B2232" s="8" t="s">
        <v>5400</v>
      </c>
      <c r="C2232" s="8" t="s">
        <v>5401</v>
      </c>
      <c r="D2232" s="8" t="s">
        <v>5402</v>
      </c>
      <c r="E2232" s="8" t="s">
        <v>5093</v>
      </c>
      <c r="F2232" s="8" t="s">
        <v>5403</v>
      </c>
    </row>
    <row r="2233" customHeight="1" spans="1:6">
      <c r="A2233" s="6">
        <v>2232</v>
      </c>
      <c r="B2233" s="8" t="s">
        <v>5400</v>
      </c>
      <c r="C2233" s="8" t="s">
        <v>5401</v>
      </c>
      <c r="D2233" s="8" t="s">
        <v>5402</v>
      </c>
      <c r="E2233" s="8" t="s">
        <v>5093</v>
      </c>
      <c r="F2233" s="8" t="s">
        <v>5403</v>
      </c>
    </row>
    <row r="2234" customHeight="1" spans="1:6">
      <c r="A2234" s="6">
        <v>2233</v>
      </c>
      <c r="B2234" s="8" t="s">
        <v>5404</v>
      </c>
      <c r="C2234" s="8" t="s">
        <v>5405</v>
      </c>
      <c r="D2234" s="8" t="s">
        <v>5406</v>
      </c>
      <c r="E2234" s="8" t="s">
        <v>53</v>
      </c>
      <c r="F2234" s="8" t="s">
        <v>5407</v>
      </c>
    </row>
    <row r="2235" customHeight="1" spans="1:6">
      <c r="A2235" s="6">
        <v>2234</v>
      </c>
      <c r="B2235" s="8" t="s">
        <v>5404</v>
      </c>
      <c r="C2235" s="8" t="s">
        <v>5405</v>
      </c>
      <c r="D2235" s="8" t="s">
        <v>5406</v>
      </c>
      <c r="E2235" s="8" t="s">
        <v>53</v>
      </c>
      <c r="F2235" s="8" t="s">
        <v>5407</v>
      </c>
    </row>
    <row r="2236" customHeight="1" spans="1:6">
      <c r="A2236" s="6">
        <v>2235</v>
      </c>
      <c r="B2236" s="7" t="str">
        <f>"978-7-115-17256-3"</f>
        <v>978-7-115-17256-3</v>
      </c>
      <c r="C2236" s="7" t="str">
        <f>"Introduction to business"</f>
        <v>Introduction to business</v>
      </c>
      <c r="D2236" s="7" t="str">
        <f>"Jeff Madura(美) 杰夫·马杜拉著"</f>
        <v>Jeff Madura(美) 杰夫·马杜拉著</v>
      </c>
      <c r="E2236" s="7" t="str">
        <f>"人民邮电出版社"</f>
        <v>人民邮电出版社</v>
      </c>
      <c r="F2236" s="7" t="str">
        <f>"F710/31"</f>
        <v>F710/31</v>
      </c>
    </row>
    <row r="2237" customHeight="1" spans="1:6">
      <c r="A2237" s="6">
        <v>2236</v>
      </c>
      <c r="B2237" s="7" t="str">
        <f>"978-7-115-17256-3"</f>
        <v>978-7-115-17256-3</v>
      </c>
      <c r="C2237" s="7" t="str">
        <f>"Introduction to business"</f>
        <v>Introduction to business</v>
      </c>
      <c r="D2237" s="7" t="str">
        <f>"Jeff Madura(美) 杰夫·马杜拉著"</f>
        <v>Jeff Madura(美) 杰夫·马杜拉著</v>
      </c>
      <c r="E2237" s="7" t="str">
        <f>"人民邮电出版社"</f>
        <v>人民邮电出版社</v>
      </c>
      <c r="F2237" s="7" t="str">
        <f>"F710/31"</f>
        <v>F710/31</v>
      </c>
    </row>
    <row r="2238" customHeight="1" spans="1:6">
      <c r="A2238" s="6">
        <v>2237</v>
      </c>
      <c r="B2238" s="8" t="s">
        <v>5408</v>
      </c>
      <c r="C2238" s="8" t="s">
        <v>5409</v>
      </c>
      <c r="D2238" s="8" t="s">
        <v>5410</v>
      </c>
      <c r="E2238" s="8" t="s">
        <v>710</v>
      </c>
      <c r="F2238" s="8" t="s">
        <v>5411</v>
      </c>
    </row>
    <row r="2239" customHeight="1" spans="1:6">
      <c r="A2239" s="6">
        <v>2238</v>
      </c>
      <c r="B2239" s="8" t="s">
        <v>5408</v>
      </c>
      <c r="C2239" s="8" t="s">
        <v>5409</v>
      </c>
      <c r="D2239" s="8" t="s">
        <v>5410</v>
      </c>
      <c r="E2239" s="8" t="s">
        <v>710</v>
      </c>
      <c r="F2239" s="8" t="s">
        <v>5411</v>
      </c>
    </row>
    <row r="2240" customHeight="1" spans="1:6">
      <c r="A2240" s="6">
        <v>2239</v>
      </c>
      <c r="B2240" s="7" t="str">
        <f>"978-7-5217-2807-1"</f>
        <v>978-7-5217-2807-1</v>
      </c>
      <c r="C2240" s="7" t="str">
        <f>"成交的艺术"</f>
        <v>成交的艺术</v>
      </c>
      <c r="D2240" s="7" t="str">
        <f>"杨响华著"</f>
        <v>杨响华著</v>
      </c>
      <c r="E2240" s="7" t="str">
        <f>"中信出版集团股份有限公司"</f>
        <v>中信出版集团股份有限公司</v>
      </c>
      <c r="F2240" s="7" t="str">
        <f>"F713.3/850"</f>
        <v>F713.3/850</v>
      </c>
    </row>
    <row r="2241" customHeight="1" spans="1:6">
      <c r="A2241" s="6">
        <v>2240</v>
      </c>
      <c r="B2241" s="7" t="str">
        <f>"978-7-5217-2807-1"</f>
        <v>978-7-5217-2807-1</v>
      </c>
      <c r="C2241" s="7" t="str">
        <f>"成交的艺术"</f>
        <v>成交的艺术</v>
      </c>
      <c r="D2241" s="7" t="str">
        <f>"杨响华著"</f>
        <v>杨响华著</v>
      </c>
      <c r="E2241" s="7" t="str">
        <f>"中信出版集团股份有限公司"</f>
        <v>中信出版集团股份有限公司</v>
      </c>
      <c r="F2241" s="7" t="str">
        <f>"F713.3/850"</f>
        <v>F713.3/850</v>
      </c>
    </row>
    <row r="2242" customHeight="1" spans="1:6">
      <c r="A2242" s="6">
        <v>2241</v>
      </c>
      <c r="B2242" s="8" t="s">
        <v>5412</v>
      </c>
      <c r="C2242" s="8" t="s">
        <v>5413</v>
      </c>
      <c r="D2242" s="8" t="s">
        <v>5414</v>
      </c>
      <c r="E2242" s="8" t="s">
        <v>2284</v>
      </c>
      <c r="F2242" s="8" t="s">
        <v>5415</v>
      </c>
    </row>
    <row r="2243" customHeight="1" spans="1:6">
      <c r="A2243" s="6">
        <v>2242</v>
      </c>
      <c r="B2243" s="8" t="s">
        <v>5412</v>
      </c>
      <c r="C2243" s="8" t="s">
        <v>5413</v>
      </c>
      <c r="D2243" s="8" t="s">
        <v>5414</v>
      </c>
      <c r="E2243" s="8" t="s">
        <v>2284</v>
      </c>
      <c r="F2243" s="8" t="s">
        <v>5415</v>
      </c>
    </row>
    <row r="2244" customHeight="1" spans="1:6">
      <c r="A2244" s="6">
        <v>2243</v>
      </c>
      <c r="B2244" s="8" t="s">
        <v>5416</v>
      </c>
      <c r="C2244" s="8" t="s">
        <v>5417</v>
      </c>
      <c r="D2244" s="8" t="s">
        <v>5418</v>
      </c>
      <c r="E2244" s="8" t="s">
        <v>311</v>
      </c>
      <c r="F2244" s="8" t="s">
        <v>5419</v>
      </c>
    </row>
    <row r="2245" customHeight="1" spans="1:6">
      <c r="A2245" s="6">
        <v>2244</v>
      </c>
      <c r="B2245" s="8" t="s">
        <v>5416</v>
      </c>
      <c r="C2245" s="8" t="s">
        <v>5417</v>
      </c>
      <c r="D2245" s="8" t="s">
        <v>5418</v>
      </c>
      <c r="E2245" s="8" t="s">
        <v>311</v>
      </c>
      <c r="F2245" s="8" t="s">
        <v>5419</v>
      </c>
    </row>
    <row r="2246" customHeight="1" spans="1:6">
      <c r="A2246" s="6">
        <v>2245</v>
      </c>
      <c r="B2246" s="8" t="s">
        <v>5416</v>
      </c>
      <c r="C2246" s="8" t="s">
        <v>5417</v>
      </c>
      <c r="D2246" s="8" t="s">
        <v>5418</v>
      </c>
      <c r="E2246" s="8" t="s">
        <v>311</v>
      </c>
      <c r="F2246" s="8" t="s">
        <v>5419</v>
      </c>
    </row>
    <row r="2247" customHeight="1" spans="1:6">
      <c r="A2247" s="6">
        <v>2246</v>
      </c>
      <c r="B2247" s="8" t="s">
        <v>5420</v>
      </c>
      <c r="C2247" s="8" t="s">
        <v>5421</v>
      </c>
      <c r="D2247" s="8" t="s">
        <v>5422</v>
      </c>
      <c r="E2247" s="8" t="s">
        <v>2284</v>
      </c>
      <c r="F2247" s="8" t="s">
        <v>5423</v>
      </c>
    </row>
    <row r="2248" customHeight="1" spans="1:6">
      <c r="A2248" s="6">
        <v>2247</v>
      </c>
      <c r="B2248" s="8" t="s">
        <v>5420</v>
      </c>
      <c r="C2248" s="8" t="s">
        <v>5421</v>
      </c>
      <c r="D2248" s="8" t="s">
        <v>5422</v>
      </c>
      <c r="E2248" s="8" t="s">
        <v>2284</v>
      </c>
      <c r="F2248" s="8" t="s">
        <v>5423</v>
      </c>
    </row>
    <row r="2249" customHeight="1" spans="1:6">
      <c r="A2249" s="6">
        <v>2248</v>
      </c>
      <c r="B2249" s="7" t="str">
        <f>"978-7-302-56145-3"</f>
        <v>978-7-302-56145-3</v>
      </c>
      <c r="C2249" s="7" t="str">
        <f>"新零售与新电商运营逻辑"</f>
        <v>新零售与新电商运营逻辑</v>
      </c>
      <c r="D2249" s="7" t="str">
        <f>"吴刚著"</f>
        <v>吴刚著</v>
      </c>
      <c r="E2249" s="7" t="str">
        <f>"清华大学出版社"</f>
        <v>清华大学出版社</v>
      </c>
      <c r="F2249" s="7" t="str">
        <f>"F713.32/190"</f>
        <v>F713.32/190</v>
      </c>
    </row>
    <row r="2250" customHeight="1" spans="1:6">
      <c r="A2250" s="6">
        <v>2249</v>
      </c>
      <c r="B2250" s="7" t="str">
        <f>"978-7-302-56145-3"</f>
        <v>978-7-302-56145-3</v>
      </c>
      <c r="C2250" s="7" t="str">
        <f>"新零售与新电商运营逻辑"</f>
        <v>新零售与新电商运营逻辑</v>
      </c>
      <c r="D2250" s="7" t="str">
        <f>"吴刚著"</f>
        <v>吴刚著</v>
      </c>
      <c r="E2250" s="7" t="str">
        <f>"清华大学出版社"</f>
        <v>清华大学出版社</v>
      </c>
      <c r="F2250" s="7" t="str">
        <f>"F713.32/190"</f>
        <v>F713.32/190</v>
      </c>
    </row>
    <row r="2251" customHeight="1" spans="1:6">
      <c r="A2251" s="6">
        <v>2250</v>
      </c>
      <c r="B2251" s="8" t="s">
        <v>5424</v>
      </c>
      <c r="C2251" s="8" t="s">
        <v>5425</v>
      </c>
      <c r="D2251" s="8" t="s">
        <v>5426</v>
      </c>
      <c r="E2251" s="8" t="s">
        <v>810</v>
      </c>
      <c r="F2251" s="8" t="s">
        <v>5427</v>
      </c>
    </row>
    <row r="2252" customHeight="1" spans="1:6">
      <c r="A2252" s="6">
        <v>2251</v>
      </c>
      <c r="B2252" s="8" t="s">
        <v>5424</v>
      </c>
      <c r="C2252" s="8" t="s">
        <v>5425</v>
      </c>
      <c r="D2252" s="8" t="s">
        <v>5426</v>
      </c>
      <c r="E2252" s="8" t="s">
        <v>810</v>
      </c>
      <c r="F2252" s="8" t="s">
        <v>5427</v>
      </c>
    </row>
    <row r="2253" customHeight="1" spans="1:6">
      <c r="A2253" s="6">
        <v>2252</v>
      </c>
      <c r="B2253" s="8" t="s">
        <v>5424</v>
      </c>
      <c r="C2253" s="8" t="s">
        <v>5425</v>
      </c>
      <c r="D2253" s="8" t="s">
        <v>5426</v>
      </c>
      <c r="E2253" s="8" t="s">
        <v>810</v>
      </c>
      <c r="F2253" s="8" t="s">
        <v>5427</v>
      </c>
    </row>
    <row r="2254" customHeight="1" spans="1:6">
      <c r="A2254" s="6">
        <v>2253</v>
      </c>
      <c r="B2254" s="7" t="str">
        <f>"978-7-5136-6500-1"</f>
        <v>978-7-5136-6500-1</v>
      </c>
      <c r="C2254" s="7" t="str">
        <f>"农村电商发展与淘宝村网商集聚研究"</f>
        <v>农村电商发展与淘宝村网商集聚研究</v>
      </c>
      <c r="D2254" s="7" t="str">
        <f>"丁志伟等著"</f>
        <v>丁志伟等著</v>
      </c>
      <c r="E2254" s="7" t="str">
        <f>"中国经济出版社"</f>
        <v>中国经济出版社</v>
      </c>
      <c r="F2254" s="7" t="str">
        <f>"F713.36/1026"</f>
        <v>F713.36/1026</v>
      </c>
    </row>
    <row r="2255" customHeight="1" spans="1:6">
      <c r="A2255" s="6">
        <v>2254</v>
      </c>
      <c r="B2255" s="7" t="str">
        <f>"978-7-5136-6500-1"</f>
        <v>978-7-5136-6500-1</v>
      </c>
      <c r="C2255" s="7" t="str">
        <f>"农村电商发展与淘宝村网商集聚研究"</f>
        <v>农村电商发展与淘宝村网商集聚研究</v>
      </c>
      <c r="D2255" s="7" t="str">
        <f>"丁志伟等著"</f>
        <v>丁志伟等著</v>
      </c>
      <c r="E2255" s="7" t="str">
        <f>"中国经济出版社"</f>
        <v>中国经济出版社</v>
      </c>
      <c r="F2255" s="7" t="str">
        <f>"F713.36/1026"</f>
        <v>F713.36/1026</v>
      </c>
    </row>
    <row r="2256" customHeight="1" spans="1:6">
      <c r="A2256" s="6">
        <v>2255</v>
      </c>
      <c r="B2256" s="7" t="str">
        <f>"978-7-5596-5389-5"</f>
        <v>978-7-5596-5389-5</v>
      </c>
      <c r="C2256" s="7" t="str">
        <f>"C2M：未来商业新革命"</f>
        <v>C2M：未来商业新革命</v>
      </c>
      <c r="D2256" s="7" t="str">
        <f>"姜蓉著"</f>
        <v>姜蓉著</v>
      </c>
      <c r="E2256" s="7" t="str">
        <f>"北京联合出版公司"</f>
        <v>北京联合出版公司</v>
      </c>
      <c r="F2256" s="7" t="str">
        <f>"F713.36/1027"</f>
        <v>F713.36/1027</v>
      </c>
    </row>
    <row r="2257" customHeight="1" spans="1:6">
      <c r="A2257" s="6">
        <v>2256</v>
      </c>
      <c r="B2257" s="7" t="str">
        <f>"978-7-5596-5389-5"</f>
        <v>978-7-5596-5389-5</v>
      </c>
      <c r="C2257" s="7" t="str">
        <f>"C2M：未来商业新革命"</f>
        <v>C2M：未来商业新革命</v>
      </c>
      <c r="D2257" s="7" t="str">
        <f>"姜蓉著"</f>
        <v>姜蓉著</v>
      </c>
      <c r="E2257" s="7" t="str">
        <f>"北京联合出版公司"</f>
        <v>北京联合出版公司</v>
      </c>
      <c r="F2257" s="7" t="str">
        <f>"F713.36/1027"</f>
        <v>F713.36/1027</v>
      </c>
    </row>
    <row r="2258" customHeight="1" spans="1:6">
      <c r="A2258" s="6">
        <v>2257</v>
      </c>
      <c r="B2258" s="7" t="str">
        <f>"978-7-121-41666-8"</f>
        <v>978-7-121-41666-8</v>
      </c>
      <c r="C2258" s="7" t="str">
        <f>"跨境电子商务概论"</f>
        <v>跨境电子商务概论</v>
      </c>
      <c r="D2258" s="7" t="str">
        <f>"杨立钒， 杨维新， 杨坚争编著"</f>
        <v>杨立钒， 杨维新， 杨坚争编著</v>
      </c>
      <c r="E2258" s="7" t="str">
        <f t="shared" ref="E2258:E2262" si="158">"电子工业出版社"</f>
        <v>电子工业出版社</v>
      </c>
      <c r="F2258" s="7" t="str">
        <f>"F713.36/1028"</f>
        <v>F713.36/1028</v>
      </c>
    </row>
    <row r="2259" customHeight="1" spans="1:6">
      <c r="A2259" s="6">
        <v>2258</v>
      </c>
      <c r="B2259" s="7" t="str">
        <f>"978-7-121-41666-8"</f>
        <v>978-7-121-41666-8</v>
      </c>
      <c r="C2259" s="7" t="str">
        <f>"跨境电子商务概论"</f>
        <v>跨境电子商务概论</v>
      </c>
      <c r="D2259" s="7" t="str">
        <f>"杨立钒， 杨维新， 杨坚争编著"</f>
        <v>杨立钒， 杨维新， 杨坚争编著</v>
      </c>
      <c r="E2259" s="7" t="str">
        <f t="shared" si="158"/>
        <v>电子工业出版社</v>
      </c>
      <c r="F2259" s="7" t="str">
        <f>"F713.36/1028"</f>
        <v>F713.36/1028</v>
      </c>
    </row>
    <row r="2260" customHeight="1" spans="1:6">
      <c r="A2260" s="6">
        <v>2259</v>
      </c>
      <c r="B2260" s="7" t="str">
        <f t="shared" ref="B2260:B2262" si="159">"978-7-121-41554-8"</f>
        <v>978-7-121-41554-8</v>
      </c>
      <c r="C2260" s="7" t="str">
        <f t="shared" ref="C2260:C2262" si="160">"电子商务案例分析"</f>
        <v>电子商务案例分析</v>
      </c>
      <c r="D2260" s="7" t="str">
        <f t="shared" ref="D2260:D2262" si="161">"周兴建， 泮家丽主编"</f>
        <v>周兴建， 泮家丽主编</v>
      </c>
      <c r="E2260" s="7" t="str">
        <f t="shared" si="158"/>
        <v>电子工业出版社</v>
      </c>
      <c r="F2260" s="7" t="str">
        <f t="shared" ref="F2260:F2262" si="162">"F713.36/1029"</f>
        <v>F713.36/1029</v>
      </c>
    </row>
    <row r="2261" customHeight="1" spans="1:6">
      <c r="A2261" s="6">
        <v>2260</v>
      </c>
      <c r="B2261" s="7" t="str">
        <f t="shared" si="159"/>
        <v>978-7-121-41554-8</v>
      </c>
      <c r="C2261" s="7" t="str">
        <f t="shared" si="160"/>
        <v>电子商务案例分析</v>
      </c>
      <c r="D2261" s="7" t="str">
        <f t="shared" si="161"/>
        <v>周兴建， 泮家丽主编</v>
      </c>
      <c r="E2261" s="7" t="str">
        <f t="shared" si="158"/>
        <v>电子工业出版社</v>
      </c>
      <c r="F2261" s="7" t="str">
        <f t="shared" si="162"/>
        <v>F713.36/1029</v>
      </c>
    </row>
    <row r="2262" customHeight="1" spans="1:6">
      <c r="A2262" s="6">
        <v>2261</v>
      </c>
      <c r="B2262" s="7" t="str">
        <f t="shared" si="159"/>
        <v>978-7-121-41554-8</v>
      </c>
      <c r="C2262" s="7" t="str">
        <f t="shared" si="160"/>
        <v>电子商务案例分析</v>
      </c>
      <c r="D2262" s="7" t="str">
        <f t="shared" si="161"/>
        <v>周兴建， 泮家丽主编</v>
      </c>
      <c r="E2262" s="7" t="str">
        <f t="shared" si="158"/>
        <v>电子工业出版社</v>
      </c>
      <c r="F2262" s="7" t="str">
        <f t="shared" si="162"/>
        <v>F713.36/1029</v>
      </c>
    </row>
    <row r="2263" customHeight="1" spans="1:6">
      <c r="A2263" s="6">
        <v>2262</v>
      </c>
      <c r="B2263" s="7" t="str">
        <f>"978-7-03-051649-7"</f>
        <v>978-7-03-051649-7</v>
      </c>
      <c r="C2263" s="7" t="str">
        <f>"电子商务服务设计与管理"</f>
        <v>电子商务服务设计与管理</v>
      </c>
      <c r="D2263" s="7" t="str">
        <f>"左文明著"</f>
        <v>左文明著</v>
      </c>
      <c r="E2263" s="7" t="str">
        <f>"科学出版社"</f>
        <v>科学出版社</v>
      </c>
      <c r="F2263" s="7" t="str">
        <f>"F713.36/1030"</f>
        <v>F713.36/1030</v>
      </c>
    </row>
    <row r="2264" customHeight="1" spans="1:6">
      <c r="A2264" s="6">
        <v>2263</v>
      </c>
      <c r="B2264" s="7" t="str">
        <f>"978-7-03-051649-7"</f>
        <v>978-7-03-051649-7</v>
      </c>
      <c r="C2264" s="7" t="str">
        <f>"电子商务服务设计与管理"</f>
        <v>电子商务服务设计与管理</v>
      </c>
      <c r="D2264" s="7" t="str">
        <f>"左文明著"</f>
        <v>左文明著</v>
      </c>
      <c r="E2264" s="7" t="str">
        <f>"科学出版社"</f>
        <v>科学出版社</v>
      </c>
      <c r="F2264" s="7" t="str">
        <f>"F713.36/1030"</f>
        <v>F713.36/1030</v>
      </c>
    </row>
    <row r="2265" customHeight="1" spans="1:6">
      <c r="A2265" s="6">
        <v>2264</v>
      </c>
      <c r="B2265" s="7" t="str">
        <f>"978-7-115-56275-3"</f>
        <v>978-7-115-56275-3</v>
      </c>
      <c r="C2265" s="7" t="str">
        <f>"电商采购实战一本通：电商选品+成本把控+物流仓储+供应链管理"</f>
        <v>电商采购实战一本通：电商选品+成本把控+物流仓储+供应链管理</v>
      </c>
      <c r="D2265" s="7" t="str">
        <f>"张贵泉著"</f>
        <v>张贵泉著</v>
      </c>
      <c r="E2265" s="7" t="str">
        <f>"人民邮电出版社"</f>
        <v>人民邮电出版社</v>
      </c>
      <c r="F2265" s="7" t="str">
        <f>"F713.36/1031"</f>
        <v>F713.36/1031</v>
      </c>
    </row>
    <row r="2266" customHeight="1" spans="1:6">
      <c r="A2266" s="6">
        <v>2265</v>
      </c>
      <c r="B2266" s="7" t="str">
        <f>"978-7-115-56275-3"</f>
        <v>978-7-115-56275-3</v>
      </c>
      <c r="C2266" s="7" t="str">
        <f>"电商采购实战一本通：电商选品+成本把控+物流仓储+供应链管理"</f>
        <v>电商采购实战一本通：电商选品+成本把控+物流仓储+供应链管理</v>
      </c>
      <c r="D2266" s="7" t="str">
        <f>"张贵泉著"</f>
        <v>张贵泉著</v>
      </c>
      <c r="E2266" s="7" t="str">
        <f>"人民邮电出版社"</f>
        <v>人民邮电出版社</v>
      </c>
      <c r="F2266" s="7" t="str">
        <f>"F713.36/1031"</f>
        <v>F713.36/1031</v>
      </c>
    </row>
    <row r="2267" customHeight="1" spans="1:6">
      <c r="A2267" s="6">
        <v>2266</v>
      </c>
      <c r="B2267" s="7" t="str">
        <f>"978-7-5596-5391-8"</f>
        <v>978-7-5596-5391-8</v>
      </c>
      <c r="C2267" s="7" t="str">
        <f>"蝶变：商业进化的智能引擎"</f>
        <v>蝶变：商业进化的智能引擎</v>
      </c>
      <c r="D2267" s="7" t="str">
        <f>"杨学成著"</f>
        <v>杨学成著</v>
      </c>
      <c r="E2267" s="7" t="str">
        <f>"北京联合出版公司"</f>
        <v>北京联合出版公司</v>
      </c>
      <c r="F2267" s="7" t="str">
        <f>"F713.36/1032"</f>
        <v>F713.36/1032</v>
      </c>
    </row>
    <row r="2268" customHeight="1" spans="1:6">
      <c r="A2268" s="6">
        <v>2267</v>
      </c>
      <c r="B2268" s="7" t="str">
        <f>"978-7-5596-5391-8"</f>
        <v>978-7-5596-5391-8</v>
      </c>
      <c r="C2268" s="7" t="str">
        <f>"蝶变：商业进化的智能引擎"</f>
        <v>蝶变：商业进化的智能引擎</v>
      </c>
      <c r="D2268" s="7" t="str">
        <f>"杨学成著"</f>
        <v>杨学成著</v>
      </c>
      <c r="E2268" s="7" t="str">
        <f>"北京联合出版公司"</f>
        <v>北京联合出版公司</v>
      </c>
      <c r="F2268" s="7" t="str">
        <f>"F713.36/1032"</f>
        <v>F713.36/1032</v>
      </c>
    </row>
    <row r="2269" customHeight="1" spans="1:6">
      <c r="A2269" s="6">
        <v>2268</v>
      </c>
      <c r="B2269" s="8" t="s">
        <v>5428</v>
      </c>
      <c r="C2269" s="8" t="s">
        <v>5429</v>
      </c>
      <c r="D2269" s="8" t="s">
        <v>5430</v>
      </c>
      <c r="E2269" s="8" t="s">
        <v>530</v>
      </c>
      <c r="F2269" s="8" t="s">
        <v>5431</v>
      </c>
    </row>
    <row r="2270" customHeight="1" spans="1:6">
      <c r="A2270" s="6">
        <v>2269</v>
      </c>
      <c r="B2270" s="8" t="s">
        <v>5428</v>
      </c>
      <c r="C2270" s="8" t="s">
        <v>5429</v>
      </c>
      <c r="D2270" s="8" t="s">
        <v>5430</v>
      </c>
      <c r="E2270" s="8" t="s">
        <v>530</v>
      </c>
      <c r="F2270" s="8" t="s">
        <v>5431</v>
      </c>
    </row>
    <row r="2271" customHeight="1" spans="1:6">
      <c r="A2271" s="6">
        <v>2270</v>
      </c>
      <c r="B2271" s="8" t="s">
        <v>5428</v>
      </c>
      <c r="C2271" s="8" t="s">
        <v>5429</v>
      </c>
      <c r="D2271" s="8" t="s">
        <v>5430</v>
      </c>
      <c r="E2271" s="8" t="s">
        <v>530</v>
      </c>
      <c r="F2271" s="8" t="s">
        <v>5431</v>
      </c>
    </row>
    <row r="2272" customHeight="1" spans="1:6">
      <c r="A2272" s="6">
        <v>2271</v>
      </c>
      <c r="B2272" s="8" t="s">
        <v>5432</v>
      </c>
      <c r="C2272" s="8" t="s">
        <v>5433</v>
      </c>
      <c r="D2272" s="8" t="s">
        <v>5434</v>
      </c>
      <c r="E2272" s="8" t="s">
        <v>530</v>
      </c>
      <c r="F2272" s="8" t="s">
        <v>5435</v>
      </c>
    </row>
    <row r="2273" customHeight="1" spans="1:6">
      <c r="A2273" s="6">
        <v>2272</v>
      </c>
      <c r="B2273" s="8" t="s">
        <v>5432</v>
      </c>
      <c r="C2273" s="8" t="s">
        <v>5433</v>
      </c>
      <c r="D2273" s="8" t="s">
        <v>5434</v>
      </c>
      <c r="E2273" s="8" t="s">
        <v>530</v>
      </c>
      <c r="F2273" s="8" t="s">
        <v>5435</v>
      </c>
    </row>
    <row r="2274" customHeight="1" spans="1:6">
      <c r="A2274" s="6">
        <v>2273</v>
      </c>
      <c r="B2274" s="8" t="s">
        <v>5436</v>
      </c>
      <c r="C2274" s="8" t="s">
        <v>5437</v>
      </c>
      <c r="D2274" s="8" t="s">
        <v>5438</v>
      </c>
      <c r="E2274" s="8" t="s">
        <v>576</v>
      </c>
      <c r="F2274" s="8" t="s">
        <v>5439</v>
      </c>
    </row>
    <row r="2275" customHeight="1" spans="1:6">
      <c r="A2275" s="6">
        <v>2274</v>
      </c>
      <c r="B2275" s="8" t="s">
        <v>5436</v>
      </c>
      <c r="C2275" s="8" t="s">
        <v>5437</v>
      </c>
      <c r="D2275" s="8" t="s">
        <v>5438</v>
      </c>
      <c r="E2275" s="8" t="s">
        <v>576</v>
      </c>
      <c r="F2275" s="8" t="s">
        <v>5439</v>
      </c>
    </row>
    <row r="2276" customHeight="1" spans="1:6">
      <c r="A2276" s="6">
        <v>2275</v>
      </c>
      <c r="B2276" s="8" t="s">
        <v>5436</v>
      </c>
      <c r="C2276" s="8" t="s">
        <v>5437</v>
      </c>
      <c r="D2276" s="8" t="s">
        <v>5438</v>
      </c>
      <c r="E2276" s="8" t="s">
        <v>576</v>
      </c>
      <c r="F2276" s="8" t="s">
        <v>5439</v>
      </c>
    </row>
    <row r="2277" customHeight="1" spans="1:6">
      <c r="A2277" s="6">
        <v>2276</v>
      </c>
      <c r="B2277" s="8" t="s">
        <v>5440</v>
      </c>
      <c r="C2277" s="8" t="s">
        <v>5441</v>
      </c>
      <c r="D2277" s="8" t="s">
        <v>5442</v>
      </c>
      <c r="E2277" s="8" t="s">
        <v>4723</v>
      </c>
      <c r="F2277" s="8" t="s">
        <v>5443</v>
      </c>
    </row>
    <row r="2278" customHeight="1" spans="1:6">
      <c r="A2278" s="6">
        <v>2277</v>
      </c>
      <c r="B2278" s="8" t="s">
        <v>5440</v>
      </c>
      <c r="C2278" s="8" t="s">
        <v>5441</v>
      </c>
      <c r="D2278" s="8" t="s">
        <v>5442</v>
      </c>
      <c r="E2278" s="8" t="s">
        <v>4723</v>
      </c>
      <c r="F2278" s="8" t="s">
        <v>5443</v>
      </c>
    </row>
    <row r="2279" customHeight="1" spans="1:6">
      <c r="A2279" s="6">
        <v>2278</v>
      </c>
      <c r="B2279" s="8" t="s">
        <v>5444</v>
      </c>
      <c r="C2279" s="8" t="s">
        <v>5445</v>
      </c>
      <c r="D2279" s="8" t="s">
        <v>5442</v>
      </c>
      <c r="E2279" s="8" t="s">
        <v>4723</v>
      </c>
      <c r="F2279" s="8" t="s">
        <v>5446</v>
      </c>
    </row>
    <row r="2280" customHeight="1" spans="1:6">
      <c r="A2280" s="6">
        <v>2279</v>
      </c>
      <c r="B2280" s="8" t="s">
        <v>5444</v>
      </c>
      <c r="C2280" s="8" t="s">
        <v>5445</v>
      </c>
      <c r="D2280" s="8" t="s">
        <v>5442</v>
      </c>
      <c r="E2280" s="8" t="s">
        <v>4723</v>
      </c>
      <c r="F2280" s="8" t="s">
        <v>5446</v>
      </c>
    </row>
    <row r="2281" customHeight="1" spans="1:6">
      <c r="A2281" s="6">
        <v>2280</v>
      </c>
      <c r="B2281" s="8" t="s">
        <v>5447</v>
      </c>
      <c r="C2281" s="8" t="s">
        <v>5448</v>
      </c>
      <c r="D2281" s="8" t="s">
        <v>5449</v>
      </c>
      <c r="E2281" s="8" t="s">
        <v>530</v>
      </c>
      <c r="F2281" s="8" t="s">
        <v>5450</v>
      </c>
    </row>
    <row r="2282" customHeight="1" spans="1:6">
      <c r="A2282" s="6">
        <v>2281</v>
      </c>
      <c r="B2282" s="8" t="s">
        <v>5447</v>
      </c>
      <c r="C2282" s="8" t="s">
        <v>5448</v>
      </c>
      <c r="D2282" s="8" t="s">
        <v>5449</v>
      </c>
      <c r="E2282" s="8" t="s">
        <v>530</v>
      </c>
      <c r="F2282" s="8" t="s">
        <v>5450</v>
      </c>
    </row>
    <row r="2283" customHeight="1" spans="1:6">
      <c r="A2283" s="6">
        <v>2282</v>
      </c>
      <c r="B2283" s="8" t="s">
        <v>5447</v>
      </c>
      <c r="C2283" s="8" t="s">
        <v>5448</v>
      </c>
      <c r="D2283" s="8" t="s">
        <v>5449</v>
      </c>
      <c r="E2283" s="8" t="s">
        <v>530</v>
      </c>
      <c r="F2283" s="8" t="s">
        <v>5450</v>
      </c>
    </row>
    <row r="2284" customHeight="1" spans="1:6">
      <c r="A2284" s="6">
        <v>2283</v>
      </c>
      <c r="B2284" s="8" t="s">
        <v>5451</v>
      </c>
      <c r="C2284" s="8" t="s">
        <v>5452</v>
      </c>
      <c r="D2284" s="8" t="s">
        <v>5453</v>
      </c>
      <c r="E2284" s="8" t="s">
        <v>530</v>
      </c>
      <c r="F2284" s="8" t="s">
        <v>5454</v>
      </c>
    </row>
    <row r="2285" customHeight="1" spans="1:6">
      <c r="A2285" s="6">
        <v>2284</v>
      </c>
      <c r="B2285" s="8" t="s">
        <v>5451</v>
      </c>
      <c r="C2285" s="8" t="s">
        <v>5452</v>
      </c>
      <c r="D2285" s="8" t="s">
        <v>5453</v>
      </c>
      <c r="E2285" s="8" t="s">
        <v>530</v>
      </c>
      <c r="F2285" s="8" t="s">
        <v>5454</v>
      </c>
    </row>
    <row r="2286" customHeight="1" spans="1:6">
      <c r="A2286" s="6">
        <v>2285</v>
      </c>
      <c r="B2286" s="8" t="s">
        <v>5451</v>
      </c>
      <c r="C2286" s="8" t="s">
        <v>5452</v>
      </c>
      <c r="D2286" s="8" t="s">
        <v>5453</v>
      </c>
      <c r="E2286" s="8" t="s">
        <v>530</v>
      </c>
      <c r="F2286" s="8" t="s">
        <v>5454</v>
      </c>
    </row>
    <row r="2287" customHeight="1" spans="1:6">
      <c r="A2287" s="6">
        <v>2286</v>
      </c>
      <c r="B2287" s="8" t="s">
        <v>5455</v>
      </c>
      <c r="C2287" s="8" t="s">
        <v>5456</v>
      </c>
      <c r="D2287" s="8" t="s">
        <v>5457</v>
      </c>
      <c r="E2287" s="8" t="s">
        <v>530</v>
      </c>
      <c r="F2287" s="8" t="s">
        <v>5458</v>
      </c>
    </row>
    <row r="2288" customHeight="1" spans="1:6">
      <c r="A2288" s="6">
        <v>2287</v>
      </c>
      <c r="B2288" s="8" t="s">
        <v>5455</v>
      </c>
      <c r="C2288" s="8" t="s">
        <v>5456</v>
      </c>
      <c r="D2288" s="8" t="s">
        <v>5457</v>
      </c>
      <c r="E2288" s="8" t="s">
        <v>530</v>
      </c>
      <c r="F2288" s="8" t="s">
        <v>5458</v>
      </c>
    </row>
    <row r="2289" customHeight="1" spans="1:6">
      <c r="A2289" s="6">
        <v>2288</v>
      </c>
      <c r="B2289" s="8" t="s">
        <v>5455</v>
      </c>
      <c r="C2289" s="8" t="s">
        <v>5456</v>
      </c>
      <c r="D2289" s="8" t="s">
        <v>5457</v>
      </c>
      <c r="E2289" s="8" t="s">
        <v>530</v>
      </c>
      <c r="F2289" s="8" t="s">
        <v>5458</v>
      </c>
    </row>
    <row r="2290" customHeight="1" spans="1:6">
      <c r="A2290" s="6">
        <v>2289</v>
      </c>
      <c r="B2290" s="8" t="s">
        <v>5459</v>
      </c>
      <c r="C2290" s="8" t="s">
        <v>5460</v>
      </c>
      <c r="D2290" s="8" t="s">
        <v>5442</v>
      </c>
      <c r="E2290" s="8" t="s">
        <v>4723</v>
      </c>
      <c r="F2290" s="8" t="s">
        <v>5461</v>
      </c>
    </row>
    <row r="2291" customHeight="1" spans="1:6">
      <c r="A2291" s="6">
        <v>2290</v>
      </c>
      <c r="B2291" s="8" t="s">
        <v>5459</v>
      </c>
      <c r="C2291" s="8" t="s">
        <v>5460</v>
      </c>
      <c r="D2291" s="8" t="s">
        <v>5442</v>
      </c>
      <c r="E2291" s="8" t="s">
        <v>4723</v>
      </c>
      <c r="F2291" s="8" t="s">
        <v>5461</v>
      </c>
    </row>
    <row r="2292" customHeight="1" spans="1:6">
      <c r="A2292" s="6">
        <v>2291</v>
      </c>
      <c r="B2292" s="8" t="s">
        <v>5462</v>
      </c>
      <c r="C2292" s="8" t="s">
        <v>5463</v>
      </c>
      <c r="D2292" s="8" t="s">
        <v>5442</v>
      </c>
      <c r="E2292" s="8" t="s">
        <v>4723</v>
      </c>
      <c r="F2292" s="8" t="s">
        <v>5464</v>
      </c>
    </row>
    <row r="2293" customHeight="1" spans="1:6">
      <c r="A2293" s="6">
        <v>2292</v>
      </c>
      <c r="B2293" s="8" t="s">
        <v>5462</v>
      </c>
      <c r="C2293" s="8" t="s">
        <v>5463</v>
      </c>
      <c r="D2293" s="8" t="s">
        <v>5442</v>
      </c>
      <c r="E2293" s="8" t="s">
        <v>4723</v>
      </c>
      <c r="F2293" s="8" t="s">
        <v>5464</v>
      </c>
    </row>
    <row r="2294" customHeight="1" spans="1:6">
      <c r="A2294" s="6">
        <v>2293</v>
      </c>
      <c r="B2294" s="8" t="s">
        <v>5465</v>
      </c>
      <c r="C2294" s="8" t="s">
        <v>5466</v>
      </c>
      <c r="D2294" s="8" t="s">
        <v>5467</v>
      </c>
      <c r="E2294" s="8" t="s">
        <v>2068</v>
      </c>
      <c r="F2294" s="8" t="s">
        <v>5468</v>
      </c>
    </row>
    <row r="2295" customHeight="1" spans="1:6">
      <c r="A2295" s="6">
        <v>2294</v>
      </c>
      <c r="B2295" s="8" t="s">
        <v>5465</v>
      </c>
      <c r="C2295" s="8" t="s">
        <v>5466</v>
      </c>
      <c r="D2295" s="8" t="s">
        <v>5467</v>
      </c>
      <c r="E2295" s="8" t="s">
        <v>2068</v>
      </c>
      <c r="F2295" s="8" t="s">
        <v>5468</v>
      </c>
    </row>
    <row r="2296" customHeight="1" spans="1:6">
      <c r="A2296" s="6">
        <v>2295</v>
      </c>
      <c r="B2296" s="8" t="s">
        <v>5469</v>
      </c>
      <c r="C2296" s="8" t="s">
        <v>5470</v>
      </c>
      <c r="D2296" s="8" t="s">
        <v>5471</v>
      </c>
      <c r="E2296" s="8" t="s">
        <v>1189</v>
      </c>
      <c r="F2296" s="8" t="s">
        <v>5472</v>
      </c>
    </row>
    <row r="2297" customHeight="1" spans="1:6">
      <c r="A2297" s="6">
        <v>2296</v>
      </c>
      <c r="B2297" s="8" t="s">
        <v>5469</v>
      </c>
      <c r="C2297" s="8" t="s">
        <v>5470</v>
      </c>
      <c r="D2297" s="8" t="s">
        <v>5471</v>
      </c>
      <c r="E2297" s="8" t="s">
        <v>1189</v>
      </c>
      <c r="F2297" s="8" t="s">
        <v>5472</v>
      </c>
    </row>
    <row r="2298" customHeight="1" spans="1:6">
      <c r="A2298" s="6">
        <v>2297</v>
      </c>
      <c r="B2298" s="8" t="s">
        <v>5469</v>
      </c>
      <c r="C2298" s="8" t="s">
        <v>5470</v>
      </c>
      <c r="D2298" s="8" t="s">
        <v>5471</v>
      </c>
      <c r="E2298" s="8" t="s">
        <v>1189</v>
      </c>
      <c r="F2298" s="8" t="s">
        <v>5472</v>
      </c>
    </row>
    <row r="2299" customHeight="1" spans="1:6">
      <c r="A2299" s="6">
        <v>2298</v>
      </c>
      <c r="B2299" s="8" t="s">
        <v>5473</v>
      </c>
      <c r="C2299" s="8" t="s">
        <v>5474</v>
      </c>
      <c r="D2299" s="8" t="s">
        <v>5475</v>
      </c>
      <c r="E2299" s="8" t="s">
        <v>5476</v>
      </c>
      <c r="F2299" s="8" t="s">
        <v>5477</v>
      </c>
    </row>
    <row r="2300" customHeight="1" spans="1:6">
      <c r="A2300" s="6">
        <v>2299</v>
      </c>
      <c r="B2300" s="8" t="s">
        <v>5473</v>
      </c>
      <c r="C2300" s="8" t="s">
        <v>5474</v>
      </c>
      <c r="D2300" s="8" t="s">
        <v>5475</v>
      </c>
      <c r="E2300" s="8" t="s">
        <v>5476</v>
      </c>
      <c r="F2300" s="8" t="s">
        <v>5477</v>
      </c>
    </row>
    <row r="2301" customHeight="1" spans="1:6">
      <c r="A2301" s="6">
        <v>2300</v>
      </c>
      <c r="B2301" s="8" t="s">
        <v>5478</v>
      </c>
      <c r="C2301" s="8" t="s">
        <v>5479</v>
      </c>
      <c r="D2301" s="8" t="s">
        <v>5480</v>
      </c>
      <c r="E2301" s="8" t="s">
        <v>311</v>
      </c>
      <c r="F2301" s="8" t="s">
        <v>5481</v>
      </c>
    </row>
    <row r="2302" customHeight="1" spans="1:6">
      <c r="A2302" s="6">
        <v>2301</v>
      </c>
      <c r="B2302" s="8" t="s">
        <v>5478</v>
      </c>
      <c r="C2302" s="8" t="s">
        <v>5479</v>
      </c>
      <c r="D2302" s="8" t="s">
        <v>5480</v>
      </c>
      <c r="E2302" s="8" t="s">
        <v>311</v>
      </c>
      <c r="F2302" s="8" t="s">
        <v>5481</v>
      </c>
    </row>
    <row r="2303" customHeight="1" spans="1:6">
      <c r="A2303" s="6">
        <v>2302</v>
      </c>
      <c r="B2303" s="8" t="s">
        <v>5478</v>
      </c>
      <c r="C2303" s="8" t="s">
        <v>5479</v>
      </c>
      <c r="D2303" s="8" t="s">
        <v>5480</v>
      </c>
      <c r="E2303" s="8" t="s">
        <v>311</v>
      </c>
      <c r="F2303" s="8" t="s">
        <v>5481</v>
      </c>
    </row>
    <row r="2304" customHeight="1" spans="1:6">
      <c r="A2304" s="6">
        <v>2303</v>
      </c>
      <c r="B2304" s="8" t="s">
        <v>5482</v>
      </c>
      <c r="C2304" s="8" t="s">
        <v>5483</v>
      </c>
      <c r="D2304" s="8" t="s">
        <v>5484</v>
      </c>
      <c r="E2304" s="8" t="s">
        <v>2459</v>
      </c>
      <c r="F2304" s="8" t="s">
        <v>5485</v>
      </c>
    </row>
    <row r="2305" customHeight="1" spans="1:6">
      <c r="A2305" s="6">
        <v>2304</v>
      </c>
      <c r="B2305" s="8" t="s">
        <v>5482</v>
      </c>
      <c r="C2305" s="8" t="s">
        <v>5483</v>
      </c>
      <c r="D2305" s="8" t="s">
        <v>5484</v>
      </c>
      <c r="E2305" s="8" t="s">
        <v>2459</v>
      </c>
      <c r="F2305" s="8" t="s">
        <v>5485</v>
      </c>
    </row>
    <row r="2306" customHeight="1" spans="1:6">
      <c r="A2306" s="6">
        <v>2305</v>
      </c>
      <c r="B2306" s="8" t="s">
        <v>5482</v>
      </c>
      <c r="C2306" s="8" t="s">
        <v>5483</v>
      </c>
      <c r="D2306" s="8" t="s">
        <v>5484</v>
      </c>
      <c r="E2306" s="8" t="s">
        <v>2459</v>
      </c>
      <c r="F2306" s="8" t="s">
        <v>5485</v>
      </c>
    </row>
    <row r="2307" customHeight="1" spans="1:6">
      <c r="A2307" s="6">
        <v>2306</v>
      </c>
      <c r="B2307" s="8" t="s">
        <v>5486</v>
      </c>
      <c r="C2307" s="8" t="s">
        <v>5487</v>
      </c>
      <c r="D2307" s="8" t="s">
        <v>5488</v>
      </c>
      <c r="E2307" s="8" t="s">
        <v>216</v>
      </c>
      <c r="F2307" s="8" t="s">
        <v>5489</v>
      </c>
    </row>
    <row r="2308" customHeight="1" spans="1:6">
      <c r="A2308" s="6">
        <v>2307</v>
      </c>
      <c r="B2308" s="8" t="s">
        <v>5486</v>
      </c>
      <c r="C2308" s="8" t="s">
        <v>5487</v>
      </c>
      <c r="D2308" s="8" t="s">
        <v>5488</v>
      </c>
      <c r="E2308" s="8" t="s">
        <v>216</v>
      </c>
      <c r="F2308" s="8" t="s">
        <v>5489</v>
      </c>
    </row>
    <row r="2309" customHeight="1" spans="1:6">
      <c r="A2309" s="6">
        <v>2308</v>
      </c>
      <c r="B2309" s="8" t="s">
        <v>5486</v>
      </c>
      <c r="C2309" s="8" t="s">
        <v>5487</v>
      </c>
      <c r="D2309" s="8" t="s">
        <v>5488</v>
      </c>
      <c r="E2309" s="8" t="s">
        <v>216</v>
      </c>
      <c r="F2309" s="8" t="s">
        <v>5489</v>
      </c>
    </row>
    <row r="2310" customHeight="1" spans="1:6">
      <c r="A2310" s="6">
        <v>2309</v>
      </c>
      <c r="B2310" s="8" t="s">
        <v>5490</v>
      </c>
      <c r="C2310" s="8" t="s">
        <v>5491</v>
      </c>
      <c r="D2310" s="8" t="s">
        <v>5492</v>
      </c>
      <c r="E2310" s="8" t="s">
        <v>530</v>
      </c>
      <c r="F2310" s="8" t="s">
        <v>5493</v>
      </c>
    </row>
    <row r="2311" customHeight="1" spans="1:6">
      <c r="A2311" s="6">
        <v>2310</v>
      </c>
      <c r="B2311" s="8" t="s">
        <v>5490</v>
      </c>
      <c r="C2311" s="8" t="s">
        <v>5491</v>
      </c>
      <c r="D2311" s="8" t="s">
        <v>5492</v>
      </c>
      <c r="E2311" s="8" t="s">
        <v>530</v>
      </c>
      <c r="F2311" s="8" t="s">
        <v>5493</v>
      </c>
    </row>
    <row r="2312" customHeight="1" spans="1:6">
      <c r="A2312" s="6">
        <v>2311</v>
      </c>
      <c r="B2312" s="8" t="s">
        <v>5490</v>
      </c>
      <c r="C2312" s="8" t="s">
        <v>5491</v>
      </c>
      <c r="D2312" s="8" t="s">
        <v>5492</v>
      </c>
      <c r="E2312" s="8" t="s">
        <v>530</v>
      </c>
      <c r="F2312" s="8" t="s">
        <v>5493</v>
      </c>
    </row>
    <row r="2313" customHeight="1" spans="1:6">
      <c r="A2313" s="6">
        <v>2312</v>
      </c>
      <c r="B2313" s="8" t="s">
        <v>5494</v>
      </c>
      <c r="C2313" s="8" t="s">
        <v>5495</v>
      </c>
      <c r="D2313" s="8" t="s">
        <v>5496</v>
      </c>
      <c r="E2313" s="8" t="s">
        <v>5476</v>
      </c>
      <c r="F2313" s="8" t="s">
        <v>5497</v>
      </c>
    </row>
    <row r="2314" customHeight="1" spans="1:6">
      <c r="A2314" s="6">
        <v>2313</v>
      </c>
      <c r="B2314" s="8" t="s">
        <v>5494</v>
      </c>
      <c r="C2314" s="8" t="s">
        <v>5495</v>
      </c>
      <c r="D2314" s="8" t="s">
        <v>5496</v>
      </c>
      <c r="E2314" s="8" t="s">
        <v>5476</v>
      </c>
      <c r="F2314" s="8" t="s">
        <v>5497</v>
      </c>
    </row>
    <row r="2315" customHeight="1" spans="1:6">
      <c r="A2315" s="6">
        <v>2314</v>
      </c>
      <c r="B2315" s="8" t="s">
        <v>5498</v>
      </c>
      <c r="C2315" s="8" t="s">
        <v>5499</v>
      </c>
      <c r="D2315" s="8" t="s">
        <v>5500</v>
      </c>
      <c r="E2315" s="8" t="s">
        <v>283</v>
      </c>
      <c r="F2315" s="8" t="s">
        <v>5501</v>
      </c>
    </row>
    <row r="2316" customHeight="1" spans="1:6">
      <c r="A2316" s="6">
        <v>2315</v>
      </c>
      <c r="B2316" s="8" t="s">
        <v>5498</v>
      </c>
      <c r="C2316" s="8" t="s">
        <v>5499</v>
      </c>
      <c r="D2316" s="8" t="s">
        <v>5500</v>
      </c>
      <c r="E2316" s="8" t="s">
        <v>283</v>
      </c>
      <c r="F2316" s="8" t="s">
        <v>5501</v>
      </c>
    </row>
    <row r="2317" customHeight="1" spans="1:6">
      <c r="A2317" s="6">
        <v>2316</v>
      </c>
      <c r="B2317" s="8" t="s">
        <v>5498</v>
      </c>
      <c r="C2317" s="8" t="s">
        <v>5499</v>
      </c>
      <c r="D2317" s="8" t="s">
        <v>5500</v>
      </c>
      <c r="E2317" s="8" t="s">
        <v>283</v>
      </c>
      <c r="F2317" s="8" t="s">
        <v>5501</v>
      </c>
    </row>
    <row r="2318" customHeight="1" spans="1:6">
      <c r="A2318" s="6">
        <v>2317</v>
      </c>
      <c r="B2318" s="8" t="s">
        <v>5502</v>
      </c>
      <c r="C2318" s="8" t="s">
        <v>5503</v>
      </c>
      <c r="D2318" s="8" t="s">
        <v>5504</v>
      </c>
      <c r="E2318" s="8" t="s">
        <v>216</v>
      </c>
      <c r="F2318" s="8" t="s">
        <v>5505</v>
      </c>
    </row>
    <row r="2319" customHeight="1" spans="1:6">
      <c r="A2319" s="6">
        <v>2318</v>
      </c>
      <c r="B2319" s="8" t="s">
        <v>5502</v>
      </c>
      <c r="C2319" s="8" t="s">
        <v>5506</v>
      </c>
      <c r="D2319" s="8" t="s">
        <v>5504</v>
      </c>
      <c r="E2319" s="8" t="s">
        <v>216</v>
      </c>
      <c r="F2319" s="8" t="s">
        <v>5507</v>
      </c>
    </row>
    <row r="2320" customHeight="1" spans="1:6">
      <c r="A2320" s="6">
        <v>2319</v>
      </c>
      <c r="B2320" s="8" t="s">
        <v>5508</v>
      </c>
      <c r="C2320" s="8" t="s">
        <v>5509</v>
      </c>
      <c r="D2320" s="8" t="s">
        <v>5510</v>
      </c>
      <c r="E2320" s="8" t="s">
        <v>1189</v>
      </c>
      <c r="F2320" s="8" t="s">
        <v>5511</v>
      </c>
    </row>
    <row r="2321" customHeight="1" spans="1:6">
      <c r="A2321" s="6">
        <v>2320</v>
      </c>
      <c r="B2321" s="8" t="s">
        <v>5508</v>
      </c>
      <c r="C2321" s="8" t="s">
        <v>5509</v>
      </c>
      <c r="D2321" s="8" t="s">
        <v>5510</v>
      </c>
      <c r="E2321" s="8" t="s">
        <v>1189</v>
      </c>
      <c r="F2321" s="8" t="s">
        <v>5511</v>
      </c>
    </row>
    <row r="2322" customHeight="1" spans="1:6">
      <c r="A2322" s="6">
        <v>2321</v>
      </c>
      <c r="B2322" s="8" t="s">
        <v>5508</v>
      </c>
      <c r="C2322" s="8" t="s">
        <v>5509</v>
      </c>
      <c r="D2322" s="8" t="s">
        <v>5510</v>
      </c>
      <c r="E2322" s="8" t="s">
        <v>1189</v>
      </c>
      <c r="F2322" s="8" t="s">
        <v>5511</v>
      </c>
    </row>
    <row r="2323" customHeight="1" spans="1:6">
      <c r="A2323" s="6">
        <v>2322</v>
      </c>
      <c r="B2323" s="8" t="s">
        <v>5512</v>
      </c>
      <c r="C2323" s="8" t="s">
        <v>5456</v>
      </c>
      <c r="D2323" s="8" t="s">
        <v>5513</v>
      </c>
      <c r="E2323" s="8" t="s">
        <v>3146</v>
      </c>
      <c r="F2323" s="8" t="s">
        <v>5514</v>
      </c>
    </row>
    <row r="2324" customHeight="1" spans="1:6">
      <c r="A2324" s="6">
        <v>2323</v>
      </c>
      <c r="B2324" s="8" t="s">
        <v>5512</v>
      </c>
      <c r="C2324" s="8" t="s">
        <v>5456</v>
      </c>
      <c r="D2324" s="8" t="s">
        <v>5513</v>
      </c>
      <c r="E2324" s="8" t="s">
        <v>3146</v>
      </c>
      <c r="F2324" s="8" t="s">
        <v>5514</v>
      </c>
    </row>
    <row r="2325" customHeight="1" spans="1:6">
      <c r="A2325" s="6">
        <v>2324</v>
      </c>
      <c r="B2325" s="8" t="s">
        <v>5512</v>
      </c>
      <c r="C2325" s="8" t="s">
        <v>5456</v>
      </c>
      <c r="D2325" s="8" t="s">
        <v>5513</v>
      </c>
      <c r="E2325" s="8" t="s">
        <v>3146</v>
      </c>
      <c r="F2325" s="8" t="s">
        <v>5514</v>
      </c>
    </row>
    <row r="2326" customHeight="1" spans="1:6">
      <c r="A2326" s="6">
        <v>2325</v>
      </c>
      <c r="B2326" s="8" t="s">
        <v>5515</v>
      </c>
      <c r="C2326" s="8" t="s">
        <v>5516</v>
      </c>
      <c r="D2326" s="8" t="s">
        <v>5442</v>
      </c>
      <c r="E2326" s="8" t="s">
        <v>4723</v>
      </c>
      <c r="F2326" s="8" t="s">
        <v>5517</v>
      </c>
    </row>
    <row r="2327" customHeight="1" spans="1:6">
      <c r="A2327" s="6">
        <v>2326</v>
      </c>
      <c r="B2327" s="8" t="s">
        <v>5515</v>
      </c>
      <c r="C2327" s="8" t="s">
        <v>5516</v>
      </c>
      <c r="D2327" s="8" t="s">
        <v>5442</v>
      </c>
      <c r="E2327" s="8" t="s">
        <v>4723</v>
      </c>
      <c r="F2327" s="8" t="s">
        <v>5517</v>
      </c>
    </row>
    <row r="2328" customHeight="1" spans="1:6">
      <c r="A2328" s="6">
        <v>2327</v>
      </c>
      <c r="B2328" s="8" t="s">
        <v>5518</v>
      </c>
      <c r="C2328" s="8" t="s">
        <v>5519</v>
      </c>
      <c r="D2328" s="8" t="s">
        <v>5520</v>
      </c>
      <c r="E2328" s="8" t="s">
        <v>256</v>
      </c>
      <c r="F2328" s="8" t="s">
        <v>5521</v>
      </c>
    </row>
    <row r="2329" customHeight="1" spans="1:6">
      <c r="A2329" s="6">
        <v>2328</v>
      </c>
      <c r="B2329" s="8" t="s">
        <v>5518</v>
      </c>
      <c r="C2329" s="8" t="s">
        <v>5519</v>
      </c>
      <c r="D2329" s="8" t="s">
        <v>5520</v>
      </c>
      <c r="E2329" s="8" t="s">
        <v>256</v>
      </c>
      <c r="F2329" s="8" t="s">
        <v>5521</v>
      </c>
    </row>
    <row r="2330" customHeight="1" spans="1:6">
      <c r="A2330" s="6">
        <v>2329</v>
      </c>
      <c r="B2330" s="7" t="str">
        <f t="shared" ref="B2330:B2332" si="163">"978-7-302-56572-7"</f>
        <v>978-7-302-56572-7</v>
      </c>
      <c r="C2330" s="7" t="str">
        <f t="shared" ref="C2330:C2332" si="164">"价值互联网：超越区块链的经济变革：economic revolution beyond blockchain"</f>
        <v>价值互联网：超越区块链的经济变革：economic revolution beyond blockchain</v>
      </c>
      <c r="D2330" s="7" t="str">
        <f t="shared" ref="D2330:D2332" si="165">"蔡剑著"</f>
        <v>蔡剑著</v>
      </c>
      <c r="E2330" s="7" t="str">
        <f t="shared" ref="E2330:E2332" si="166">"清华大学出版社"</f>
        <v>清华大学出版社</v>
      </c>
      <c r="F2330" s="7" t="str">
        <f t="shared" ref="F2330:F2332" si="167">"F713.361.3/46"</f>
        <v>F713.361.3/46</v>
      </c>
    </row>
    <row r="2331" customHeight="1" spans="1:6">
      <c r="A2331" s="6">
        <v>2330</v>
      </c>
      <c r="B2331" s="7" t="str">
        <f t="shared" si="163"/>
        <v>978-7-302-56572-7</v>
      </c>
      <c r="C2331" s="7" t="str">
        <f t="shared" si="164"/>
        <v>价值互联网：超越区块链的经济变革：economic revolution beyond blockchain</v>
      </c>
      <c r="D2331" s="7" t="str">
        <f t="shared" si="165"/>
        <v>蔡剑著</v>
      </c>
      <c r="E2331" s="7" t="str">
        <f t="shared" si="166"/>
        <v>清华大学出版社</v>
      </c>
      <c r="F2331" s="7" t="str">
        <f t="shared" si="167"/>
        <v>F713.361.3/46</v>
      </c>
    </row>
    <row r="2332" customHeight="1" spans="1:6">
      <c r="A2332" s="6">
        <v>2331</v>
      </c>
      <c r="B2332" s="7" t="str">
        <f t="shared" si="163"/>
        <v>978-7-302-56572-7</v>
      </c>
      <c r="C2332" s="7" t="str">
        <f t="shared" si="164"/>
        <v>价值互联网：超越区块链的经济变革：economic revolution beyond blockchain</v>
      </c>
      <c r="D2332" s="7" t="str">
        <f t="shared" si="165"/>
        <v>蔡剑著</v>
      </c>
      <c r="E2332" s="7" t="str">
        <f t="shared" si="166"/>
        <v>清华大学出版社</v>
      </c>
      <c r="F2332" s="7" t="str">
        <f t="shared" si="167"/>
        <v>F713.361.3/46</v>
      </c>
    </row>
    <row r="2333" customHeight="1" spans="1:6">
      <c r="A2333" s="6">
        <v>2332</v>
      </c>
      <c r="B2333" s="8" t="s">
        <v>5522</v>
      </c>
      <c r="C2333" s="8" t="s">
        <v>5523</v>
      </c>
      <c r="D2333" s="8" t="s">
        <v>5524</v>
      </c>
      <c r="E2333" s="8" t="s">
        <v>311</v>
      </c>
      <c r="F2333" s="8" t="s">
        <v>5525</v>
      </c>
    </row>
    <row r="2334" customHeight="1" spans="1:6">
      <c r="A2334" s="6">
        <v>2333</v>
      </c>
      <c r="B2334" s="8" t="s">
        <v>5522</v>
      </c>
      <c r="C2334" s="8" t="s">
        <v>5523</v>
      </c>
      <c r="D2334" s="8" t="s">
        <v>5524</v>
      </c>
      <c r="E2334" s="8" t="s">
        <v>311</v>
      </c>
      <c r="F2334" s="8" t="s">
        <v>5525</v>
      </c>
    </row>
    <row r="2335" customHeight="1" spans="1:6">
      <c r="A2335" s="6">
        <v>2334</v>
      </c>
      <c r="B2335" s="8" t="s">
        <v>5526</v>
      </c>
      <c r="C2335" s="8" t="s">
        <v>5527</v>
      </c>
      <c r="D2335" s="8" t="s">
        <v>5528</v>
      </c>
      <c r="E2335" s="8" t="s">
        <v>256</v>
      </c>
      <c r="F2335" s="8" t="s">
        <v>5529</v>
      </c>
    </row>
    <row r="2336" customHeight="1" spans="1:6">
      <c r="A2336" s="6">
        <v>2335</v>
      </c>
      <c r="B2336" s="8" t="s">
        <v>5526</v>
      </c>
      <c r="C2336" s="8" t="s">
        <v>5527</v>
      </c>
      <c r="D2336" s="8" t="s">
        <v>5528</v>
      </c>
      <c r="E2336" s="8" t="s">
        <v>256</v>
      </c>
      <c r="F2336" s="8" t="s">
        <v>5529</v>
      </c>
    </row>
    <row r="2337" customHeight="1" spans="1:6">
      <c r="A2337" s="6">
        <v>2336</v>
      </c>
      <c r="B2337" s="8" t="s">
        <v>5530</v>
      </c>
      <c r="C2337" s="8" t="s">
        <v>5531</v>
      </c>
      <c r="D2337" s="8" t="s">
        <v>5532</v>
      </c>
      <c r="E2337" s="8" t="s">
        <v>3146</v>
      </c>
      <c r="F2337" s="8" t="s">
        <v>5533</v>
      </c>
    </row>
    <row r="2338" customHeight="1" spans="1:6">
      <c r="A2338" s="6">
        <v>2337</v>
      </c>
      <c r="B2338" s="8" t="s">
        <v>5530</v>
      </c>
      <c r="C2338" s="8" t="s">
        <v>5531</v>
      </c>
      <c r="D2338" s="8" t="s">
        <v>5532</v>
      </c>
      <c r="E2338" s="8" t="s">
        <v>3146</v>
      </c>
      <c r="F2338" s="8" t="s">
        <v>5533</v>
      </c>
    </row>
    <row r="2339" customHeight="1" spans="1:6">
      <c r="A2339" s="6">
        <v>2338</v>
      </c>
      <c r="B2339" s="8" t="s">
        <v>5534</v>
      </c>
      <c r="C2339" s="8" t="s">
        <v>5535</v>
      </c>
      <c r="D2339" s="8" t="s">
        <v>5536</v>
      </c>
      <c r="E2339" s="8" t="s">
        <v>2284</v>
      </c>
      <c r="F2339" s="8" t="s">
        <v>5537</v>
      </c>
    </row>
    <row r="2340" customHeight="1" spans="1:6">
      <c r="A2340" s="6">
        <v>2339</v>
      </c>
      <c r="B2340" s="8" t="s">
        <v>5534</v>
      </c>
      <c r="C2340" s="8" t="s">
        <v>5535</v>
      </c>
      <c r="D2340" s="8" t="s">
        <v>5536</v>
      </c>
      <c r="E2340" s="8" t="s">
        <v>2284</v>
      </c>
      <c r="F2340" s="8" t="s">
        <v>5537</v>
      </c>
    </row>
    <row r="2341" customHeight="1" spans="1:6">
      <c r="A2341" s="6">
        <v>2340</v>
      </c>
      <c r="B2341" s="8" t="s">
        <v>5534</v>
      </c>
      <c r="C2341" s="8" t="s">
        <v>5535</v>
      </c>
      <c r="D2341" s="8" t="s">
        <v>5536</v>
      </c>
      <c r="E2341" s="8" t="s">
        <v>2284</v>
      </c>
      <c r="F2341" s="8" t="s">
        <v>5537</v>
      </c>
    </row>
    <row r="2342" customHeight="1" spans="1:6">
      <c r="A2342" s="6">
        <v>2341</v>
      </c>
      <c r="B2342" s="8" t="s">
        <v>5538</v>
      </c>
      <c r="C2342" s="8" t="s">
        <v>5539</v>
      </c>
      <c r="D2342" s="8" t="s">
        <v>5540</v>
      </c>
      <c r="E2342" s="8" t="s">
        <v>2438</v>
      </c>
      <c r="F2342" s="8" t="s">
        <v>5541</v>
      </c>
    </row>
    <row r="2343" customHeight="1" spans="1:6">
      <c r="A2343" s="6">
        <v>2342</v>
      </c>
      <c r="B2343" s="8" t="s">
        <v>5538</v>
      </c>
      <c r="C2343" s="8" t="s">
        <v>5539</v>
      </c>
      <c r="D2343" s="8" t="s">
        <v>5540</v>
      </c>
      <c r="E2343" s="8" t="s">
        <v>2438</v>
      </c>
      <c r="F2343" s="8" t="s">
        <v>5541</v>
      </c>
    </row>
    <row r="2344" customHeight="1" spans="1:6">
      <c r="A2344" s="6">
        <v>2343</v>
      </c>
      <c r="B2344" s="8" t="s">
        <v>5542</v>
      </c>
      <c r="C2344" s="8" t="s">
        <v>5543</v>
      </c>
      <c r="D2344" s="8" t="s">
        <v>5544</v>
      </c>
      <c r="E2344" s="8" t="s">
        <v>3146</v>
      </c>
      <c r="F2344" s="8" t="s">
        <v>5545</v>
      </c>
    </row>
    <row r="2345" customHeight="1" spans="1:6">
      <c r="A2345" s="6">
        <v>2344</v>
      </c>
      <c r="B2345" s="8" t="s">
        <v>5542</v>
      </c>
      <c r="C2345" s="8" t="s">
        <v>5543</v>
      </c>
      <c r="D2345" s="8" t="s">
        <v>5544</v>
      </c>
      <c r="E2345" s="8" t="s">
        <v>3146</v>
      </c>
      <c r="F2345" s="8" t="s">
        <v>5545</v>
      </c>
    </row>
    <row r="2346" customHeight="1" spans="1:6">
      <c r="A2346" s="6">
        <v>2345</v>
      </c>
      <c r="B2346" s="8" t="s">
        <v>5546</v>
      </c>
      <c r="C2346" s="8" t="s">
        <v>5547</v>
      </c>
      <c r="D2346" s="8" t="s">
        <v>5548</v>
      </c>
      <c r="E2346" s="8" t="s">
        <v>360</v>
      </c>
      <c r="F2346" s="8" t="s">
        <v>5549</v>
      </c>
    </row>
    <row r="2347" customHeight="1" spans="1:6">
      <c r="A2347" s="6">
        <v>2346</v>
      </c>
      <c r="B2347" s="8" t="s">
        <v>5546</v>
      </c>
      <c r="C2347" s="8" t="s">
        <v>5547</v>
      </c>
      <c r="D2347" s="8" t="s">
        <v>5548</v>
      </c>
      <c r="E2347" s="8" t="s">
        <v>360</v>
      </c>
      <c r="F2347" s="8" t="s">
        <v>5549</v>
      </c>
    </row>
    <row r="2348" customHeight="1" spans="1:6">
      <c r="A2348" s="6">
        <v>2347</v>
      </c>
      <c r="B2348" s="8" t="s">
        <v>5550</v>
      </c>
      <c r="C2348" s="8" t="s">
        <v>5551</v>
      </c>
      <c r="D2348" s="8" t="s">
        <v>5552</v>
      </c>
      <c r="E2348" s="8" t="s">
        <v>810</v>
      </c>
      <c r="F2348" s="8" t="s">
        <v>5553</v>
      </c>
    </row>
    <row r="2349" customHeight="1" spans="1:6">
      <c r="A2349" s="6">
        <v>2348</v>
      </c>
      <c r="B2349" s="8" t="s">
        <v>5550</v>
      </c>
      <c r="C2349" s="8" t="s">
        <v>5551</v>
      </c>
      <c r="D2349" s="8" t="s">
        <v>5552</v>
      </c>
      <c r="E2349" s="8" t="s">
        <v>810</v>
      </c>
      <c r="F2349" s="8" t="s">
        <v>5553</v>
      </c>
    </row>
    <row r="2350" customHeight="1" spans="1:6">
      <c r="A2350" s="6">
        <v>2349</v>
      </c>
      <c r="B2350" s="8" t="s">
        <v>5550</v>
      </c>
      <c r="C2350" s="8" t="s">
        <v>5551</v>
      </c>
      <c r="D2350" s="8" t="s">
        <v>5552</v>
      </c>
      <c r="E2350" s="8" t="s">
        <v>810</v>
      </c>
      <c r="F2350" s="8" t="s">
        <v>5553</v>
      </c>
    </row>
    <row r="2351" customHeight="1" spans="1:6">
      <c r="A2351" s="6">
        <v>2350</v>
      </c>
      <c r="B2351" s="8" t="s">
        <v>5554</v>
      </c>
      <c r="C2351" s="8" t="s">
        <v>5555</v>
      </c>
      <c r="D2351" s="8" t="s">
        <v>5556</v>
      </c>
      <c r="E2351" s="8" t="s">
        <v>1427</v>
      </c>
      <c r="F2351" s="8" t="s">
        <v>5557</v>
      </c>
    </row>
    <row r="2352" customHeight="1" spans="1:6">
      <c r="A2352" s="6">
        <v>2351</v>
      </c>
      <c r="B2352" s="8" t="s">
        <v>5554</v>
      </c>
      <c r="C2352" s="8" t="s">
        <v>5555</v>
      </c>
      <c r="D2352" s="8" t="s">
        <v>5556</v>
      </c>
      <c r="E2352" s="8" t="s">
        <v>1427</v>
      </c>
      <c r="F2352" s="8" t="s">
        <v>5557</v>
      </c>
    </row>
    <row r="2353" customHeight="1" spans="1:6">
      <c r="A2353" s="6">
        <v>2352</v>
      </c>
      <c r="B2353" s="8" t="s">
        <v>5554</v>
      </c>
      <c r="C2353" s="8" t="s">
        <v>5555</v>
      </c>
      <c r="D2353" s="8" t="s">
        <v>5556</v>
      </c>
      <c r="E2353" s="8" t="s">
        <v>1427</v>
      </c>
      <c r="F2353" s="8" t="s">
        <v>5557</v>
      </c>
    </row>
    <row r="2354" customHeight="1" spans="1:6">
      <c r="A2354" s="6">
        <v>2353</v>
      </c>
      <c r="B2354" s="8" t="s">
        <v>5558</v>
      </c>
      <c r="C2354" s="8" t="s">
        <v>5559</v>
      </c>
      <c r="D2354" s="8" t="s">
        <v>5560</v>
      </c>
      <c r="E2354" s="8" t="s">
        <v>1796</v>
      </c>
      <c r="F2354" s="8" t="s">
        <v>5561</v>
      </c>
    </row>
    <row r="2355" customHeight="1" spans="1:6">
      <c r="A2355" s="6">
        <v>2354</v>
      </c>
      <c r="B2355" s="8" t="s">
        <v>5558</v>
      </c>
      <c r="C2355" s="8" t="s">
        <v>5559</v>
      </c>
      <c r="D2355" s="8" t="s">
        <v>5560</v>
      </c>
      <c r="E2355" s="8" t="s">
        <v>1796</v>
      </c>
      <c r="F2355" s="8" t="s">
        <v>5561</v>
      </c>
    </row>
    <row r="2356" customHeight="1" spans="1:6">
      <c r="A2356" s="6">
        <v>2355</v>
      </c>
      <c r="B2356" s="8" t="s">
        <v>5562</v>
      </c>
      <c r="C2356" s="8" t="s">
        <v>5563</v>
      </c>
      <c r="D2356" s="8" t="s">
        <v>5564</v>
      </c>
      <c r="E2356" s="8" t="s">
        <v>375</v>
      </c>
      <c r="F2356" s="8" t="s">
        <v>5565</v>
      </c>
    </row>
    <row r="2357" customHeight="1" spans="1:6">
      <c r="A2357" s="6">
        <v>2356</v>
      </c>
      <c r="B2357" s="8" t="s">
        <v>5562</v>
      </c>
      <c r="C2357" s="8" t="s">
        <v>5563</v>
      </c>
      <c r="D2357" s="8" t="s">
        <v>5564</v>
      </c>
      <c r="E2357" s="8" t="s">
        <v>375</v>
      </c>
      <c r="F2357" s="8" t="s">
        <v>5565</v>
      </c>
    </row>
    <row r="2358" customHeight="1" spans="1:6">
      <c r="A2358" s="6">
        <v>2357</v>
      </c>
      <c r="B2358" s="7" t="str">
        <f>"978-7-5201-7377-3"</f>
        <v>978-7-5201-7377-3</v>
      </c>
      <c r="C2358" s="7" t="str">
        <f>"中国区块链应用发展研究报告．2020．2020"</f>
        <v>中国区块链应用发展研究报告．2020．2020</v>
      </c>
      <c r="D2358" s="7" t="str">
        <f>"主编叶蓁蓁， 罗华"</f>
        <v>主编叶蓁蓁， 罗华</v>
      </c>
      <c r="E2358" s="7" t="str">
        <f>"社会科学文献出版社"</f>
        <v>社会科学文献出版社</v>
      </c>
      <c r="F2358" s="7" t="str">
        <f>"F713.361/134/2020"</f>
        <v>F713.361/134/2020</v>
      </c>
    </row>
    <row r="2359" customHeight="1" spans="1:6">
      <c r="A2359" s="6">
        <v>2358</v>
      </c>
      <c r="B2359" s="7" t="str">
        <f>"978-7-5201-7377-3"</f>
        <v>978-7-5201-7377-3</v>
      </c>
      <c r="C2359" s="7" t="str">
        <f>"中国区块链应用发展研究报告．2020．2020"</f>
        <v>中国区块链应用发展研究报告．2020．2020</v>
      </c>
      <c r="D2359" s="7" t="str">
        <f>"主编叶蓁蓁， 罗华"</f>
        <v>主编叶蓁蓁， 罗华</v>
      </c>
      <c r="E2359" s="7" t="str">
        <f>"社会科学文献出版社"</f>
        <v>社会科学文献出版社</v>
      </c>
      <c r="F2359" s="7" t="str">
        <f>"F713.361/134/2020"</f>
        <v>F713.361/134/2020</v>
      </c>
    </row>
    <row r="2360" customHeight="1" spans="1:6">
      <c r="A2360" s="6">
        <v>2359</v>
      </c>
      <c r="B2360" s="8" t="s">
        <v>5566</v>
      </c>
      <c r="C2360" s="8" t="s">
        <v>5567</v>
      </c>
      <c r="D2360" s="8" t="s">
        <v>5568</v>
      </c>
      <c r="E2360" s="8" t="s">
        <v>5569</v>
      </c>
      <c r="F2360" s="8" t="s">
        <v>5570</v>
      </c>
    </row>
    <row r="2361" customHeight="1" spans="1:6">
      <c r="A2361" s="6">
        <v>2360</v>
      </c>
      <c r="B2361" s="8" t="s">
        <v>5566</v>
      </c>
      <c r="C2361" s="8" t="s">
        <v>5567</v>
      </c>
      <c r="D2361" s="8" t="s">
        <v>5568</v>
      </c>
      <c r="E2361" s="8" t="s">
        <v>5569</v>
      </c>
      <c r="F2361" s="8" t="s">
        <v>5570</v>
      </c>
    </row>
    <row r="2362" customHeight="1" spans="1:6">
      <c r="A2362" s="6">
        <v>2361</v>
      </c>
      <c r="B2362" s="8" t="s">
        <v>5566</v>
      </c>
      <c r="C2362" s="8" t="s">
        <v>5567</v>
      </c>
      <c r="D2362" s="8" t="s">
        <v>5568</v>
      </c>
      <c r="E2362" s="8" t="s">
        <v>5569</v>
      </c>
      <c r="F2362" s="8" t="s">
        <v>5570</v>
      </c>
    </row>
    <row r="2363" customHeight="1" spans="1:6">
      <c r="A2363" s="6">
        <v>2362</v>
      </c>
      <c r="B2363" s="7" t="str">
        <f>"978-7-121-41921-8"</f>
        <v>978-7-121-41921-8</v>
      </c>
      <c r="C2363" s="7" t="str">
        <f>"电子商务安全"</f>
        <v>电子商务安全</v>
      </c>
      <c r="D2363" s="7" t="str">
        <f>"主编王丽芳"</f>
        <v>主编王丽芳</v>
      </c>
      <c r="E2363" s="7" t="str">
        <f>"电子工业出版社"</f>
        <v>电子工业出版社</v>
      </c>
      <c r="F2363" s="7" t="str">
        <f>"F713.363/249=2D"</f>
        <v>F713.363/249=2D</v>
      </c>
    </row>
    <row r="2364" customHeight="1" spans="1:6">
      <c r="A2364" s="6">
        <v>2363</v>
      </c>
      <c r="B2364" s="7" t="str">
        <f>"978-7-121-41921-8"</f>
        <v>978-7-121-41921-8</v>
      </c>
      <c r="C2364" s="7" t="str">
        <f>"电子商务安全"</f>
        <v>电子商务安全</v>
      </c>
      <c r="D2364" s="7" t="str">
        <f>"主编王丽芳"</f>
        <v>主编王丽芳</v>
      </c>
      <c r="E2364" s="7" t="str">
        <f>"电子工业出版社"</f>
        <v>电子工业出版社</v>
      </c>
      <c r="F2364" s="7" t="str">
        <f>"F713.363/249=2D"</f>
        <v>F713.363/249=2D</v>
      </c>
    </row>
    <row r="2365" customHeight="1" spans="1:6">
      <c r="A2365" s="6">
        <v>2364</v>
      </c>
      <c r="B2365" s="7" t="str">
        <f>"978-7-5692-6893-5"</f>
        <v>978-7-5692-6893-5</v>
      </c>
      <c r="C2365" s="7" t="str">
        <f>"电商运营策略与实操案例"</f>
        <v>电商运营策略与实操案例</v>
      </c>
      <c r="D2365" s="7" t="str">
        <f>"陈静著"</f>
        <v>陈静著</v>
      </c>
      <c r="E2365" s="7" t="str">
        <f>"吉林大学出版社"</f>
        <v>吉林大学出版社</v>
      </c>
      <c r="F2365" s="7" t="str">
        <f>"F713.365.1/10"</f>
        <v>F713.365.1/10</v>
      </c>
    </row>
    <row r="2366" customHeight="1" spans="1:6">
      <c r="A2366" s="6">
        <v>2365</v>
      </c>
      <c r="B2366" s="7" t="str">
        <f>"978-7-5692-6893-5"</f>
        <v>978-7-5692-6893-5</v>
      </c>
      <c r="C2366" s="7" t="str">
        <f>"电商运营策略与实操案例"</f>
        <v>电商运营策略与实操案例</v>
      </c>
      <c r="D2366" s="7" t="str">
        <f>"陈静著"</f>
        <v>陈静著</v>
      </c>
      <c r="E2366" s="7" t="str">
        <f>"吉林大学出版社"</f>
        <v>吉林大学出版社</v>
      </c>
      <c r="F2366" s="7" t="str">
        <f>"F713.365.1/10"</f>
        <v>F713.365.1/10</v>
      </c>
    </row>
    <row r="2367" customHeight="1" spans="1:6">
      <c r="A2367" s="6">
        <v>2366</v>
      </c>
      <c r="B2367" s="7" t="str">
        <f>"978-7-302-55204-8"</f>
        <v>978-7-302-55204-8</v>
      </c>
      <c r="C2367" s="7" t="str">
        <f>"跨境电商：平台规则+采购物流+通关合规全案：platform rules+procurement logistics+clearance compliance"</f>
        <v>跨境电商：平台规则+采购物流+通关合规全案：platform rules+procurement logistics+clearance compliance</v>
      </c>
      <c r="D2367" s="7" t="str">
        <f>"农家庆著"</f>
        <v>农家庆著</v>
      </c>
      <c r="E2367" s="7" t="str">
        <f>"清华大学出版社"</f>
        <v>清华大学出版社</v>
      </c>
      <c r="F2367" s="7" t="str">
        <f>"F713.365.1/11"</f>
        <v>F713.365.1/11</v>
      </c>
    </row>
    <row r="2368" customHeight="1" spans="1:6">
      <c r="A2368" s="6">
        <v>2367</v>
      </c>
      <c r="B2368" s="7" t="str">
        <f>"978-7-302-55204-8"</f>
        <v>978-7-302-55204-8</v>
      </c>
      <c r="C2368" s="7" t="str">
        <f>"跨境电商：平台规则+采购物流+通关合规全案：platform rules+procurement logistics+clearance compliance"</f>
        <v>跨境电商：平台规则+采购物流+通关合规全案：platform rules+procurement logistics+clearance compliance</v>
      </c>
      <c r="D2368" s="7" t="str">
        <f>"农家庆著"</f>
        <v>农家庆著</v>
      </c>
      <c r="E2368" s="7" t="str">
        <f>"清华大学出版社"</f>
        <v>清华大学出版社</v>
      </c>
      <c r="F2368" s="7" t="str">
        <f>"F713.365.1/11"</f>
        <v>F713.365.1/11</v>
      </c>
    </row>
    <row r="2369" customHeight="1" spans="1:6">
      <c r="A2369" s="6">
        <v>2368</v>
      </c>
      <c r="B2369" s="8" t="s">
        <v>5571</v>
      </c>
      <c r="C2369" s="8" t="s">
        <v>5572</v>
      </c>
      <c r="D2369" s="8" t="s">
        <v>5573</v>
      </c>
      <c r="E2369" s="8" t="s">
        <v>239</v>
      </c>
      <c r="F2369" s="8" t="s">
        <v>5574</v>
      </c>
    </row>
    <row r="2370" customHeight="1" spans="1:6">
      <c r="A2370" s="6">
        <v>2369</v>
      </c>
      <c r="B2370" s="8" t="s">
        <v>5571</v>
      </c>
      <c r="C2370" s="8" t="s">
        <v>5572</v>
      </c>
      <c r="D2370" s="8" t="s">
        <v>5573</v>
      </c>
      <c r="E2370" s="8" t="s">
        <v>239</v>
      </c>
      <c r="F2370" s="8" t="s">
        <v>5574</v>
      </c>
    </row>
    <row r="2371" customHeight="1" spans="1:6">
      <c r="A2371" s="6">
        <v>2370</v>
      </c>
      <c r="B2371" s="8" t="s">
        <v>5575</v>
      </c>
      <c r="C2371" s="8" t="s">
        <v>5576</v>
      </c>
      <c r="D2371" s="8" t="s">
        <v>5577</v>
      </c>
      <c r="E2371" s="8" t="s">
        <v>1355</v>
      </c>
      <c r="F2371" s="8" t="s">
        <v>5578</v>
      </c>
    </row>
    <row r="2372" customHeight="1" spans="1:6">
      <c r="A2372" s="6">
        <v>2371</v>
      </c>
      <c r="B2372" s="8" t="s">
        <v>5575</v>
      </c>
      <c r="C2372" s="8" t="s">
        <v>5576</v>
      </c>
      <c r="D2372" s="8" t="s">
        <v>5577</v>
      </c>
      <c r="E2372" s="8" t="s">
        <v>1355</v>
      </c>
      <c r="F2372" s="8" t="s">
        <v>5578</v>
      </c>
    </row>
    <row r="2373" customHeight="1" spans="1:6">
      <c r="A2373" s="6">
        <v>2372</v>
      </c>
      <c r="B2373" s="8" t="s">
        <v>5579</v>
      </c>
      <c r="C2373" s="8" t="s">
        <v>5580</v>
      </c>
      <c r="D2373" s="8" t="s">
        <v>5581</v>
      </c>
      <c r="E2373" s="8" t="s">
        <v>375</v>
      </c>
      <c r="F2373" s="8" t="s">
        <v>5582</v>
      </c>
    </row>
    <row r="2374" customHeight="1" spans="1:6">
      <c r="A2374" s="6">
        <v>2373</v>
      </c>
      <c r="B2374" s="8" t="s">
        <v>5579</v>
      </c>
      <c r="C2374" s="8" t="s">
        <v>5580</v>
      </c>
      <c r="D2374" s="8" t="s">
        <v>5581</v>
      </c>
      <c r="E2374" s="8" t="s">
        <v>375</v>
      </c>
      <c r="F2374" s="8" t="s">
        <v>5582</v>
      </c>
    </row>
    <row r="2375" customHeight="1" spans="1:6">
      <c r="A2375" s="6">
        <v>2374</v>
      </c>
      <c r="B2375" s="8" t="s">
        <v>5583</v>
      </c>
      <c r="C2375" s="8" t="s">
        <v>5584</v>
      </c>
      <c r="D2375" s="8" t="s">
        <v>5585</v>
      </c>
      <c r="E2375" s="8" t="s">
        <v>530</v>
      </c>
      <c r="F2375" s="8" t="s">
        <v>5586</v>
      </c>
    </row>
    <row r="2376" customHeight="1" spans="1:6">
      <c r="A2376" s="6">
        <v>2375</v>
      </c>
      <c r="B2376" s="8" t="s">
        <v>5583</v>
      </c>
      <c r="C2376" s="8" t="s">
        <v>5584</v>
      </c>
      <c r="D2376" s="8" t="s">
        <v>5585</v>
      </c>
      <c r="E2376" s="8" t="s">
        <v>530</v>
      </c>
      <c r="F2376" s="8" t="s">
        <v>5586</v>
      </c>
    </row>
    <row r="2377" customHeight="1" spans="1:6">
      <c r="A2377" s="6">
        <v>2376</v>
      </c>
      <c r="B2377" s="8" t="s">
        <v>5583</v>
      </c>
      <c r="C2377" s="8" t="s">
        <v>5584</v>
      </c>
      <c r="D2377" s="8" t="s">
        <v>5585</v>
      </c>
      <c r="E2377" s="8" t="s">
        <v>530</v>
      </c>
      <c r="F2377" s="8" t="s">
        <v>5586</v>
      </c>
    </row>
    <row r="2378" customHeight="1" spans="1:6">
      <c r="A2378" s="6">
        <v>2377</v>
      </c>
      <c r="B2378" s="7" t="str">
        <f>"978-7-121-41585-2"</f>
        <v>978-7-121-41585-2</v>
      </c>
      <c r="C2378" s="7" t="str">
        <f>"电商多平台运营实战：淘宝、京东、拼多多、抖音"</f>
        <v>电商多平台运营实战：淘宝、京东、拼多多、抖音</v>
      </c>
      <c r="D2378" s="7" t="str">
        <f>"徐洪峰， 崔恒华编著"</f>
        <v>徐洪峰， 崔恒华编著</v>
      </c>
      <c r="E2378" s="7" t="str">
        <f>"电子工业出版社"</f>
        <v>电子工业出版社</v>
      </c>
      <c r="F2378" s="7" t="str">
        <f>"F713.365.1/8"</f>
        <v>F713.365.1/8</v>
      </c>
    </row>
    <row r="2379" customHeight="1" spans="1:6">
      <c r="A2379" s="6">
        <v>2378</v>
      </c>
      <c r="B2379" s="7" t="str">
        <f>"978-7-121-41585-2"</f>
        <v>978-7-121-41585-2</v>
      </c>
      <c r="C2379" s="7" t="str">
        <f>"电商多平台运营实战：淘宝、京东、拼多多、抖音"</f>
        <v>电商多平台运营实战：淘宝、京东、拼多多、抖音</v>
      </c>
      <c r="D2379" s="7" t="str">
        <f>"徐洪峰， 崔恒华编著"</f>
        <v>徐洪峰， 崔恒华编著</v>
      </c>
      <c r="E2379" s="7" t="str">
        <f>"电子工业出版社"</f>
        <v>电子工业出版社</v>
      </c>
      <c r="F2379" s="7" t="str">
        <f>"F713.365.1/8"</f>
        <v>F713.365.1/8</v>
      </c>
    </row>
    <row r="2380" customHeight="1" spans="1:6">
      <c r="A2380" s="6">
        <v>2379</v>
      </c>
      <c r="B2380" s="7" t="str">
        <f t="shared" ref="B2380:B2382" si="168">"978-7-115-56414-6"</f>
        <v>978-7-115-56414-6</v>
      </c>
      <c r="C2380" s="7" t="str">
        <f t="shared" ref="C2380:C2382" si="169">"跨境电商数据运营与管理"</f>
        <v>跨境电商数据运营与管理</v>
      </c>
      <c r="D2380" s="7" t="str">
        <f t="shared" ref="D2380:D2382" si="170">"邹益民， 旷彦昌主编"</f>
        <v>邹益民， 旷彦昌主编</v>
      </c>
      <c r="E2380" s="7" t="str">
        <f t="shared" ref="E2380:E2382" si="171">"人民邮电出版社"</f>
        <v>人民邮电出版社</v>
      </c>
      <c r="F2380" s="7" t="str">
        <f t="shared" ref="F2380:F2382" si="172">"F713.365.1/9"</f>
        <v>F713.365.1/9</v>
      </c>
    </row>
    <row r="2381" customHeight="1" spans="1:6">
      <c r="A2381" s="6">
        <v>2380</v>
      </c>
      <c r="B2381" s="7" t="str">
        <f t="shared" si="168"/>
        <v>978-7-115-56414-6</v>
      </c>
      <c r="C2381" s="7" t="str">
        <f t="shared" si="169"/>
        <v>跨境电商数据运营与管理</v>
      </c>
      <c r="D2381" s="7" t="str">
        <f t="shared" si="170"/>
        <v>邹益民， 旷彦昌主编</v>
      </c>
      <c r="E2381" s="7" t="str">
        <f t="shared" si="171"/>
        <v>人民邮电出版社</v>
      </c>
      <c r="F2381" s="7" t="str">
        <f t="shared" si="172"/>
        <v>F713.365.1/9</v>
      </c>
    </row>
    <row r="2382" customHeight="1" spans="1:6">
      <c r="A2382" s="6">
        <v>2381</v>
      </c>
      <c r="B2382" s="7" t="str">
        <f t="shared" si="168"/>
        <v>978-7-115-56414-6</v>
      </c>
      <c r="C2382" s="7" t="str">
        <f t="shared" si="169"/>
        <v>跨境电商数据运营与管理</v>
      </c>
      <c r="D2382" s="7" t="str">
        <f t="shared" si="170"/>
        <v>邹益民， 旷彦昌主编</v>
      </c>
      <c r="E2382" s="7" t="str">
        <f t="shared" si="171"/>
        <v>人民邮电出版社</v>
      </c>
      <c r="F2382" s="7" t="str">
        <f t="shared" si="172"/>
        <v>F713.365.1/9</v>
      </c>
    </row>
    <row r="2383" customHeight="1" spans="1:6">
      <c r="A2383" s="6">
        <v>2382</v>
      </c>
      <c r="B2383" s="7" t="str">
        <f>"978-7-5217-2757-9"</f>
        <v>978-7-5217-2757-9</v>
      </c>
      <c r="C2383" s="7" t="str">
        <f>"直播时代：快手是什么．Ⅱ"</f>
        <v>直播时代：快手是什么．Ⅱ</v>
      </c>
      <c r="D2383" s="7" t="str">
        <f>"快手研究院著"</f>
        <v>快手研究院著</v>
      </c>
      <c r="E2383" s="7" t="str">
        <f>"中信出版集团股份有限公司"</f>
        <v>中信出版集团股份有限公司</v>
      </c>
      <c r="F2383" s="7" t="str">
        <f>"F713.365.2/221/2"</f>
        <v>F713.365.2/221/2</v>
      </c>
    </row>
    <row r="2384" customHeight="1" spans="1:6">
      <c r="A2384" s="6">
        <v>2383</v>
      </c>
      <c r="B2384" s="7" t="str">
        <f>"978-7-5217-2757-9"</f>
        <v>978-7-5217-2757-9</v>
      </c>
      <c r="C2384" s="7" t="str">
        <f>"直播时代：快手是什么．Ⅱ"</f>
        <v>直播时代：快手是什么．Ⅱ</v>
      </c>
      <c r="D2384" s="7" t="str">
        <f>"快手研究院著"</f>
        <v>快手研究院著</v>
      </c>
      <c r="E2384" s="7" t="str">
        <f>"中信出版集团股份有限公司"</f>
        <v>中信出版集团股份有限公司</v>
      </c>
      <c r="F2384" s="7" t="str">
        <f>"F713.365.2/221/2"</f>
        <v>F713.365.2/221/2</v>
      </c>
    </row>
    <row r="2385" customHeight="1" spans="1:6">
      <c r="A2385" s="6">
        <v>2384</v>
      </c>
      <c r="B2385" s="7" t="str">
        <f>"978-7-115-44179-9"</f>
        <v>978-7-115-44179-9</v>
      </c>
      <c r="C2385" s="7" t="str">
        <f>"电商销售心理学：把东西卖给任何人的网络营销方法"</f>
        <v>电商销售心理学：把东西卖给任何人的网络营销方法</v>
      </c>
      <c r="D2385" s="7" t="str">
        <f>"李改霞著"</f>
        <v>李改霞著</v>
      </c>
      <c r="E2385" s="7" t="str">
        <f>"人民邮电出版社"</f>
        <v>人民邮电出版社</v>
      </c>
      <c r="F2385" s="7" t="str">
        <f>"F713.365.2/222"</f>
        <v>F713.365.2/222</v>
      </c>
    </row>
    <row r="2386" customHeight="1" spans="1:6">
      <c r="A2386" s="6">
        <v>2385</v>
      </c>
      <c r="B2386" s="7" t="str">
        <f>"978-7-115-44179-9"</f>
        <v>978-7-115-44179-9</v>
      </c>
      <c r="C2386" s="7" t="str">
        <f>"电商销售心理学：把东西卖给任何人的网络营销方法"</f>
        <v>电商销售心理学：把东西卖给任何人的网络营销方法</v>
      </c>
      <c r="D2386" s="7" t="str">
        <f>"李改霞著"</f>
        <v>李改霞著</v>
      </c>
      <c r="E2386" s="7" t="str">
        <f>"人民邮电出版社"</f>
        <v>人民邮电出版社</v>
      </c>
      <c r="F2386" s="7" t="str">
        <f>"F713.365.2/222"</f>
        <v>F713.365.2/222</v>
      </c>
    </row>
    <row r="2387" customHeight="1" spans="1:6">
      <c r="A2387" s="6">
        <v>2386</v>
      </c>
      <c r="B2387" s="7" t="str">
        <f>"978-7-113-27617-1"</f>
        <v>978-7-113-27617-1</v>
      </c>
      <c r="C2387" s="7" t="str">
        <f>"电子商务短视频营销：如何拍出吸引人的短视频"</f>
        <v>电子商务短视频营销：如何拍出吸引人的短视频</v>
      </c>
      <c r="D2387" s="7" t="str">
        <f>"杨光瑶编著"</f>
        <v>杨光瑶编著</v>
      </c>
      <c r="E2387" s="7" t="str">
        <f>"中国铁道出版社有限公司"</f>
        <v>中国铁道出版社有限公司</v>
      </c>
      <c r="F2387" s="7" t="str">
        <f>"F713.365.2/223"</f>
        <v>F713.365.2/223</v>
      </c>
    </row>
    <row r="2388" customHeight="1" spans="1:6">
      <c r="A2388" s="6">
        <v>2387</v>
      </c>
      <c r="B2388" s="7" t="str">
        <f>"978-7-113-27617-1"</f>
        <v>978-7-113-27617-1</v>
      </c>
      <c r="C2388" s="7" t="str">
        <f>"电子商务短视频营销：如何拍出吸引人的短视频"</f>
        <v>电子商务短视频营销：如何拍出吸引人的短视频</v>
      </c>
      <c r="D2388" s="7" t="str">
        <f>"杨光瑶编著"</f>
        <v>杨光瑶编著</v>
      </c>
      <c r="E2388" s="7" t="str">
        <f>"中国铁道出版社有限公司"</f>
        <v>中国铁道出版社有限公司</v>
      </c>
      <c r="F2388" s="7" t="str">
        <f>"F713.365.2/223"</f>
        <v>F713.365.2/223</v>
      </c>
    </row>
    <row r="2389" customHeight="1" spans="1:6">
      <c r="A2389" s="6">
        <v>2388</v>
      </c>
      <c r="B2389" s="7" t="str">
        <f>"978-7-111-67323-1"</f>
        <v>978-7-111-67323-1</v>
      </c>
      <c r="C2389" s="7" t="str">
        <f>"电商直播：视频新玩法就这么简单"</f>
        <v>电商直播：视频新玩法就这么简单</v>
      </c>
      <c r="D2389" s="7" t="str">
        <f>"钱政娟， 胡军等编著"</f>
        <v>钱政娟， 胡军等编著</v>
      </c>
      <c r="E2389" s="7" t="str">
        <f>"机械工业出版社"</f>
        <v>机械工业出版社</v>
      </c>
      <c r="F2389" s="7" t="str">
        <f>"F713.365.2/224"</f>
        <v>F713.365.2/224</v>
      </c>
    </row>
    <row r="2390" customHeight="1" spans="1:6">
      <c r="A2390" s="6">
        <v>2389</v>
      </c>
      <c r="B2390" s="7" t="str">
        <f>"978-7-111-67323-1"</f>
        <v>978-7-111-67323-1</v>
      </c>
      <c r="C2390" s="7" t="str">
        <f>"电商直播：视频新玩法就这么简单"</f>
        <v>电商直播：视频新玩法就这么简单</v>
      </c>
      <c r="D2390" s="7" t="str">
        <f>"钱政娟， 胡军等编著"</f>
        <v>钱政娟， 胡军等编著</v>
      </c>
      <c r="E2390" s="7" t="str">
        <f>"机械工业出版社"</f>
        <v>机械工业出版社</v>
      </c>
      <c r="F2390" s="7" t="str">
        <f>"F713.365.2/224"</f>
        <v>F713.365.2/224</v>
      </c>
    </row>
    <row r="2391" customHeight="1" spans="1:6">
      <c r="A2391" s="6">
        <v>2390</v>
      </c>
      <c r="B2391" s="7" t="str">
        <f>"978-7-115-46891-8"</f>
        <v>978-7-115-46891-8</v>
      </c>
      <c r="C2391" s="7" t="str">
        <f>"社交电商全运营手册：战略框架+案例解析+实战技巧"</f>
        <v>社交电商全运营手册：战略框架+案例解析+实战技巧</v>
      </c>
      <c r="D2391" s="7" t="str">
        <f>"刘健， 欧阳日辉， 文丹枫著"</f>
        <v>刘健， 欧阳日辉， 文丹枫著</v>
      </c>
      <c r="E2391" s="7" t="str">
        <f>"人民邮电出版社"</f>
        <v>人民邮电出版社</v>
      </c>
      <c r="F2391" s="7" t="str">
        <f>"F713.365.2/225"</f>
        <v>F713.365.2/225</v>
      </c>
    </row>
    <row r="2392" customHeight="1" spans="1:6">
      <c r="A2392" s="6">
        <v>2391</v>
      </c>
      <c r="B2392" s="7" t="str">
        <f>"978-7-115-46891-8"</f>
        <v>978-7-115-46891-8</v>
      </c>
      <c r="C2392" s="7" t="str">
        <f>"社交电商全运营手册：战略框架+案例解析+实战技巧"</f>
        <v>社交电商全运营手册：战略框架+案例解析+实战技巧</v>
      </c>
      <c r="D2392" s="7" t="str">
        <f>"刘健， 欧阳日辉， 文丹枫著"</f>
        <v>刘健， 欧阳日辉， 文丹枫著</v>
      </c>
      <c r="E2392" s="7" t="str">
        <f>"人民邮电出版社"</f>
        <v>人民邮电出版社</v>
      </c>
      <c r="F2392" s="7" t="str">
        <f>"F713.365.2/225"</f>
        <v>F713.365.2/225</v>
      </c>
    </row>
    <row r="2393" customHeight="1" spans="1:6">
      <c r="A2393" s="6">
        <v>2392</v>
      </c>
      <c r="B2393" s="7" t="str">
        <f t="shared" ref="B2393:B2395" si="173">"978-7-222-19966-8"</f>
        <v>978-7-222-19966-8</v>
      </c>
      <c r="C2393" s="7" t="str">
        <f t="shared" ref="C2393:C2395" si="174">"微信营销36计"</f>
        <v>微信营销36计</v>
      </c>
      <c r="D2393" s="7" t="str">
        <f t="shared" ref="D2393:D2395" si="175">"吴学刚编著"</f>
        <v>吴学刚编著</v>
      </c>
      <c r="E2393" s="7" t="str">
        <f t="shared" ref="E2393:E2395" si="176">"云南人民出版社"</f>
        <v>云南人民出版社</v>
      </c>
      <c r="F2393" s="7" t="str">
        <f t="shared" ref="F2393:F2395" si="177">"F713.365.2/226"</f>
        <v>F713.365.2/226</v>
      </c>
    </row>
    <row r="2394" customHeight="1" spans="1:6">
      <c r="A2394" s="6">
        <v>2393</v>
      </c>
      <c r="B2394" s="7" t="str">
        <f t="shared" si="173"/>
        <v>978-7-222-19966-8</v>
      </c>
      <c r="C2394" s="7" t="str">
        <f t="shared" si="174"/>
        <v>微信营销36计</v>
      </c>
      <c r="D2394" s="7" t="str">
        <f t="shared" si="175"/>
        <v>吴学刚编著</v>
      </c>
      <c r="E2394" s="7" t="str">
        <f t="shared" si="176"/>
        <v>云南人民出版社</v>
      </c>
      <c r="F2394" s="7" t="str">
        <f t="shared" si="177"/>
        <v>F713.365.2/226</v>
      </c>
    </row>
    <row r="2395" customHeight="1" spans="1:6">
      <c r="A2395" s="6">
        <v>2394</v>
      </c>
      <c r="B2395" s="7" t="str">
        <f t="shared" si="173"/>
        <v>978-7-222-19966-8</v>
      </c>
      <c r="C2395" s="7" t="str">
        <f t="shared" si="174"/>
        <v>微信营销36计</v>
      </c>
      <c r="D2395" s="7" t="str">
        <f t="shared" si="175"/>
        <v>吴学刚编著</v>
      </c>
      <c r="E2395" s="7" t="str">
        <f t="shared" si="176"/>
        <v>云南人民出版社</v>
      </c>
      <c r="F2395" s="7" t="str">
        <f t="shared" si="177"/>
        <v>F713.365.2/226</v>
      </c>
    </row>
    <row r="2396" customHeight="1" spans="1:6">
      <c r="A2396" s="6">
        <v>2395</v>
      </c>
      <c r="B2396" s="8" t="s">
        <v>5587</v>
      </c>
      <c r="C2396" s="8" t="s">
        <v>5588</v>
      </c>
      <c r="D2396" s="8" t="s">
        <v>5589</v>
      </c>
      <c r="E2396" s="8" t="s">
        <v>2230</v>
      </c>
      <c r="F2396" s="8" t="s">
        <v>5590</v>
      </c>
    </row>
    <row r="2397" customHeight="1" spans="1:6">
      <c r="A2397" s="6">
        <v>2396</v>
      </c>
      <c r="B2397" s="8" t="s">
        <v>5587</v>
      </c>
      <c r="C2397" s="8" t="s">
        <v>5588</v>
      </c>
      <c r="D2397" s="8" t="s">
        <v>5589</v>
      </c>
      <c r="E2397" s="8" t="s">
        <v>2230</v>
      </c>
      <c r="F2397" s="8" t="s">
        <v>5590</v>
      </c>
    </row>
    <row r="2398" customHeight="1" spans="1:6">
      <c r="A2398" s="6">
        <v>2397</v>
      </c>
      <c r="B2398" s="8" t="s">
        <v>5587</v>
      </c>
      <c r="C2398" s="8" t="s">
        <v>5588</v>
      </c>
      <c r="D2398" s="8" t="s">
        <v>5589</v>
      </c>
      <c r="E2398" s="8" t="s">
        <v>2230</v>
      </c>
      <c r="F2398" s="8" t="s">
        <v>5590</v>
      </c>
    </row>
    <row r="2399" customHeight="1" spans="1:6">
      <c r="A2399" s="6">
        <v>2398</v>
      </c>
      <c r="B2399" s="8" t="s">
        <v>5591</v>
      </c>
      <c r="C2399" s="8" t="s">
        <v>5592</v>
      </c>
      <c r="D2399" s="8" t="s">
        <v>5593</v>
      </c>
      <c r="E2399" s="8" t="s">
        <v>5594</v>
      </c>
      <c r="F2399" s="8" t="s">
        <v>5595</v>
      </c>
    </row>
    <row r="2400" customHeight="1" spans="1:6">
      <c r="A2400" s="6">
        <v>2399</v>
      </c>
      <c r="B2400" s="8" t="s">
        <v>5591</v>
      </c>
      <c r="C2400" s="8" t="s">
        <v>5592</v>
      </c>
      <c r="D2400" s="8" t="s">
        <v>5593</v>
      </c>
      <c r="E2400" s="8" t="s">
        <v>5594</v>
      </c>
      <c r="F2400" s="8" t="s">
        <v>5595</v>
      </c>
    </row>
    <row r="2401" customHeight="1" spans="1:6">
      <c r="A2401" s="6">
        <v>2400</v>
      </c>
      <c r="B2401" s="8" t="s">
        <v>5591</v>
      </c>
      <c r="C2401" s="8" t="s">
        <v>5592</v>
      </c>
      <c r="D2401" s="8" t="s">
        <v>5593</v>
      </c>
      <c r="E2401" s="8" t="s">
        <v>5594</v>
      </c>
      <c r="F2401" s="8" t="s">
        <v>5595</v>
      </c>
    </row>
    <row r="2402" customHeight="1" spans="1:6">
      <c r="A2402" s="6">
        <v>2401</v>
      </c>
      <c r="B2402" s="8" t="s">
        <v>5596</v>
      </c>
      <c r="C2402" s="8" t="s">
        <v>5597</v>
      </c>
      <c r="D2402" s="8" t="s">
        <v>5442</v>
      </c>
      <c r="E2402" s="8" t="s">
        <v>4723</v>
      </c>
      <c r="F2402" s="8" t="s">
        <v>5598</v>
      </c>
    </row>
    <row r="2403" customHeight="1" spans="1:6">
      <c r="A2403" s="6">
        <v>2402</v>
      </c>
      <c r="B2403" s="8" t="s">
        <v>5596</v>
      </c>
      <c r="C2403" s="8" t="s">
        <v>5597</v>
      </c>
      <c r="D2403" s="8" t="s">
        <v>5442</v>
      </c>
      <c r="E2403" s="8" t="s">
        <v>4723</v>
      </c>
      <c r="F2403" s="8" t="s">
        <v>5598</v>
      </c>
    </row>
    <row r="2404" customHeight="1" spans="1:6">
      <c r="A2404" s="6">
        <v>2403</v>
      </c>
      <c r="B2404" s="8" t="s">
        <v>5599</v>
      </c>
      <c r="C2404" s="8" t="s">
        <v>5600</v>
      </c>
      <c r="D2404" s="8" t="s">
        <v>5601</v>
      </c>
      <c r="E2404" s="8" t="s">
        <v>530</v>
      </c>
      <c r="F2404" s="8" t="s">
        <v>5602</v>
      </c>
    </row>
    <row r="2405" customHeight="1" spans="1:6">
      <c r="A2405" s="6">
        <v>2404</v>
      </c>
      <c r="B2405" s="8" t="s">
        <v>5599</v>
      </c>
      <c r="C2405" s="8" t="s">
        <v>5600</v>
      </c>
      <c r="D2405" s="8" t="s">
        <v>5601</v>
      </c>
      <c r="E2405" s="8" t="s">
        <v>530</v>
      </c>
      <c r="F2405" s="8" t="s">
        <v>5602</v>
      </c>
    </row>
    <row r="2406" customHeight="1" spans="1:6">
      <c r="A2406" s="6">
        <v>2405</v>
      </c>
      <c r="B2406" s="8" t="s">
        <v>5599</v>
      </c>
      <c r="C2406" s="8" t="s">
        <v>5600</v>
      </c>
      <c r="D2406" s="8" t="s">
        <v>5601</v>
      </c>
      <c r="E2406" s="8" t="s">
        <v>530</v>
      </c>
      <c r="F2406" s="8" t="s">
        <v>5602</v>
      </c>
    </row>
    <row r="2407" customHeight="1" spans="1:6">
      <c r="A2407" s="6">
        <v>2406</v>
      </c>
      <c r="B2407" s="8" t="s">
        <v>5603</v>
      </c>
      <c r="C2407" s="8" t="s">
        <v>5604</v>
      </c>
      <c r="D2407" s="8" t="s">
        <v>5605</v>
      </c>
      <c r="E2407" s="8" t="s">
        <v>710</v>
      </c>
      <c r="F2407" s="8" t="s">
        <v>5606</v>
      </c>
    </row>
    <row r="2408" customHeight="1" spans="1:6">
      <c r="A2408" s="6">
        <v>2407</v>
      </c>
      <c r="B2408" s="8" t="s">
        <v>5603</v>
      </c>
      <c r="C2408" s="8" t="s">
        <v>5604</v>
      </c>
      <c r="D2408" s="8" t="s">
        <v>5605</v>
      </c>
      <c r="E2408" s="8" t="s">
        <v>710</v>
      </c>
      <c r="F2408" s="8" t="s">
        <v>5606</v>
      </c>
    </row>
    <row r="2409" customHeight="1" spans="1:6">
      <c r="A2409" s="6">
        <v>2408</v>
      </c>
      <c r="B2409" s="8" t="s">
        <v>5607</v>
      </c>
      <c r="C2409" s="8" t="s">
        <v>5608</v>
      </c>
      <c r="D2409" s="8" t="s">
        <v>5442</v>
      </c>
      <c r="E2409" s="8" t="s">
        <v>4723</v>
      </c>
      <c r="F2409" s="8" t="s">
        <v>5609</v>
      </c>
    </row>
    <row r="2410" customHeight="1" spans="1:6">
      <c r="A2410" s="6">
        <v>2409</v>
      </c>
      <c r="B2410" s="8" t="s">
        <v>5607</v>
      </c>
      <c r="C2410" s="8" t="s">
        <v>5608</v>
      </c>
      <c r="D2410" s="8" t="s">
        <v>5442</v>
      </c>
      <c r="E2410" s="8" t="s">
        <v>4723</v>
      </c>
      <c r="F2410" s="8" t="s">
        <v>5609</v>
      </c>
    </row>
    <row r="2411" customHeight="1" spans="1:6">
      <c r="A2411" s="6">
        <v>2410</v>
      </c>
      <c r="B2411" s="8" t="s">
        <v>5610</v>
      </c>
      <c r="C2411" s="8" t="s">
        <v>5611</v>
      </c>
      <c r="D2411" s="8" t="s">
        <v>5442</v>
      </c>
      <c r="E2411" s="8" t="s">
        <v>4723</v>
      </c>
      <c r="F2411" s="8" t="s">
        <v>5612</v>
      </c>
    </row>
    <row r="2412" customHeight="1" spans="1:6">
      <c r="A2412" s="6">
        <v>2411</v>
      </c>
      <c r="B2412" s="8" t="s">
        <v>5610</v>
      </c>
      <c r="C2412" s="8" t="s">
        <v>5611</v>
      </c>
      <c r="D2412" s="8" t="s">
        <v>5442</v>
      </c>
      <c r="E2412" s="8" t="s">
        <v>4723</v>
      </c>
      <c r="F2412" s="8" t="s">
        <v>5612</v>
      </c>
    </row>
    <row r="2413" customHeight="1" spans="1:6">
      <c r="A2413" s="6">
        <v>2412</v>
      </c>
      <c r="B2413" s="8" t="s">
        <v>5613</v>
      </c>
      <c r="C2413" s="8" t="s">
        <v>5614</v>
      </c>
      <c r="D2413" s="8" t="s">
        <v>5442</v>
      </c>
      <c r="E2413" s="8" t="s">
        <v>4723</v>
      </c>
      <c r="F2413" s="8" t="s">
        <v>5615</v>
      </c>
    </row>
    <row r="2414" customHeight="1" spans="1:6">
      <c r="A2414" s="6">
        <v>2413</v>
      </c>
      <c r="B2414" s="8" t="s">
        <v>5613</v>
      </c>
      <c r="C2414" s="8" t="s">
        <v>5614</v>
      </c>
      <c r="D2414" s="8" t="s">
        <v>5442</v>
      </c>
      <c r="E2414" s="8" t="s">
        <v>4723</v>
      </c>
      <c r="F2414" s="8" t="s">
        <v>5615</v>
      </c>
    </row>
    <row r="2415" customHeight="1" spans="1:6">
      <c r="A2415" s="6">
        <v>2414</v>
      </c>
      <c r="B2415" s="8" t="s">
        <v>5616</v>
      </c>
      <c r="C2415" s="8" t="s">
        <v>5617</v>
      </c>
      <c r="D2415" s="8" t="s">
        <v>5618</v>
      </c>
      <c r="E2415" s="8" t="s">
        <v>3146</v>
      </c>
      <c r="F2415" s="8" t="s">
        <v>5619</v>
      </c>
    </row>
    <row r="2416" customHeight="1" spans="1:6">
      <c r="A2416" s="6">
        <v>2415</v>
      </c>
      <c r="B2416" s="8" t="s">
        <v>5616</v>
      </c>
      <c r="C2416" s="8" t="s">
        <v>5617</v>
      </c>
      <c r="D2416" s="8" t="s">
        <v>5618</v>
      </c>
      <c r="E2416" s="8" t="s">
        <v>3146</v>
      </c>
      <c r="F2416" s="8" t="s">
        <v>5619</v>
      </c>
    </row>
    <row r="2417" customHeight="1" spans="1:6">
      <c r="A2417" s="6">
        <v>2416</v>
      </c>
      <c r="B2417" s="8" t="s">
        <v>5620</v>
      </c>
      <c r="C2417" s="8" t="s">
        <v>5621</v>
      </c>
      <c r="D2417" s="8" t="s">
        <v>5622</v>
      </c>
      <c r="E2417" s="8" t="s">
        <v>189</v>
      </c>
      <c r="F2417" s="8" t="s">
        <v>5623</v>
      </c>
    </row>
    <row r="2418" customHeight="1" spans="1:6">
      <c r="A2418" s="6">
        <v>2417</v>
      </c>
      <c r="B2418" s="8" t="s">
        <v>5620</v>
      </c>
      <c r="C2418" s="8" t="s">
        <v>5621</v>
      </c>
      <c r="D2418" s="8" t="s">
        <v>5622</v>
      </c>
      <c r="E2418" s="8" t="s">
        <v>189</v>
      </c>
      <c r="F2418" s="8" t="s">
        <v>5623</v>
      </c>
    </row>
    <row r="2419" customHeight="1" spans="1:6">
      <c r="A2419" s="6">
        <v>2418</v>
      </c>
      <c r="B2419" s="8" t="s">
        <v>5620</v>
      </c>
      <c r="C2419" s="8" t="s">
        <v>5621</v>
      </c>
      <c r="D2419" s="8" t="s">
        <v>5622</v>
      </c>
      <c r="E2419" s="8" t="s">
        <v>189</v>
      </c>
      <c r="F2419" s="8" t="s">
        <v>5623</v>
      </c>
    </row>
    <row r="2420" customHeight="1" spans="1:6">
      <c r="A2420" s="6">
        <v>2419</v>
      </c>
      <c r="B2420" s="8" t="s">
        <v>5624</v>
      </c>
      <c r="C2420" s="8" t="s">
        <v>5625</v>
      </c>
      <c r="D2420" s="8" t="s">
        <v>5626</v>
      </c>
      <c r="E2420" s="8" t="s">
        <v>256</v>
      </c>
      <c r="F2420" s="8" t="s">
        <v>5627</v>
      </c>
    </row>
    <row r="2421" customHeight="1" spans="1:6">
      <c r="A2421" s="6">
        <v>2420</v>
      </c>
      <c r="B2421" s="8" t="s">
        <v>5624</v>
      </c>
      <c r="C2421" s="8" t="s">
        <v>5625</v>
      </c>
      <c r="D2421" s="8" t="s">
        <v>5626</v>
      </c>
      <c r="E2421" s="8" t="s">
        <v>256</v>
      </c>
      <c r="F2421" s="8" t="s">
        <v>5627</v>
      </c>
    </row>
    <row r="2422" customHeight="1" spans="1:6">
      <c r="A2422" s="6">
        <v>2421</v>
      </c>
      <c r="B2422" s="8" t="s">
        <v>5628</v>
      </c>
      <c r="C2422" s="8" t="s">
        <v>5629</v>
      </c>
      <c r="D2422" s="8" t="s">
        <v>5630</v>
      </c>
      <c r="E2422" s="8" t="s">
        <v>5476</v>
      </c>
      <c r="F2422" s="8" t="s">
        <v>5631</v>
      </c>
    </row>
    <row r="2423" customHeight="1" spans="1:6">
      <c r="A2423" s="6">
        <v>2422</v>
      </c>
      <c r="B2423" s="8" t="s">
        <v>5628</v>
      </c>
      <c r="C2423" s="8" t="s">
        <v>5629</v>
      </c>
      <c r="D2423" s="8" t="s">
        <v>5630</v>
      </c>
      <c r="E2423" s="8" t="s">
        <v>5476</v>
      </c>
      <c r="F2423" s="8" t="s">
        <v>5631</v>
      </c>
    </row>
    <row r="2424" customHeight="1" spans="1:6">
      <c r="A2424" s="6">
        <v>2423</v>
      </c>
      <c r="B2424" s="8" t="s">
        <v>5632</v>
      </c>
      <c r="C2424" s="8" t="s">
        <v>5633</v>
      </c>
      <c r="D2424" s="8" t="s">
        <v>5634</v>
      </c>
      <c r="E2424" s="8" t="s">
        <v>216</v>
      </c>
      <c r="F2424" s="8" t="s">
        <v>5635</v>
      </c>
    </row>
    <row r="2425" customHeight="1" spans="1:6">
      <c r="A2425" s="6">
        <v>2424</v>
      </c>
      <c r="B2425" s="8" t="s">
        <v>5632</v>
      </c>
      <c r="C2425" s="8" t="s">
        <v>5633</v>
      </c>
      <c r="D2425" s="8" t="s">
        <v>5634</v>
      </c>
      <c r="E2425" s="8" t="s">
        <v>216</v>
      </c>
      <c r="F2425" s="8" t="s">
        <v>5635</v>
      </c>
    </row>
    <row r="2426" customHeight="1" spans="1:6">
      <c r="A2426" s="6">
        <v>2425</v>
      </c>
      <c r="B2426" s="8" t="s">
        <v>5636</v>
      </c>
      <c r="C2426" s="8" t="s">
        <v>5637</v>
      </c>
      <c r="D2426" s="8" t="s">
        <v>5638</v>
      </c>
      <c r="E2426" s="8" t="s">
        <v>216</v>
      </c>
      <c r="F2426" s="8" t="s">
        <v>5639</v>
      </c>
    </row>
    <row r="2427" customHeight="1" spans="1:6">
      <c r="A2427" s="6">
        <v>2426</v>
      </c>
      <c r="B2427" s="8" t="s">
        <v>5636</v>
      </c>
      <c r="C2427" s="8" t="s">
        <v>5637</v>
      </c>
      <c r="D2427" s="8" t="s">
        <v>5638</v>
      </c>
      <c r="E2427" s="8" t="s">
        <v>216</v>
      </c>
      <c r="F2427" s="8" t="s">
        <v>5639</v>
      </c>
    </row>
    <row r="2428" customHeight="1" spans="1:6">
      <c r="A2428" s="6">
        <v>2427</v>
      </c>
      <c r="B2428" s="8" t="s">
        <v>5636</v>
      </c>
      <c r="C2428" s="8" t="s">
        <v>5637</v>
      </c>
      <c r="D2428" s="8" t="s">
        <v>5638</v>
      </c>
      <c r="E2428" s="8" t="s">
        <v>216</v>
      </c>
      <c r="F2428" s="8" t="s">
        <v>5639</v>
      </c>
    </row>
    <row r="2429" customHeight="1" spans="1:6">
      <c r="A2429" s="6">
        <v>2428</v>
      </c>
      <c r="B2429" s="8" t="s">
        <v>5640</v>
      </c>
      <c r="C2429" s="8" t="s">
        <v>5641</v>
      </c>
      <c r="D2429" s="8" t="s">
        <v>5642</v>
      </c>
      <c r="E2429" s="8" t="s">
        <v>2284</v>
      </c>
      <c r="F2429" s="8" t="s">
        <v>5643</v>
      </c>
    </row>
    <row r="2430" customHeight="1" spans="1:6">
      <c r="A2430" s="6">
        <v>2429</v>
      </c>
      <c r="B2430" s="8" t="s">
        <v>5640</v>
      </c>
      <c r="C2430" s="8" t="s">
        <v>5641</v>
      </c>
      <c r="D2430" s="8" t="s">
        <v>5642</v>
      </c>
      <c r="E2430" s="8" t="s">
        <v>2284</v>
      </c>
      <c r="F2430" s="8" t="s">
        <v>5643</v>
      </c>
    </row>
    <row r="2431" customHeight="1" spans="1:6">
      <c r="A2431" s="6">
        <v>2430</v>
      </c>
      <c r="B2431" s="8" t="s">
        <v>4147</v>
      </c>
      <c r="C2431" s="8" t="s">
        <v>5644</v>
      </c>
      <c r="D2431" s="8" t="s">
        <v>5645</v>
      </c>
      <c r="E2431" s="8" t="s">
        <v>2230</v>
      </c>
      <c r="F2431" s="8" t="s">
        <v>5646</v>
      </c>
    </row>
    <row r="2432" customHeight="1" spans="1:6">
      <c r="A2432" s="6">
        <v>2431</v>
      </c>
      <c r="B2432" s="8" t="s">
        <v>4147</v>
      </c>
      <c r="C2432" s="8" t="s">
        <v>5644</v>
      </c>
      <c r="D2432" s="8" t="s">
        <v>5645</v>
      </c>
      <c r="E2432" s="8" t="s">
        <v>2230</v>
      </c>
      <c r="F2432" s="8" t="s">
        <v>5646</v>
      </c>
    </row>
    <row r="2433" customHeight="1" spans="1:6">
      <c r="A2433" s="6">
        <v>2432</v>
      </c>
      <c r="B2433" s="8" t="s">
        <v>4147</v>
      </c>
      <c r="C2433" s="8" t="s">
        <v>5647</v>
      </c>
      <c r="D2433" s="8" t="s">
        <v>5648</v>
      </c>
      <c r="E2433" s="8" t="s">
        <v>2230</v>
      </c>
      <c r="F2433" s="8" t="s">
        <v>5649</v>
      </c>
    </row>
    <row r="2434" customHeight="1" spans="1:6">
      <c r="A2434" s="6">
        <v>2433</v>
      </c>
      <c r="B2434" s="8" t="s">
        <v>4147</v>
      </c>
      <c r="C2434" s="8" t="s">
        <v>5647</v>
      </c>
      <c r="D2434" s="8" t="s">
        <v>5648</v>
      </c>
      <c r="E2434" s="8" t="s">
        <v>2230</v>
      </c>
      <c r="F2434" s="8" t="s">
        <v>5649</v>
      </c>
    </row>
    <row r="2435" customHeight="1" spans="1:6">
      <c r="A2435" s="6">
        <v>2434</v>
      </c>
      <c r="B2435" s="8" t="s">
        <v>5650</v>
      </c>
      <c r="C2435" s="8" t="s">
        <v>5651</v>
      </c>
      <c r="D2435" s="8" t="s">
        <v>5652</v>
      </c>
      <c r="E2435" s="8" t="s">
        <v>375</v>
      </c>
      <c r="F2435" s="8" t="s">
        <v>5653</v>
      </c>
    </row>
    <row r="2436" customHeight="1" spans="1:6">
      <c r="A2436" s="6">
        <v>2435</v>
      </c>
      <c r="B2436" s="8" t="s">
        <v>5650</v>
      </c>
      <c r="C2436" s="8" t="s">
        <v>5651</v>
      </c>
      <c r="D2436" s="8" t="s">
        <v>5652</v>
      </c>
      <c r="E2436" s="8" t="s">
        <v>375</v>
      </c>
      <c r="F2436" s="8" t="s">
        <v>5653</v>
      </c>
    </row>
    <row r="2437" customHeight="1" spans="1:6">
      <c r="A2437" s="6">
        <v>2436</v>
      </c>
      <c r="B2437" s="8" t="s">
        <v>5654</v>
      </c>
      <c r="C2437" s="8" t="s">
        <v>5655</v>
      </c>
      <c r="D2437" s="8" t="s">
        <v>5656</v>
      </c>
      <c r="E2437" s="8" t="s">
        <v>415</v>
      </c>
      <c r="F2437" s="8" t="s">
        <v>5657</v>
      </c>
    </row>
    <row r="2438" customHeight="1" spans="1:6">
      <c r="A2438" s="6">
        <v>2437</v>
      </c>
      <c r="B2438" s="8" t="s">
        <v>5654</v>
      </c>
      <c r="C2438" s="8" t="s">
        <v>5655</v>
      </c>
      <c r="D2438" s="8" t="s">
        <v>5656</v>
      </c>
      <c r="E2438" s="8" t="s">
        <v>415</v>
      </c>
      <c r="F2438" s="8" t="s">
        <v>5657</v>
      </c>
    </row>
    <row r="2439" customHeight="1" spans="1:6">
      <c r="A2439" s="6">
        <v>2438</v>
      </c>
      <c r="B2439" s="8" t="s">
        <v>5658</v>
      </c>
      <c r="C2439" s="8" t="s">
        <v>5659</v>
      </c>
      <c r="D2439" s="8" t="s">
        <v>5660</v>
      </c>
      <c r="E2439" s="8" t="s">
        <v>311</v>
      </c>
      <c r="F2439" s="8" t="s">
        <v>5661</v>
      </c>
    </row>
    <row r="2440" customHeight="1" spans="1:6">
      <c r="A2440" s="6">
        <v>2439</v>
      </c>
      <c r="B2440" s="8" t="s">
        <v>5658</v>
      </c>
      <c r="C2440" s="8" t="s">
        <v>5659</v>
      </c>
      <c r="D2440" s="8" t="s">
        <v>5660</v>
      </c>
      <c r="E2440" s="8" t="s">
        <v>311</v>
      </c>
      <c r="F2440" s="8" t="s">
        <v>5661</v>
      </c>
    </row>
    <row r="2441" customHeight="1" spans="1:6">
      <c r="A2441" s="6">
        <v>2440</v>
      </c>
      <c r="B2441" s="8" t="s">
        <v>5658</v>
      </c>
      <c r="C2441" s="8" t="s">
        <v>5659</v>
      </c>
      <c r="D2441" s="8" t="s">
        <v>5660</v>
      </c>
      <c r="E2441" s="8" t="s">
        <v>311</v>
      </c>
      <c r="F2441" s="8" t="s">
        <v>5661</v>
      </c>
    </row>
    <row r="2442" customHeight="1" spans="1:6">
      <c r="A2442" s="6">
        <v>2441</v>
      </c>
      <c r="B2442" s="8" t="s">
        <v>5662</v>
      </c>
      <c r="C2442" s="8" t="s">
        <v>5663</v>
      </c>
      <c r="D2442" s="8" t="s">
        <v>5664</v>
      </c>
      <c r="E2442" s="8" t="s">
        <v>216</v>
      </c>
      <c r="F2442" s="8" t="s">
        <v>5665</v>
      </c>
    </row>
    <row r="2443" customHeight="1" spans="1:6">
      <c r="A2443" s="6">
        <v>2442</v>
      </c>
      <c r="B2443" s="8" t="s">
        <v>5662</v>
      </c>
      <c r="C2443" s="8" t="s">
        <v>5663</v>
      </c>
      <c r="D2443" s="8" t="s">
        <v>5664</v>
      </c>
      <c r="E2443" s="8" t="s">
        <v>216</v>
      </c>
      <c r="F2443" s="8" t="s">
        <v>5665</v>
      </c>
    </row>
    <row r="2444" customHeight="1" spans="1:6">
      <c r="A2444" s="6">
        <v>2443</v>
      </c>
      <c r="B2444" s="8" t="s">
        <v>5662</v>
      </c>
      <c r="C2444" s="8" t="s">
        <v>5663</v>
      </c>
      <c r="D2444" s="8" t="s">
        <v>5664</v>
      </c>
      <c r="E2444" s="8" t="s">
        <v>216</v>
      </c>
      <c r="F2444" s="8" t="s">
        <v>5665</v>
      </c>
    </row>
    <row r="2445" customHeight="1" spans="1:6">
      <c r="A2445" s="6">
        <v>2444</v>
      </c>
      <c r="B2445" s="8" t="s">
        <v>5666</v>
      </c>
      <c r="C2445" s="8" t="s">
        <v>5667</v>
      </c>
      <c r="D2445" s="8" t="s">
        <v>5668</v>
      </c>
      <c r="E2445" s="8" t="s">
        <v>311</v>
      </c>
      <c r="F2445" s="8" t="s">
        <v>5669</v>
      </c>
    </row>
    <row r="2446" customHeight="1" spans="1:6">
      <c r="A2446" s="6">
        <v>2445</v>
      </c>
      <c r="B2446" s="8" t="s">
        <v>5666</v>
      </c>
      <c r="C2446" s="8" t="s">
        <v>5667</v>
      </c>
      <c r="D2446" s="8" t="s">
        <v>5668</v>
      </c>
      <c r="E2446" s="8" t="s">
        <v>311</v>
      </c>
      <c r="F2446" s="8" t="s">
        <v>5669</v>
      </c>
    </row>
    <row r="2447" customHeight="1" spans="1:6">
      <c r="A2447" s="6">
        <v>2446</v>
      </c>
      <c r="B2447" s="8" t="s">
        <v>5666</v>
      </c>
      <c r="C2447" s="8" t="s">
        <v>5667</v>
      </c>
      <c r="D2447" s="8" t="s">
        <v>5668</v>
      </c>
      <c r="E2447" s="8" t="s">
        <v>311</v>
      </c>
      <c r="F2447" s="8" t="s">
        <v>5669</v>
      </c>
    </row>
    <row r="2448" customHeight="1" spans="1:6">
      <c r="A2448" s="6">
        <v>2447</v>
      </c>
      <c r="B2448" s="8" t="s">
        <v>5670</v>
      </c>
      <c r="C2448" s="8" t="s">
        <v>5671</v>
      </c>
      <c r="D2448" s="8" t="s">
        <v>5672</v>
      </c>
      <c r="E2448" s="8" t="s">
        <v>197</v>
      </c>
      <c r="F2448" s="8" t="s">
        <v>5673</v>
      </c>
    </row>
    <row r="2449" customHeight="1" spans="1:6">
      <c r="A2449" s="6">
        <v>2448</v>
      </c>
      <c r="B2449" s="8" t="s">
        <v>5670</v>
      </c>
      <c r="C2449" s="8" t="s">
        <v>5671</v>
      </c>
      <c r="D2449" s="8" t="s">
        <v>5672</v>
      </c>
      <c r="E2449" s="8" t="s">
        <v>197</v>
      </c>
      <c r="F2449" s="8" t="s">
        <v>5673</v>
      </c>
    </row>
    <row r="2450" customHeight="1" spans="1:6">
      <c r="A2450" s="6">
        <v>2449</v>
      </c>
      <c r="B2450" s="8" t="s">
        <v>5674</v>
      </c>
      <c r="C2450" s="8" t="s">
        <v>5675</v>
      </c>
      <c r="D2450" s="8" t="s">
        <v>5676</v>
      </c>
      <c r="E2450" s="8" t="s">
        <v>256</v>
      </c>
      <c r="F2450" s="8" t="s">
        <v>5677</v>
      </c>
    </row>
    <row r="2451" customHeight="1" spans="1:6">
      <c r="A2451" s="6">
        <v>2450</v>
      </c>
      <c r="B2451" s="8" t="s">
        <v>5674</v>
      </c>
      <c r="C2451" s="8" t="s">
        <v>5675</v>
      </c>
      <c r="D2451" s="8" t="s">
        <v>5676</v>
      </c>
      <c r="E2451" s="8" t="s">
        <v>256</v>
      </c>
      <c r="F2451" s="8" t="s">
        <v>5677</v>
      </c>
    </row>
    <row r="2452" customHeight="1" spans="1:6">
      <c r="A2452" s="6">
        <v>2451</v>
      </c>
      <c r="B2452" s="8" t="s">
        <v>5678</v>
      </c>
      <c r="C2452" s="8" t="s">
        <v>5679</v>
      </c>
      <c r="D2452" s="8" t="s">
        <v>5680</v>
      </c>
      <c r="E2452" s="8" t="s">
        <v>256</v>
      </c>
      <c r="F2452" s="8" t="s">
        <v>5681</v>
      </c>
    </row>
    <row r="2453" customHeight="1" spans="1:6">
      <c r="A2453" s="6">
        <v>2452</v>
      </c>
      <c r="B2453" s="8" t="s">
        <v>5678</v>
      </c>
      <c r="C2453" s="8" t="s">
        <v>5679</v>
      </c>
      <c r="D2453" s="8" t="s">
        <v>5680</v>
      </c>
      <c r="E2453" s="8" t="s">
        <v>256</v>
      </c>
      <c r="F2453" s="8" t="s">
        <v>5681</v>
      </c>
    </row>
    <row r="2454" customHeight="1" spans="1:6">
      <c r="A2454" s="6">
        <v>2453</v>
      </c>
      <c r="B2454" s="8" t="s">
        <v>5682</v>
      </c>
      <c r="C2454" s="8" t="s">
        <v>5683</v>
      </c>
      <c r="D2454" s="8" t="s">
        <v>5684</v>
      </c>
      <c r="E2454" s="8" t="s">
        <v>239</v>
      </c>
      <c r="F2454" s="8" t="s">
        <v>5685</v>
      </c>
    </row>
    <row r="2455" customHeight="1" spans="1:6">
      <c r="A2455" s="6">
        <v>2454</v>
      </c>
      <c r="B2455" s="8" t="s">
        <v>5682</v>
      </c>
      <c r="C2455" s="8" t="s">
        <v>5683</v>
      </c>
      <c r="D2455" s="8" t="s">
        <v>5684</v>
      </c>
      <c r="E2455" s="8" t="s">
        <v>239</v>
      </c>
      <c r="F2455" s="8" t="s">
        <v>5685</v>
      </c>
    </row>
    <row r="2456" customHeight="1" spans="1:6">
      <c r="A2456" s="6">
        <v>2455</v>
      </c>
      <c r="B2456" s="8" t="s">
        <v>5686</v>
      </c>
      <c r="C2456" s="8" t="s">
        <v>5687</v>
      </c>
      <c r="D2456" s="8" t="s">
        <v>5688</v>
      </c>
      <c r="E2456" s="8" t="s">
        <v>197</v>
      </c>
      <c r="F2456" s="8" t="s">
        <v>5689</v>
      </c>
    </row>
    <row r="2457" customHeight="1" spans="1:6">
      <c r="A2457" s="6">
        <v>2456</v>
      </c>
      <c r="B2457" s="8" t="s">
        <v>5686</v>
      </c>
      <c r="C2457" s="8" t="s">
        <v>5687</v>
      </c>
      <c r="D2457" s="8" t="s">
        <v>5688</v>
      </c>
      <c r="E2457" s="8" t="s">
        <v>197</v>
      </c>
      <c r="F2457" s="8" t="s">
        <v>5689</v>
      </c>
    </row>
    <row r="2458" customHeight="1" spans="1:6">
      <c r="A2458" s="6">
        <v>2457</v>
      </c>
      <c r="B2458" s="8" t="s">
        <v>5690</v>
      </c>
      <c r="C2458" s="8" t="s">
        <v>5691</v>
      </c>
      <c r="D2458" s="8" t="s">
        <v>5692</v>
      </c>
      <c r="E2458" s="8" t="s">
        <v>216</v>
      </c>
      <c r="F2458" s="8" t="s">
        <v>5693</v>
      </c>
    </row>
    <row r="2459" customHeight="1" spans="1:6">
      <c r="A2459" s="6">
        <v>2458</v>
      </c>
      <c r="B2459" s="8" t="s">
        <v>5690</v>
      </c>
      <c r="C2459" s="8" t="s">
        <v>5691</v>
      </c>
      <c r="D2459" s="8" t="s">
        <v>5692</v>
      </c>
      <c r="E2459" s="8" t="s">
        <v>216</v>
      </c>
      <c r="F2459" s="8" t="s">
        <v>5693</v>
      </c>
    </row>
    <row r="2460" customHeight="1" spans="1:6">
      <c r="A2460" s="6">
        <v>2459</v>
      </c>
      <c r="B2460" s="8" t="s">
        <v>5690</v>
      </c>
      <c r="C2460" s="8" t="s">
        <v>5691</v>
      </c>
      <c r="D2460" s="8" t="s">
        <v>5692</v>
      </c>
      <c r="E2460" s="8" t="s">
        <v>216</v>
      </c>
      <c r="F2460" s="8" t="s">
        <v>5693</v>
      </c>
    </row>
    <row r="2461" customHeight="1" spans="1:6">
      <c r="A2461" s="6">
        <v>2460</v>
      </c>
      <c r="B2461" s="8" t="s">
        <v>5694</v>
      </c>
      <c r="C2461" s="8" t="s">
        <v>5695</v>
      </c>
      <c r="D2461" s="8" t="s">
        <v>5696</v>
      </c>
      <c r="E2461" s="8" t="s">
        <v>216</v>
      </c>
      <c r="F2461" s="8" t="s">
        <v>5697</v>
      </c>
    </row>
    <row r="2462" customHeight="1" spans="1:6">
      <c r="A2462" s="6">
        <v>2461</v>
      </c>
      <c r="B2462" s="8" t="s">
        <v>5694</v>
      </c>
      <c r="C2462" s="8" t="s">
        <v>5695</v>
      </c>
      <c r="D2462" s="8" t="s">
        <v>5696</v>
      </c>
      <c r="E2462" s="8" t="s">
        <v>216</v>
      </c>
      <c r="F2462" s="8" t="s">
        <v>5697</v>
      </c>
    </row>
    <row r="2463" customHeight="1" spans="1:6">
      <c r="A2463" s="6">
        <v>2462</v>
      </c>
      <c r="B2463" s="8" t="s">
        <v>5698</v>
      </c>
      <c r="C2463" s="8" t="s">
        <v>5699</v>
      </c>
      <c r="D2463" s="8" t="s">
        <v>5700</v>
      </c>
      <c r="E2463" s="8" t="s">
        <v>1948</v>
      </c>
      <c r="F2463" s="8" t="s">
        <v>5701</v>
      </c>
    </row>
    <row r="2464" customHeight="1" spans="1:6">
      <c r="A2464" s="6">
        <v>2463</v>
      </c>
      <c r="B2464" s="8" t="s">
        <v>5698</v>
      </c>
      <c r="C2464" s="8" t="s">
        <v>5699</v>
      </c>
      <c r="D2464" s="8" t="s">
        <v>5700</v>
      </c>
      <c r="E2464" s="8" t="s">
        <v>1948</v>
      </c>
      <c r="F2464" s="8" t="s">
        <v>5701</v>
      </c>
    </row>
    <row r="2465" customHeight="1" spans="1:6">
      <c r="A2465" s="6">
        <v>2464</v>
      </c>
      <c r="B2465" s="8" t="s">
        <v>5698</v>
      </c>
      <c r="C2465" s="8" t="s">
        <v>5699</v>
      </c>
      <c r="D2465" s="8" t="s">
        <v>5700</v>
      </c>
      <c r="E2465" s="8" t="s">
        <v>1948</v>
      </c>
      <c r="F2465" s="8" t="s">
        <v>5701</v>
      </c>
    </row>
    <row r="2466" customHeight="1" spans="1:6">
      <c r="A2466" s="6">
        <v>2465</v>
      </c>
      <c r="B2466" s="8" t="s">
        <v>5702</v>
      </c>
      <c r="C2466" s="8" t="s">
        <v>5703</v>
      </c>
      <c r="D2466" s="8" t="s">
        <v>5704</v>
      </c>
      <c r="E2466" s="8" t="s">
        <v>58</v>
      </c>
      <c r="F2466" s="8" t="s">
        <v>5705</v>
      </c>
    </row>
    <row r="2467" customHeight="1" spans="1:6">
      <c r="A2467" s="6">
        <v>2466</v>
      </c>
      <c r="B2467" s="8" t="s">
        <v>5702</v>
      </c>
      <c r="C2467" s="8" t="s">
        <v>5703</v>
      </c>
      <c r="D2467" s="8" t="s">
        <v>5704</v>
      </c>
      <c r="E2467" s="8" t="s">
        <v>58</v>
      </c>
      <c r="F2467" s="8" t="s">
        <v>5705</v>
      </c>
    </row>
    <row r="2468" customHeight="1" spans="1:6">
      <c r="A2468" s="6">
        <v>2467</v>
      </c>
      <c r="B2468" s="8" t="s">
        <v>5702</v>
      </c>
      <c r="C2468" s="8" t="s">
        <v>5703</v>
      </c>
      <c r="D2468" s="8" t="s">
        <v>5704</v>
      </c>
      <c r="E2468" s="8" t="s">
        <v>58</v>
      </c>
      <c r="F2468" s="8" t="s">
        <v>5705</v>
      </c>
    </row>
    <row r="2469" customHeight="1" spans="1:6">
      <c r="A2469" s="6">
        <v>2468</v>
      </c>
      <c r="B2469" s="8" t="s">
        <v>5706</v>
      </c>
      <c r="C2469" s="8" t="s">
        <v>5707</v>
      </c>
      <c r="D2469" s="8" t="s">
        <v>5708</v>
      </c>
      <c r="E2469" s="8" t="s">
        <v>2575</v>
      </c>
      <c r="F2469" s="8" t="s">
        <v>5709</v>
      </c>
    </row>
    <row r="2470" customHeight="1" spans="1:6">
      <c r="A2470" s="6">
        <v>2469</v>
      </c>
      <c r="B2470" s="8" t="s">
        <v>5706</v>
      </c>
      <c r="C2470" s="8" t="s">
        <v>5707</v>
      </c>
      <c r="D2470" s="8" t="s">
        <v>5708</v>
      </c>
      <c r="E2470" s="8" t="s">
        <v>2575</v>
      </c>
      <c r="F2470" s="8" t="s">
        <v>5709</v>
      </c>
    </row>
    <row r="2471" customHeight="1" spans="1:6">
      <c r="A2471" s="6">
        <v>2470</v>
      </c>
      <c r="B2471" s="8" t="s">
        <v>5710</v>
      </c>
      <c r="C2471" s="8" t="s">
        <v>5711</v>
      </c>
      <c r="D2471" s="8" t="s">
        <v>5712</v>
      </c>
      <c r="E2471" s="8" t="s">
        <v>2230</v>
      </c>
      <c r="F2471" s="8" t="s">
        <v>5713</v>
      </c>
    </row>
    <row r="2472" customHeight="1" spans="1:6">
      <c r="A2472" s="6">
        <v>2471</v>
      </c>
      <c r="B2472" s="8" t="s">
        <v>5710</v>
      </c>
      <c r="C2472" s="8" t="s">
        <v>5711</v>
      </c>
      <c r="D2472" s="8" t="s">
        <v>5712</v>
      </c>
      <c r="E2472" s="8" t="s">
        <v>2230</v>
      </c>
      <c r="F2472" s="8" t="s">
        <v>5713</v>
      </c>
    </row>
    <row r="2473" customHeight="1" spans="1:6">
      <c r="A2473" s="6">
        <v>2472</v>
      </c>
      <c r="B2473" s="8" t="s">
        <v>5710</v>
      </c>
      <c r="C2473" s="8" t="s">
        <v>5714</v>
      </c>
      <c r="D2473" s="8" t="s">
        <v>5712</v>
      </c>
      <c r="E2473" s="8" t="s">
        <v>2230</v>
      </c>
      <c r="F2473" s="8" t="s">
        <v>5715</v>
      </c>
    </row>
    <row r="2474" customHeight="1" spans="1:6">
      <c r="A2474" s="6">
        <v>2473</v>
      </c>
      <c r="B2474" s="8" t="s">
        <v>5710</v>
      </c>
      <c r="C2474" s="8" t="s">
        <v>5714</v>
      </c>
      <c r="D2474" s="8" t="s">
        <v>5712</v>
      </c>
      <c r="E2474" s="8" t="s">
        <v>2230</v>
      </c>
      <c r="F2474" s="8" t="s">
        <v>5715</v>
      </c>
    </row>
    <row r="2475" customHeight="1" spans="1:6">
      <c r="A2475" s="6">
        <v>2474</v>
      </c>
      <c r="B2475" s="8" t="s">
        <v>5710</v>
      </c>
      <c r="C2475" s="8" t="s">
        <v>5644</v>
      </c>
      <c r="D2475" s="8" t="s">
        <v>5712</v>
      </c>
      <c r="E2475" s="8" t="s">
        <v>2230</v>
      </c>
      <c r="F2475" s="8" t="s">
        <v>5716</v>
      </c>
    </row>
    <row r="2476" customHeight="1" spans="1:6">
      <c r="A2476" s="6">
        <v>2475</v>
      </c>
      <c r="B2476" s="8" t="s">
        <v>5710</v>
      </c>
      <c r="C2476" s="8" t="s">
        <v>5644</v>
      </c>
      <c r="D2476" s="8" t="s">
        <v>5712</v>
      </c>
      <c r="E2476" s="8" t="s">
        <v>2230</v>
      </c>
      <c r="F2476" s="8" t="s">
        <v>5716</v>
      </c>
    </row>
    <row r="2477" customHeight="1" spans="1:6">
      <c r="A2477" s="6">
        <v>2476</v>
      </c>
      <c r="B2477" s="8" t="s">
        <v>5710</v>
      </c>
      <c r="C2477" s="8" t="s">
        <v>5717</v>
      </c>
      <c r="D2477" s="8" t="s">
        <v>5712</v>
      </c>
      <c r="E2477" s="8" t="s">
        <v>2230</v>
      </c>
      <c r="F2477" s="8" t="s">
        <v>5718</v>
      </c>
    </row>
    <row r="2478" customHeight="1" spans="1:6">
      <c r="A2478" s="6">
        <v>2477</v>
      </c>
      <c r="B2478" s="8" t="s">
        <v>5710</v>
      </c>
      <c r="C2478" s="8" t="s">
        <v>5717</v>
      </c>
      <c r="D2478" s="8" t="s">
        <v>5712</v>
      </c>
      <c r="E2478" s="8" t="s">
        <v>2230</v>
      </c>
      <c r="F2478" s="8" t="s">
        <v>5718</v>
      </c>
    </row>
    <row r="2479" customHeight="1" spans="1:6">
      <c r="A2479" s="6">
        <v>2478</v>
      </c>
      <c r="B2479" s="8" t="s">
        <v>5710</v>
      </c>
      <c r="C2479" s="8" t="s">
        <v>5719</v>
      </c>
      <c r="D2479" s="8" t="s">
        <v>5712</v>
      </c>
      <c r="E2479" s="8" t="s">
        <v>2230</v>
      </c>
      <c r="F2479" s="8" t="s">
        <v>5720</v>
      </c>
    </row>
    <row r="2480" customHeight="1" spans="1:6">
      <c r="A2480" s="6">
        <v>2479</v>
      </c>
      <c r="B2480" s="8" t="s">
        <v>5710</v>
      </c>
      <c r="C2480" s="8" t="s">
        <v>5719</v>
      </c>
      <c r="D2480" s="8" t="s">
        <v>5712</v>
      </c>
      <c r="E2480" s="8" t="s">
        <v>2230</v>
      </c>
      <c r="F2480" s="8" t="s">
        <v>5720</v>
      </c>
    </row>
    <row r="2481" customHeight="1" spans="1:6">
      <c r="A2481" s="6">
        <v>2480</v>
      </c>
      <c r="B2481" s="8" t="s">
        <v>5721</v>
      </c>
      <c r="C2481" s="8" t="s">
        <v>5722</v>
      </c>
      <c r="D2481" s="8" t="s">
        <v>5723</v>
      </c>
      <c r="E2481" s="8" t="s">
        <v>216</v>
      </c>
      <c r="F2481" s="8" t="s">
        <v>5724</v>
      </c>
    </row>
    <row r="2482" customHeight="1" spans="1:6">
      <c r="A2482" s="6">
        <v>2481</v>
      </c>
      <c r="B2482" s="8" t="s">
        <v>5721</v>
      </c>
      <c r="C2482" s="8" t="s">
        <v>5722</v>
      </c>
      <c r="D2482" s="8" t="s">
        <v>5723</v>
      </c>
      <c r="E2482" s="8" t="s">
        <v>216</v>
      </c>
      <c r="F2482" s="8" t="s">
        <v>5724</v>
      </c>
    </row>
    <row r="2483" customHeight="1" spans="1:6">
      <c r="A2483" s="6">
        <v>2482</v>
      </c>
      <c r="B2483" s="8" t="s">
        <v>5725</v>
      </c>
      <c r="C2483" s="8" t="s">
        <v>5726</v>
      </c>
      <c r="D2483" s="8" t="s">
        <v>5727</v>
      </c>
      <c r="E2483" s="8" t="s">
        <v>360</v>
      </c>
      <c r="F2483" s="8" t="s">
        <v>5728</v>
      </c>
    </row>
    <row r="2484" customHeight="1" spans="1:6">
      <c r="A2484" s="6">
        <v>2483</v>
      </c>
      <c r="B2484" s="8" t="s">
        <v>5725</v>
      </c>
      <c r="C2484" s="8" t="s">
        <v>5726</v>
      </c>
      <c r="D2484" s="8" t="s">
        <v>5727</v>
      </c>
      <c r="E2484" s="8" t="s">
        <v>360</v>
      </c>
      <c r="F2484" s="8" t="s">
        <v>5728</v>
      </c>
    </row>
    <row r="2485" customHeight="1" spans="1:6">
      <c r="A2485" s="6">
        <v>2484</v>
      </c>
      <c r="B2485" s="8" t="s">
        <v>5729</v>
      </c>
      <c r="C2485" s="8" t="s">
        <v>5730</v>
      </c>
      <c r="D2485" s="8" t="s">
        <v>3773</v>
      </c>
      <c r="E2485" s="8" t="s">
        <v>2284</v>
      </c>
      <c r="F2485" s="8" t="s">
        <v>5731</v>
      </c>
    </row>
    <row r="2486" customHeight="1" spans="1:6">
      <c r="A2486" s="6">
        <v>2485</v>
      </c>
      <c r="B2486" s="8" t="s">
        <v>5729</v>
      </c>
      <c r="C2486" s="8" t="s">
        <v>5730</v>
      </c>
      <c r="D2486" s="8" t="s">
        <v>3773</v>
      </c>
      <c r="E2486" s="8" t="s">
        <v>2284</v>
      </c>
      <c r="F2486" s="8" t="s">
        <v>5731</v>
      </c>
    </row>
    <row r="2487" customHeight="1" spans="1:6">
      <c r="A2487" s="6">
        <v>2486</v>
      </c>
      <c r="B2487" s="7" t="str">
        <f>"978-7-5682-9645-8"</f>
        <v>978-7-5682-9645-8</v>
      </c>
      <c r="C2487" s="7" t="str">
        <f>"跨境电商操作实务：基于速卖通平台"</f>
        <v>跨境电商操作实务：基于速卖通平台</v>
      </c>
      <c r="D2487" s="7" t="str">
        <f>"编著宋磊"</f>
        <v>编著宋磊</v>
      </c>
      <c r="E2487" s="7" t="str">
        <f>"北京理工大学出版社"</f>
        <v>北京理工大学出版社</v>
      </c>
      <c r="F2487" s="7" t="str">
        <f>"F713.365.2/93=2D"</f>
        <v>F713.365.2/93=2D</v>
      </c>
    </row>
    <row r="2488" customHeight="1" spans="1:6">
      <c r="A2488" s="6">
        <v>2487</v>
      </c>
      <c r="B2488" s="7" t="str">
        <f>"978-7-5682-9645-8"</f>
        <v>978-7-5682-9645-8</v>
      </c>
      <c r="C2488" s="7" t="str">
        <f>"跨境电商操作实务：基于速卖通平台"</f>
        <v>跨境电商操作实务：基于速卖通平台</v>
      </c>
      <c r="D2488" s="7" t="str">
        <f>"编著宋磊"</f>
        <v>编著宋磊</v>
      </c>
      <c r="E2488" s="7" t="str">
        <f>"北京理工大学出版社"</f>
        <v>北京理工大学出版社</v>
      </c>
      <c r="F2488" s="7" t="str">
        <f>"F713.365.2/93=2D"</f>
        <v>F713.365.2/93=2D</v>
      </c>
    </row>
    <row r="2489" customHeight="1" spans="1:6">
      <c r="A2489" s="6">
        <v>2488</v>
      </c>
      <c r="B2489" s="7" t="str">
        <f>"978-7-115-54470-4"</f>
        <v>978-7-115-54470-4</v>
      </c>
      <c r="C2489" s="7" t="str">
        <f>"跨境电商出口零售实务"</f>
        <v>跨境电商出口零售实务</v>
      </c>
      <c r="D2489" s="7" t="str">
        <f>"王淑翠编著"</f>
        <v>王淑翠编著</v>
      </c>
      <c r="E2489" s="7" t="str">
        <f>"人民邮电出版社"</f>
        <v>人民邮电出版社</v>
      </c>
      <c r="F2489" s="7" t="str">
        <f>"F713.365/429"</f>
        <v>F713.365/429</v>
      </c>
    </row>
    <row r="2490" customHeight="1" spans="1:6">
      <c r="A2490" s="6">
        <v>2489</v>
      </c>
      <c r="B2490" s="7" t="str">
        <f>"978-7-115-54470-4"</f>
        <v>978-7-115-54470-4</v>
      </c>
      <c r="C2490" s="7" t="str">
        <f>"跨境电商出口零售实务"</f>
        <v>跨境电商出口零售实务</v>
      </c>
      <c r="D2490" s="7" t="str">
        <f>"王淑翠编著"</f>
        <v>王淑翠编著</v>
      </c>
      <c r="E2490" s="7" t="str">
        <f>"人民邮电出版社"</f>
        <v>人民邮电出版社</v>
      </c>
      <c r="F2490" s="7" t="str">
        <f>"F713.365/429"</f>
        <v>F713.365/429</v>
      </c>
    </row>
    <row r="2491" customHeight="1" spans="1:6">
      <c r="A2491" s="6">
        <v>2490</v>
      </c>
      <c r="B2491" s="7" t="str">
        <f>"978-7-302-55205-5"</f>
        <v>978-7-302-55205-5</v>
      </c>
      <c r="C2491" s="7" t="str">
        <f>"私域电商：私域流量下的新社交电商运营"</f>
        <v>私域电商：私域流量下的新社交电商运营</v>
      </c>
      <c r="D2491" s="7" t="str">
        <f>"陆高立编著"</f>
        <v>陆高立编著</v>
      </c>
      <c r="E2491" s="7" t="str">
        <f>"清华大学出版社"</f>
        <v>清华大学出版社</v>
      </c>
      <c r="F2491" s="7" t="str">
        <f>"F713.365/430"</f>
        <v>F713.365/430</v>
      </c>
    </row>
    <row r="2492" customHeight="1" spans="1:6">
      <c r="A2492" s="6">
        <v>2491</v>
      </c>
      <c r="B2492" s="7" t="str">
        <f>"978-7-302-55205-5"</f>
        <v>978-7-302-55205-5</v>
      </c>
      <c r="C2492" s="7" t="str">
        <f>"私域电商：私域流量下的新社交电商运营"</f>
        <v>私域电商：私域流量下的新社交电商运营</v>
      </c>
      <c r="D2492" s="7" t="str">
        <f>"陆高立编著"</f>
        <v>陆高立编著</v>
      </c>
      <c r="E2492" s="7" t="str">
        <f>"清华大学出版社"</f>
        <v>清华大学出版社</v>
      </c>
      <c r="F2492" s="7" t="str">
        <f>"F713.365/430"</f>
        <v>F713.365/430</v>
      </c>
    </row>
    <row r="2493" customHeight="1" spans="1:6">
      <c r="A2493" s="6">
        <v>2492</v>
      </c>
      <c r="B2493" s="8" t="s">
        <v>5732</v>
      </c>
      <c r="C2493" s="8" t="s">
        <v>5733</v>
      </c>
      <c r="D2493" s="8" t="s">
        <v>5734</v>
      </c>
      <c r="E2493" s="8" t="s">
        <v>216</v>
      </c>
      <c r="F2493" s="8" t="s">
        <v>5735</v>
      </c>
    </row>
    <row r="2494" customHeight="1" spans="1:6">
      <c r="A2494" s="6">
        <v>2493</v>
      </c>
      <c r="B2494" s="8" t="s">
        <v>5732</v>
      </c>
      <c r="C2494" s="8" t="s">
        <v>5733</v>
      </c>
      <c r="D2494" s="8" t="s">
        <v>5734</v>
      </c>
      <c r="E2494" s="8" t="s">
        <v>216</v>
      </c>
      <c r="F2494" s="8" t="s">
        <v>5735</v>
      </c>
    </row>
    <row r="2495" customHeight="1" spans="1:6">
      <c r="A2495" s="6">
        <v>2494</v>
      </c>
      <c r="B2495" s="8" t="s">
        <v>5732</v>
      </c>
      <c r="C2495" s="8" t="s">
        <v>5733</v>
      </c>
      <c r="D2495" s="8" t="s">
        <v>5734</v>
      </c>
      <c r="E2495" s="8" t="s">
        <v>216</v>
      </c>
      <c r="F2495" s="8" t="s">
        <v>5735</v>
      </c>
    </row>
    <row r="2496" customHeight="1" spans="1:6">
      <c r="A2496" s="6">
        <v>2495</v>
      </c>
      <c r="B2496" s="8" t="s">
        <v>5736</v>
      </c>
      <c r="C2496" s="8" t="s">
        <v>5737</v>
      </c>
      <c r="D2496" s="8" t="s">
        <v>5442</v>
      </c>
      <c r="E2496" s="8" t="s">
        <v>4723</v>
      </c>
      <c r="F2496" s="8" t="s">
        <v>5738</v>
      </c>
    </row>
    <row r="2497" customHeight="1" spans="1:6">
      <c r="A2497" s="6">
        <v>2496</v>
      </c>
      <c r="B2497" s="8" t="s">
        <v>5736</v>
      </c>
      <c r="C2497" s="8" t="s">
        <v>5737</v>
      </c>
      <c r="D2497" s="8" t="s">
        <v>5442</v>
      </c>
      <c r="E2497" s="8" t="s">
        <v>4723</v>
      </c>
      <c r="F2497" s="8" t="s">
        <v>5738</v>
      </c>
    </row>
    <row r="2498" customHeight="1" spans="1:6">
      <c r="A2498" s="6">
        <v>2497</v>
      </c>
      <c r="B2498" s="8" t="s">
        <v>5739</v>
      </c>
      <c r="C2498" s="8" t="s">
        <v>5740</v>
      </c>
      <c r="D2498" s="8" t="s">
        <v>5741</v>
      </c>
      <c r="E2498" s="8" t="s">
        <v>256</v>
      </c>
      <c r="F2498" s="8" t="s">
        <v>5742</v>
      </c>
    </row>
    <row r="2499" customHeight="1" spans="1:6">
      <c r="A2499" s="6">
        <v>2498</v>
      </c>
      <c r="B2499" s="8" t="s">
        <v>5739</v>
      </c>
      <c r="C2499" s="8" t="s">
        <v>5740</v>
      </c>
      <c r="D2499" s="8" t="s">
        <v>5741</v>
      </c>
      <c r="E2499" s="8" t="s">
        <v>256</v>
      </c>
      <c r="F2499" s="8" t="s">
        <v>5742</v>
      </c>
    </row>
    <row r="2500" customHeight="1" spans="1:6">
      <c r="A2500" s="6">
        <v>2499</v>
      </c>
      <c r="B2500" s="7" t="str">
        <f>"978-7-115-56318-7"</f>
        <v>978-7-115-56318-7</v>
      </c>
      <c r="C2500" s="7" t="str">
        <f>"电商客服快速成交实战手册：高满意度+高好评率+高转化率+高客单价"</f>
        <v>电商客服快速成交实战手册：高满意度+高好评率+高转化率+高客单价</v>
      </c>
      <c r="D2500" s="7" t="str">
        <f>"张烜搏著"</f>
        <v>张烜搏著</v>
      </c>
      <c r="E2500" s="7" t="str">
        <f>"人民邮电出版社"</f>
        <v>人民邮电出版社</v>
      </c>
      <c r="F2500" s="7" t="str">
        <f>"F713.36-62/4"</f>
        <v>F713.36-62/4</v>
      </c>
    </row>
    <row r="2501" customHeight="1" spans="1:6">
      <c r="A2501" s="6">
        <v>2500</v>
      </c>
      <c r="B2501" s="7" t="str">
        <f>"978-7-115-56318-7"</f>
        <v>978-7-115-56318-7</v>
      </c>
      <c r="C2501" s="7" t="str">
        <f>"电商客服快速成交实战手册：高满意度+高好评率+高转化率+高客单价"</f>
        <v>电商客服快速成交实战手册：高满意度+高好评率+高转化率+高客单价</v>
      </c>
      <c r="D2501" s="7" t="str">
        <f>"张烜搏著"</f>
        <v>张烜搏著</v>
      </c>
      <c r="E2501" s="7" t="str">
        <f>"人民邮电出版社"</f>
        <v>人民邮电出版社</v>
      </c>
      <c r="F2501" s="7" t="str">
        <f>"F713.36-62/4"</f>
        <v>F713.36-62/4</v>
      </c>
    </row>
    <row r="2502" customHeight="1" spans="1:6">
      <c r="A2502" s="6">
        <v>2501</v>
      </c>
      <c r="B2502" s="8" t="s">
        <v>5743</v>
      </c>
      <c r="C2502" s="8" t="s">
        <v>5744</v>
      </c>
      <c r="D2502" s="8" t="s">
        <v>5745</v>
      </c>
      <c r="E2502" s="8" t="s">
        <v>216</v>
      </c>
      <c r="F2502" s="8" t="s">
        <v>5746</v>
      </c>
    </row>
    <row r="2503" customHeight="1" spans="1:6">
      <c r="A2503" s="6">
        <v>2502</v>
      </c>
      <c r="B2503" s="8" t="s">
        <v>5743</v>
      </c>
      <c r="C2503" s="8" t="s">
        <v>5744</v>
      </c>
      <c r="D2503" s="8" t="s">
        <v>5745</v>
      </c>
      <c r="E2503" s="8" t="s">
        <v>216</v>
      </c>
      <c r="F2503" s="8" t="s">
        <v>5746</v>
      </c>
    </row>
    <row r="2504" customHeight="1" spans="1:6">
      <c r="A2504" s="6">
        <v>2503</v>
      </c>
      <c r="B2504" s="7" t="str">
        <f t="shared" ref="B2504:B2506" si="178">"978-7-222-20116-3"</f>
        <v>978-7-222-20116-3</v>
      </c>
      <c r="C2504" s="7" t="str">
        <f t="shared" ref="C2504:C2506" si="179">"跨界营销实战"</f>
        <v>跨界营销实战</v>
      </c>
      <c r="D2504" s="7" t="str">
        <f t="shared" ref="D2504:D2506" si="180">"吴学刚编著"</f>
        <v>吴学刚编著</v>
      </c>
      <c r="E2504" s="7" t="str">
        <f t="shared" ref="E2504:E2506" si="181">"云南人民出版社"</f>
        <v>云南人民出版社</v>
      </c>
      <c r="F2504" s="7" t="str">
        <f t="shared" ref="F2504:F2506" si="182">"F713.50/1032"</f>
        <v>F713.50/1032</v>
      </c>
    </row>
    <row r="2505" customHeight="1" spans="1:6">
      <c r="A2505" s="6">
        <v>2504</v>
      </c>
      <c r="B2505" s="7" t="str">
        <f t="shared" si="178"/>
        <v>978-7-222-20116-3</v>
      </c>
      <c r="C2505" s="7" t="str">
        <f t="shared" si="179"/>
        <v>跨界营销实战</v>
      </c>
      <c r="D2505" s="7" t="str">
        <f t="shared" si="180"/>
        <v>吴学刚编著</v>
      </c>
      <c r="E2505" s="7" t="str">
        <f t="shared" si="181"/>
        <v>云南人民出版社</v>
      </c>
      <c r="F2505" s="7" t="str">
        <f t="shared" si="182"/>
        <v>F713.50/1032</v>
      </c>
    </row>
    <row r="2506" customHeight="1" spans="1:6">
      <c r="A2506" s="6">
        <v>2505</v>
      </c>
      <c r="B2506" s="7" t="str">
        <f t="shared" si="178"/>
        <v>978-7-222-20116-3</v>
      </c>
      <c r="C2506" s="7" t="str">
        <f t="shared" si="179"/>
        <v>跨界营销实战</v>
      </c>
      <c r="D2506" s="7" t="str">
        <f t="shared" si="180"/>
        <v>吴学刚编著</v>
      </c>
      <c r="E2506" s="7" t="str">
        <f t="shared" si="181"/>
        <v>云南人民出版社</v>
      </c>
      <c r="F2506" s="7" t="str">
        <f t="shared" si="182"/>
        <v>F713.50/1032</v>
      </c>
    </row>
    <row r="2507" customHeight="1" spans="1:6">
      <c r="A2507" s="6">
        <v>2506</v>
      </c>
      <c r="B2507" s="8" t="s">
        <v>5747</v>
      </c>
      <c r="C2507" s="8" t="s">
        <v>5748</v>
      </c>
      <c r="D2507" s="8" t="s">
        <v>5749</v>
      </c>
      <c r="E2507" s="8" t="s">
        <v>530</v>
      </c>
      <c r="F2507" s="8" t="s">
        <v>5750</v>
      </c>
    </row>
    <row r="2508" customHeight="1" spans="1:6">
      <c r="A2508" s="6">
        <v>2507</v>
      </c>
      <c r="B2508" s="8" t="s">
        <v>5747</v>
      </c>
      <c r="C2508" s="8" t="s">
        <v>5748</v>
      </c>
      <c r="D2508" s="8" t="s">
        <v>5749</v>
      </c>
      <c r="E2508" s="8" t="s">
        <v>530</v>
      </c>
      <c r="F2508" s="8" t="s">
        <v>5750</v>
      </c>
    </row>
    <row r="2509" customHeight="1" spans="1:6">
      <c r="A2509" s="6">
        <v>2508</v>
      </c>
      <c r="B2509" s="8" t="s">
        <v>5747</v>
      </c>
      <c r="C2509" s="8" t="s">
        <v>5748</v>
      </c>
      <c r="D2509" s="8" t="s">
        <v>5749</v>
      </c>
      <c r="E2509" s="8" t="s">
        <v>530</v>
      </c>
      <c r="F2509" s="8" t="s">
        <v>5750</v>
      </c>
    </row>
    <row r="2510" customHeight="1" spans="1:6">
      <c r="A2510" s="6">
        <v>2509</v>
      </c>
      <c r="B2510" s="8" t="s">
        <v>5751</v>
      </c>
      <c r="C2510" s="8" t="s">
        <v>5752</v>
      </c>
      <c r="D2510" s="8" t="s">
        <v>5753</v>
      </c>
      <c r="E2510" s="8" t="s">
        <v>530</v>
      </c>
      <c r="F2510" s="8" t="s">
        <v>5754</v>
      </c>
    </row>
    <row r="2511" customHeight="1" spans="1:6">
      <c r="A2511" s="6">
        <v>2510</v>
      </c>
      <c r="B2511" s="8" t="s">
        <v>5751</v>
      </c>
      <c r="C2511" s="8" t="s">
        <v>5752</v>
      </c>
      <c r="D2511" s="8" t="s">
        <v>5753</v>
      </c>
      <c r="E2511" s="8" t="s">
        <v>530</v>
      </c>
      <c r="F2511" s="8" t="s">
        <v>5754</v>
      </c>
    </row>
    <row r="2512" customHeight="1" spans="1:6">
      <c r="A2512" s="6">
        <v>2511</v>
      </c>
      <c r="B2512" s="8" t="s">
        <v>5751</v>
      </c>
      <c r="C2512" s="8" t="s">
        <v>5752</v>
      </c>
      <c r="D2512" s="8" t="s">
        <v>5753</v>
      </c>
      <c r="E2512" s="8" t="s">
        <v>530</v>
      </c>
      <c r="F2512" s="8" t="s">
        <v>5754</v>
      </c>
    </row>
    <row r="2513" customHeight="1" spans="1:6">
      <c r="A2513" s="6">
        <v>2512</v>
      </c>
      <c r="B2513" s="8" t="s">
        <v>5755</v>
      </c>
      <c r="C2513" s="8" t="s">
        <v>5756</v>
      </c>
      <c r="D2513" s="8" t="s">
        <v>5757</v>
      </c>
      <c r="E2513" s="8" t="s">
        <v>530</v>
      </c>
      <c r="F2513" s="8" t="s">
        <v>5758</v>
      </c>
    </row>
    <row r="2514" customHeight="1" spans="1:6">
      <c r="A2514" s="6">
        <v>2513</v>
      </c>
      <c r="B2514" s="8" t="s">
        <v>5755</v>
      </c>
      <c r="C2514" s="8" t="s">
        <v>5756</v>
      </c>
      <c r="D2514" s="8" t="s">
        <v>5757</v>
      </c>
      <c r="E2514" s="8" t="s">
        <v>530</v>
      </c>
      <c r="F2514" s="8" t="s">
        <v>5758</v>
      </c>
    </row>
    <row r="2515" customHeight="1" spans="1:6">
      <c r="A2515" s="6">
        <v>2514</v>
      </c>
      <c r="B2515" s="8" t="s">
        <v>5755</v>
      </c>
      <c r="C2515" s="8" t="s">
        <v>5756</v>
      </c>
      <c r="D2515" s="8" t="s">
        <v>5757</v>
      </c>
      <c r="E2515" s="8" t="s">
        <v>530</v>
      </c>
      <c r="F2515" s="8" t="s">
        <v>5758</v>
      </c>
    </row>
    <row r="2516" customHeight="1" spans="1:6">
      <c r="A2516" s="6">
        <v>2515</v>
      </c>
      <c r="B2516" s="8" t="s">
        <v>5759</v>
      </c>
      <c r="C2516" s="8" t="s">
        <v>5760</v>
      </c>
      <c r="D2516" s="8" t="s">
        <v>5761</v>
      </c>
      <c r="E2516" s="8" t="s">
        <v>2566</v>
      </c>
      <c r="F2516" s="8" t="s">
        <v>5762</v>
      </c>
    </row>
    <row r="2517" customHeight="1" spans="1:6">
      <c r="A2517" s="6">
        <v>2516</v>
      </c>
      <c r="B2517" s="8" t="s">
        <v>5759</v>
      </c>
      <c r="C2517" s="8" t="s">
        <v>5760</v>
      </c>
      <c r="D2517" s="8" t="s">
        <v>5761</v>
      </c>
      <c r="E2517" s="8" t="s">
        <v>2566</v>
      </c>
      <c r="F2517" s="8" t="s">
        <v>5762</v>
      </c>
    </row>
    <row r="2518" customHeight="1" spans="1:6">
      <c r="A2518" s="6">
        <v>2517</v>
      </c>
      <c r="B2518" s="8" t="s">
        <v>5759</v>
      </c>
      <c r="C2518" s="8" t="s">
        <v>5760</v>
      </c>
      <c r="D2518" s="8" t="s">
        <v>5761</v>
      </c>
      <c r="E2518" s="8" t="s">
        <v>2566</v>
      </c>
      <c r="F2518" s="8" t="s">
        <v>5762</v>
      </c>
    </row>
    <row r="2519" customHeight="1" spans="1:6">
      <c r="A2519" s="6">
        <v>2518</v>
      </c>
      <c r="B2519" s="8" t="s">
        <v>5763</v>
      </c>
      <c r="C2519" s="8" t="s">
        <v>5764</v>
      </c>
      <c r="D2519" s="8" t="s">
        <v>5765</v>
      </c>
      <c r="E2519" s="8" t="s">
        <v>1189</v>
      </c>
      <c r="F2519" s="8" t="s">
        <v>5766</v>
      </c>
    </row>
    <row r="2520" customHeight="1" spans="1:6">
      <c r="A2520" s="6">
        <v>2519</v>
      </c>
      <c r="B2520" s="8" t="s">
        <v>5763</v>
      </c>
      <c r="C2520" s="8" t="s">
        <v>5764</v>
      </c>
      <c r="D2520" s="8" t="s">
        <v>5765</v>
      </c>
      <c r="E2520" s="8" t="s">
        <v>1189</v>
      </c>
      <c r="F2520" s="8" t="s">
        <v>5766</v>
      </c>
    </row>
    <row r="2521" customHeight="1" spans="1:6">
      <c r="A2521" s="6">
        <v>2520</v>
      </c>
      <c r="B2521" s="8" t="s">
        <v>5763</v>
      </c>
      <c r="C2521" s="8" t="s">
        <v>5764</v>
      </c>
      <c r="D2521" s="8" t="s">
        <v>5765</v>
      </c>
      <c r="E2521" s="8" t="s">
        <v>1189</v>
      </c>
      <c r="F2521" s="8" t="s">
        <v>5766</v>
      </c>
    </row>
    <row r="2522" customHeight="1" spans="1:6">
      <c r="A2522" s="6">
        <v>2521</v>
      </c>
      <c r="B2522" s="8" t="s">
        <v>5767</v>
      </c>
      <c r="C2522" s="8" t="s">
        <v>5768</v>
      </c>
      <c r="D2522" s="8" t="s">
        <v>5769</v>
      </c>
      <c r="E2522" s="8" t="s">
        <v>1636</v>
      </c>
      <c r="F2522" s="8" t="s">
        <v>5770</v>
      </c>
    </row>
    <row r="2523" customHeight="1" spans="1:6">
      <c r="A2523" s="6">
        <v>2522</v>
      </c>
      <c r="B2523" s="8" t="s">
        <v>5767</v>
      </c>
      <c r="C2523" s="8" t="s">
        <v>5768</v>
      </c>
      <c r="D2523" s="8" t="s">
        <v>5769</v>
      </c>
      <c r="E2523" s="8" t="s">
        <v>1636</v>
      </c>
      <c r="F2523" s="8" t="s">
        <v>5770</v>
      </c>
    </row>
    <row r="2524" customHeight="1" spans="1:6">
      <c r="A2524" s="6">
        <v>2523</v>
      </c>
      <c r="B2524" s="8" t="s">
        <v>5771</v>
      </c>
      <c r="C2524" s="8" t="s">
        <v>5772</v>
      </c>
      <c r="D2524" s="8" t="s">
        <v>5773</v>
      </c>
      <c r="E2524" s="8" t="s">
        <v>710</v>
      </c>
      <c r="F2524" s="8" t="s">
        <v>5774</v>
      </c>
    </row>
    <row r="2525" customHeight="1" spans="1:6">
      <c r="A2525" s="6">
        <v>2524</v>
      </c>
      <c r="B2525" s="8" t="s">
        <v>5771</v>
      </c>
      <c r="C2525" s="8" t="s">
        <v>5772</v>
      </c>
      <c r="D2525" s="8" t="s">
        <v>5773</v>
      </c>
      <c r="E2525" s="8" t="s">
        <v>710</v>
      </c>
      <c r="F2525" s="8" t="s">
        <v>5774</v>
      </c>
    </row>
    <row r="2526" customHeight="1" spans="1:6">
      <c r="A2526" s="6">
        <v>2525</v>
      </c>
      <c r="B2526" s="8" t="s">
        <v>5775</v>
      </c>
      <c r="C2526" s="8" t="s">
        <v>5776</v>
      </c>
      <c r="D2526" s="8" t="s">
        <v>5777</v>
      </c>
      <c r="E2526" s="8" t="s">
        <v>239</v>
      </c>
      <c r="F2526" s="8" t="s">
        <v>5778</v>
      </c>
    </row>
    <row r="2527" customHeight="1" spans="1:6">
      <c r="A2527" s="6">
        <v>2526</v>
      </c>
      <c r="B2527" s="8" t="s">
        <v>5775</v>
      </c>
      <c r="C2527" s="8" t="s">
        <v>5776</v>
      </c>
      <c r="D2527" s="8" t="s">
        <v>5777</v>
      </c>
      <c r="E2527" s="8" t="s">
        <v>239</v>
      </c>
      <c r="F2527" s="8" t="s">
        <v>5778</v>
      </c>
    </row>
    <row r="2528" customHeight="1" spans="1:6">
      <c r="A2528" s="6">
        <v>2527</v>
      </c>
      <c r="B2528" s="8" t="s">
        <v>4147</v>
      </c>
      <c r="C2528" s="8" t="s">
        <v>5779</v>
      </c>
      <c r="D2528" s="8" t="s">
        <v>5780</v>
      </c>
      <c r="E2528" s="8" t="s">
        <v>2230</v>
      </c>
      <c r="F2528" s="8" t="s">
        <v>5781</v>
      </c>
    </row>
    <row r="2529" customHeight="1" spans="1:6">
      <c r="A2529" s="6">
        <v>2528</v>
      </c>
      <c r="B2529" s="8" t="s">
        <v>4147</v>
      </c>
      <c r="C2529" s="8" t="s">
        <v>5779</v>
      </c>
      <c r="D2529" s="8" t="s">
        <v>5780</v>
      </c>
      <c r="E2529" s="8" t="s">
        <v>2230</v>
      </c>
      <c r="F2529" s="8" t="s">
        <v>5781</v>
      </c>
    </row>
    <row r="2530" customHeight="1" spans="1:6">
      <c r="A2530" s="6">
        <v>2529</v>
      </c>
      <c r="B2530" s="8" t="s">
        <v>5706</v>
      </c>
      <c r="C2530" s="8" t="s">
        <v>5779</v>
      </c>
      <c r="D2530" s="8" t="s">
        <v>5780</v>
      </c>
      <c r="E2530" s="8" t="s">
        <v>2575</v>
      </c>
      <c r="F2530" s="8" t="s">
        <v>5782</v>
      </c>
    </row>
    <row r="2531" customHeight="1" spans="1:6">
      <c r="A2531" s="6">
        <v>2530</v>
      </c>
      <c r="B2531" s="8" t="s">
        <v>5706</v>
      </c>
      <c r="C2531" s="8" t="s">
        <v>5779</v>
      </c>
      <c r="D2531" s="8" t="s">
        <v>5780</v>
      </c>
      <c r="E2531" s="8" t="s">
        <v>2575</v>
      </c>
      <c r="F2531" s="8" t="s">
        <v>5782</v>
      </c>
    </row>
    <row r="2532" customHeight="1" spans="1:6">
      <c r="A2532" s="6">
        <v>2531</v>
      </c>
      <c r="B2532" s="8" t="s">
        <v>5783</v>
      </c>
      <c r="C2532" s="8" t="s">
        <v>5784</v>
      </c>
      <c r="D2532" s="8" t="s">
        <v>5785</v>
      </c>
      <c r="E2532" s="8" t="s">
        <v>1189</v>
      </c>
      <c r="F2532" s="8" t="s">
        <v>5786</v>
      </c>
    </row>
    <row r="2533" customHeight="1" spans="1:6">
      <c r="A2533" s="6">
        <v>2532</v>
      </c>
      <c r="B2533" s="8" t="s">
        <v>5783</v>
      </c>
      <c r="C2533" s="8" t="s">
        <v>5784</v>
      </c>
      <c r="D2533" s="8" t="s">
        <v>5785</v>
      </c>
      <c r="E2533" s="8" t="s">
        <v>1189</v>
      </c>
      <c r="F2533" s="8" t="s">
        <v>5786</v>
      </c>
    </row>
    <row r="2534" customHeight="1" spans="1:6">
      <c r="A2534" s="6">
        <v>2533</v>
      </c>
      <c r="B2534" s="8" t="s">
        <v>5783</v>
      </c>
      <c r="C2534" s="8" t="s">
        <v>5784</v>
      </c>
      <c r="D2534" s="8" t="s">
        <v>5785</v>
      </c>
      <c r="E2534" s="8" t="s">
        <v>1189</v>
      </c>
      <c r="F2534" s="8" t="s">
        <v>5786</v>
      </c>
    </row>
    <row r="2535" customHeight="1" spans="1:6">
      <c r="A2535" s="6">
        <v>2534</v>
      </c>
      <c r="B2535" s="8" t="s">
        <v>5787</v>
      </c>
      <c r="C2535" s="8" t="s">
        <v>5752</v>
      </c>
      <c r="D2535" s="8" t="s">
        <v>5788</v>
      </c>
      <c r="E2535" s="8" t="s">
        <v>1631</v>
      </c>
      <c r="F2535" s="8" t="s">
        <v>5789</v>
      </c>
    </row>
    <row r="2536" customHeight="1" spans="1:6">
      <c r="A2536" s="6">
        <v>2535</v>
      </c>
      <c r="B2536" s="8" t="s">
        <v>5787</v>
      </c>
      <c r="C2536" s="8" t="s">
        <v>5752</v>
      </c>
      <c r="D2536" s="8" t="s">
        <v>5788</v>
      </c>
      <c r="E2536" s="8" t="s">
        <v>1631</v>
      </c>
      <c r="F2536" s="8" t="s">
        <v>5789</v>
      </c>
    </row>
    <row r="2537" customHeight="1" spans="1:6">
      <c r="A2537" s="6">
        <v>2536</v>
      </c>
      <c r="B2537" s="8" t="s">
        <v>568</v>
      </c>
      <c r="C2537" s="8" t="s">
        <v>5790</v>
      </c>
      <c r="D2537" s="8" t="s">
        <v>570</v>
      </c>
      <c r="E2537" s="8" t="s">
        <v>571</v>
      </c>
      <c r="F2537" s="8" t="s">
        <v>5791</v>
      </c>
    </row>
    <row r="2538" customHeight="1" spans="1:6">
      <c r="A2538" s="6">
        <v>2537</v>
      </c>
      <c r="B2538" s="8" t="s">
        <v>568</v>
      </c>
      <c r="C2538" s="8" t="s">
        <v>5790</v>
      </c>
      <c r="D2538" s="8" t="s">
        <v>570</v>
      </c>
      <c r="E2538" s="8" t="s">
        <v>571</v>
      </c>
      <c r="F2538" s="8" t="s">
        <v>5791</v>
      </c>
    </row>
    <row r="2539" customHeight="1" spans="1:6">
      <c r="A2539" s="6">
        <v>2538</v>
      </c>
      <c r="B2539" s="7" t="str">
        <f>"978-7-115-54902-0"</f>
        <v>978-7-115-54902-0</v>
      </c>
      <c r="C2539" s="7" t="str">
        <f>"Power BI商业数据分析"</f>
        <v>Power BI商业数据分析</v>
      </c>
      <c r="D2539" s="7" t="str">
        <f>"胡永胜编著"</f>
        <v>胡永胜编著</v>
      </c>
      <c r="E2539" s="7" t="str">
        <f>"人民邮电出版社"</f>
        <v>人民邮电出版社</v>
      </c>
      <c r="F2539" s="7" t="str">
        <f>"F713.51/36"</f>
        <v>F713.51/36</v>
      </c>
    </row>
    <row r="2540" customHeight="1" spans="1:6">
      <c r="A2540" s="6">
        <v>2539</v>
      </c>
      <c r="B2540" s="7" t="str">
        <f>"978-7-115-54902-0"</f>
        <v>978-7-115-54902-0</v>
      </c>
      <c r="C2540" s="7" t="str">
        <f>"Power BI商业数据分析"</f>
        <v>Power BI商业数据分析</v>
      </c>
      <c r="D2540" s="7" t="str">
        <f>"胡永胜编著"</f>
        <v>胡永胜编著</v>
      </c>
      <c r="E2540" s="7" t="str">
        <f>"人民邮电出版社"</f>
        <v>人民邮电出版社</v>
      </c>
      <c r="F2540" s="7" t="str">
        <f>"F713.51/36"</f>
        <v>F713.51/36</v>
      </c>
    </row>
    <row r="2541" customHeight="1" spans="1:6">
      <c r="A2541" s="6">
        <v>2540</v>
      </c>
      <c r="B2541" s="7" t="str">
        <f t="shared" ref="B2541:B2543" si="183">"978-7-111-67906-6"</f>
        <v>978-7-111-67906-6</v>
      </c>
      <c r="C2541" s="7" t="str">
        <f t="shared" ref="C2541:C2543" si="184">"市场调查与预测"</f>
        <v>市场调查与预测</v>
      </c>
      <c r="D2541" s="7" t="str">
        <f t="shared" ref="D2541:D2543" si="185">"主编杨勇"</f>
        <v>主编杨勇</v>
      </c>
      <c r="E2541" s="7" t="str">
        <f t="shared" ref="E2541:E2543" si="186">"机械工业出版社"</f>
        <v>机械工业出版社</v>
      </c>
      <c r="F2541" s="7" t="str">
        <f t="shared" ref="F2541:F2543" si="187">"F713.52/105=2D"</f>
        <v>F713.52/105=2D</v>
      </c>
    </row>
    <row r="2542" customHeight="1" spans="1:6">
      <c r="A2542" s="6">
        <v>2541</v>
      </c>
      <c r="B2542" s="7" t="str">
        <f t="shared" si="183"/>
        <v>978-7-111-67906-6</v>
      </c>
      <c r="C2542" s="7" t="str">
        <f t="shared" si="184"/>
        <v>市场调查与预测</v>
      </c>
      <c r="D2542" s="7" t="str">
        <f t="shared" si="185"/>
        <v>主编杨勇</v>
      </c>
      <c r="E2542" s="7" t="str">
        <f t="shared" si="186"/>
        <v>机械工业出版社</v>
      </c>
      <c r="F2542" s="7" t="str">
        <f t="shared" si="187"/>
        <v>F713.52/105=2D</v>
      </c>
    </row>
    <row r="2543" customHeight="1" spans="1:6">
      <c r="A2543" s="6">
        <v>2542</v>
      </c>
      <c r="B2543" s="7" t="str">
        <f t="shared" si="183"/>
        <v>978-7-111-67906-6</v>
      </c>
      <c r="C2543" s="7" t="str">
        <f t="shared" si="184"/>
        <v>市场调查与预测</v>
      </c>
      <c r="D2543" s="7" t="str">
        <f t="shared" si="185"/>
        <v>主编杨勇</v>
      </c>
      <c r="E2543" s="7" t="str">
        <f t="shared" si="186"/>
        <v>机械工业出版社</v>
      </c>
      <c r="F2543" s="7" t="str">
        <f t="shared" si="187"/>
        <v>F713.52/105=2D</v>
      </c>
    </row>
    <row r="2544" customHeight="1" spans="1:6">
      <c r="A2544" s="6">
        <v>2543</v>
      </c>
      <c r="B2544" s="8" t="s">
        <v>5792</v>
      </c>
      <c r="C2544" s="8" t="s">
        <v>5793</v>
      </c>
      <c r="D2544" s="8" t="s">
        <v>5794</v>
      </c>
      <c r="E2544" s="8" t="s">
        <v>256</v>
      </c>
      <c r="F2544" s="8" t="s">
        <v>5795</v>
      </c>
    </row>
    <row r="2545" customHeight="1" spans="1:6">
      <c r="A2545" s="6">
        <v>2544</v>
      </c>
      <c r="B2545" s="8" t="s">
        <v>5792</v>
      </c>
      <c r="C2545" s="8" t="s">
        <v>5793</v>
      </c>
      <c r="D2545" s="8" t="s">
        <v>5794</v>
      </c>
      <c r="E2545" s="8" t="s">
        <v>256</v>
      </c>
      <c r="F2545" s="8" t="s">
        <v>5795</v>
      </c>
    </row>
    <row r="2546" customHeight="1" spans="1:6">
      <c r="A2546" s="6">
        <v>2545</v>
      </c>
      <c r="B2546" s="8" t="s">
        <v>5792</v>
      </c>
      <c r="C2546" s="8" t="s">
        <v>5793</v>
      </c>
      <c r="D2546" s="8" t="s">
        <v>5794</v>
      </c>
      <c r="E2546" s="8" t="s">
        <v>256</v>
      </c>
      <c r="F2546" s="8" t="s">
        <v>5795</v>
      </c>
    </row>
    <row r="2547" customHeight="1" spans="1:6">
      <c r="A2547" s="6">
        <v>2546</v>
      </c>
      <c r="B2547" s="7" t="str">
        <f>"978-7-5158-2943-2"</f>
        <v>978-7-5158-2943-2</v>
      </c>
      <c r="C2547" s="7" t="str">
        <f>"顾客行为心理学"</f>
        <v>顾客行为心理学</v>
      </c>
      <c r="D2547" s="7" t="str">
        <f>"希文主编"</f>
        <v>希文主编</v>
      </c>
      <c r="E2547" s="7" t="str">
        <f>"中华工商联合出版社"</f>
        <v>中华工商联合出版社</v>
      </c>
      <c r="F2547" s="7" t="str">
        <f>"F713.55/310"</f>
        <v>F713.55/310</v>
      </c>
    </row>
    <row r="2548" customHeight="1" spans="1:6">
      <c r="A2548" s="6">
        <v>2547</v>
      </c>
      <c r="B2548" s="7" t="str">
        <f>"978-7-5158-2943-2"</f>
        <v>978-7-5158-2943-2</v>
      </c>
      <c r="C2548" s="7" t="str">
        <f>"顾客行为心理学"</f>
        <v>顾客行为心理学</v>
      </c>
      <c r="D2548" s="7" t="str">
        <f>"希文主编"</f>
        <v>希文主编</v>
      </c>
      <c r="E2548" s="7" t="str">
        <f>"中华工商联合出版社"</f>
        <v>中华工商联合出版社</v>
      </c>
      <c r="F2548" s="7" t="str">
        <f>"F713.55/310"</f>
        <v>F713.55/310</v>
      </c>
    </row>
    <row r="2549" customHeight="1" spans="1:6">
      <c r="A2549" s="6">
        <v>2548</v>
      </c>
      <c r="B2549" s="8" t="s">
        <v>5796</v>
      </c>
      <c r="C2549" s="8" t="s">
        <v>5797</v>
      </c>
      <c r="D2549" s="8" t="s">
        <v>5798</v>
      </c>
      <c r="E2549" s="8" t="s">
        <v>216</v>
      </c>
      <c r="F2549" s="8" t="s">
        <v>5799</v>
      </c>
    </row>
    <row r="2550" customHeight="1" spans="1:6">
      <c r="A2550" s="6">
        <v>2549</v>
      </c>
      <c r="B2550" s="8" t="s">
        <v>5796</v>
      </c>
      <c r="C2550" s="8" t="s">
        <v>5797</v>
      </c>
      <c r="D2550" s="8" t="s">
        <v>5798</v>
      </c>
      <c r="E2550" s="8" t="s">
        <v>216</v>
      </c>
      <c r="F2550" s="8" t="s">
        <v>5799</v>
      </c>
    </row>
    <row r="2551" customHeight="1" spans="1:6">
      <c r="A2551" s="6">
        <v>2550</v>
      </c>
      <c r="B2551" s="8" t="s">
        <v>5800</v>
      </c>
      <c r="C2551" s="8" t="s">
        <v>5801</v>
      </c>
      <c r="D2551" s="8" t="s">
        <v>75</v>
      </c>
      <c r="E2551" s="8" t="s">
        <v>530</v>
      </c>
      <c r="F2551" s="8" t="s">
        <v>5802</v>
      </c>
    </row>
    <row r="2552" customHeight="1" spans="1:6">
      <c r="A2552" s="6">
        <v>2551</v>
      </c>
      <c r="B2552" s="8" t="s">
        <v>5800</v>
      </c>
      <c r="C2552" s="8" t="s">
        <v>5801</v>
      </c>
      <c r="D2552" s="8" t="s">
        <v>75</v>
      </c>
      <c r="E2552" s="8" t="s">
        <v>530</v>
      </c>
      <c r="F2552" s="8" t="s">
        <v>5802</v>
      </c>
    </row>
    <row r="2553" customHeight="1" spans="1:6">
      <c r="A2553" s="6">
        <v>2552</v>
      </c>
      <c r="B2553" s="8" t="s">
        <v>5803</v>
      </c>
      <c r="C2553" s="8" t="s">
        <v>5804</v>
      </c>
      <c r="D2553" s="8" t="s">
        <v>5805</v>
      </c>
      <c r="E2553" s="8" t="s">
        <v>5806</v>
      </c>
      <c r="F2553" s="8" t="s">
        <v>5807</v>
      </c>
    </row>
    <row r="2554" customHeight="1" spans="1:6">
      <c r="A2554" s="6">
        <v>2553</v>
      </c>
      <c r="B2554" s="8" t="s">
        <v>5803</v>
      </c>
      <c r="C2554" s="8" t="s">
        <v>5804</v>
      </c>
      <c r="D2554" s="8" t="s">
        <v>5805</v>
      </c>
      <c r="E2554" s="8" t="s">
        <v>5806</v>
      </c>
      <c r="F2554" s="8" t="s">
        <v>5807</v>
      </c>
    </row>
    <row r="2555" customHeight="1" spans="1:6">
      <c r="A2555" s="6">
        <v>2554</v>
      </c>
      <c r="B2555" s="8" t="s">
        <v>5803</v>
      </c>
      <c r="C2555" s="8" t="s">
        <v>5804</v>
      </c>
      <c r="D2555" s="8" t="s">
        <v>5805</v>
      </c>
      <c r="E2555" s="8" t="s">
        <v>5806</v>
      </c>
      <c r="F2555" s="8" t="s">
        <v>5807</v>
      </c>
    </row>
    <row r="2556" customHeight="1" spans="1:6">
      <c r="A2556" s="6">
        <v>2555</v>
      </c>
      <c r="B2556" s="8" t="s">
        <v>5808</v>
      </c>
      <c r="C2556" s="8" t="s">
        <v>5809</v>
      </c>
      <c r="D2556" s="8" t="s">
        <v>5810</v>
      </c>
      <c r="E2556" s="8" t="s">
        <v>1636</v>
      </c>
      <c r="F2556" s="8" t="s">
        <v>5811</v>
      </c>
    </row>
    <row r="2557" customHeight="1" spans="1:6">
      <c r="A2557" s="6">
        <v>2556</v>
      </c>
      <c r="B2557" s="8" t="s">
        <v>5808</v>
      </c>
      <c r="C2557" s="8" t="s">
        <v>5809</v>
      </c>
      <c r="D2557" s="8" t="s">
        <v>5810</v>
      </c>
      <c r="E2557" s="8" t="s">
        <v>1636</v>
      </c>
      <c r="F2557" s="8" t="s">
        <v>5811</v>
      </c>
    </row>
    <row r="2558" customHeight="1" spans="1:6">
      <c r="A2558" s="6">
        <v>2557</v>
      </c>
      <c r="B2558" s="8" t="s">
        <v>5812</v>
      </c>
      <c r="C2558" s="8" t="s">
        <v>5793</v>
      </c>
      <c r="D2558" s="8" t="s">
        <v>5813</v>
      </c>
      <c r="E2558" s="8" t="s">
        <v>216</v>
      </c>
      <c r="F2558" s="8" t="s">
        <v>5814</v>
      </c>
    </row>
    <row r="2559" customHeight="1" spans="1:6">
      <c r="A2559" s="6">
        <v>2558</v>
      </c>
      <c r="B2559" s="8" t="s">
        <v>5812</v>
      </c>
      <c r="C2559" s="8" t="s">
        <v>5793</v>
      </c>
      <c r="D2559" s="8" t="s">
        <v>5813</v>
      </c>
      <c r="E2559" s="8" t="s">
        <v>216</v>
      </c>
      <c r="F2559" s="8" t="s">
        <v>5814</v>
      </c>
    </row>
    <row r="2560" customHeight="1" spans="1:6">
      <c r="A2560" s="6">
        <v>2559</v>
      </c>
      <c r="B2560" s="7" t="str">
        <f>"978-7-205-10219-7"</f>
        <v>978-7-205-10219-7</v>
      </c>
      <c r="C2560" s="7" t="str">
        <f>"营销沟通实战研究"</f>
        <v>营销沟通实战研究</v>
      </c>
      <c r="D2560" s="7" t="str">
        <f>"姜婷著"</f>
        <v>姜婷著</v>
      </c>
      <c r="E2560" s="7" t="str">
        <f>"辽宁人民出版社"</f>
        <v>辽宁人民出版社</v>
      </c>
      <c r="F2560" s="7" t="str">
        <f>"F713.56/26"</f>
        <v>F713.56/26</v>
      </c>
    </row>
    <row r="2561" customHeight="1" spans="1:6">
      <c r="A2561" s="6">
        <v>2560</v>
      </c>
      <c r="B2561" s="7" t="str">
        <f>"978-7-205-10219-7"</f>
        <v>978-7-205-10219-7</v>
      </c>
      <c r="C2561" s="7" t="str">
        <f>"营销沟通实战研究"</f>
        <v>营销沟通实战研究</v>
      </c>
      <c r="D2561" s="7" t="str">
        <f>"姜婷著"</f>
        <v>姜婷著</v>
      </c>
      <c r="E2561" s="7" t="str">
        <f>"辽宁人民出版社"</f>
        <v>辽宁人民出版社</v>
      </c>
      <c r="F2561" s="7" t="str">
        <f>"F713.56/26"</f>
        <v>F713.56/26</v>
      </c>
    </row>
    <row r="2562" customHeight="1" spans="1:6">
      <c r="A2562" s="6">
        <v>2561</v>
      </c>
      <c r="B2562" s="8" t="s">
        <v>5815</v>
      </c>
      <c r="C2562" s="8" t="s">
        <v>5816</v>
      </c>
      <c r="D2562" s="8" t="s">
        <v>3773</v>
      </c>
      <c r="E2562" s="8" t="s">
        <v>2284</v>
      </c>
      <c r="F2562" s="8" t="s">
        <v>5817</v>
      </c>
    </row>
    <row r="2563" customHeight="1" spans="1:6">
      <c r="A2563" s="6">
        <v>2562</v>
      </c>
      <c r="B2563" s="8" t="s">
        <v>5815</v>
      </c>
      <c r="C2563" s="8" t="s">
        <v>5816</v>
      </c>
      <c r="D2563" s="8" t="s">
        <v>3773</v>
      </c>
      <c r="E2563" s="8" t="s">
        <v>2284</v>
      </c>
      <c r="F2563" s="8" t="s">
        <v>5817</v>
      </c>
    </row>
    <row r="2564" customHeight="1" spans="1:6">
      <c r="A2564" s="6">
        <v>2563</v>
      </c>
      <c r="B2564" s="7" t="str">
        <f>"978-7-309-15796-3"</f>
        <v>978-7-309-15796-3</v>
      </c>
      <c r="C2564" s="7" t="str">
        <f>"新媒体广告教程"</f>
        <v>新媒体广告教程</v>
      </c>
      <c r="D2564" s="7" t="str">
        <f>"杨海军著"</f>
        <v>杨海军著</v>
      </c>
      <c r="E2564" s="7" t="str">
        <f>"复旦大学出版社"</f>
        <v>复旦大学出版社</v>
      </c>
      <c r="F2564" s="7" t="str">
        <f>"F713.8/293"</f>
        <v>F713.8/293</v>
      </c>
    </row>
    <row r="2565" customHeight="1" spans="1:6">
      <c r="A2565" s="6">
        <v>2564</v>
      </c>
      <c r="B2565" s="7" t="str">
        <f>"978-7-309-15796-3"</f>
        <v>978-7-309-15796-3</v>
      </c>
      <c r="C2565" s="7" t="str">
        <f>"新媒体广告教程"</f>
        <v>新媒体广告教程</v>
      </c>
      <c r="D2565" s="7" t="str">
        <f>"杨海军著"</f>
        <v>杨海军著</v>
      </c>
      <c r="E2565" s="7" t="str">
        <f>"复旦大学出版社"</f>
        <v>复旦大学出版社</v>
      </c>
      <c r="F2565" s="7" t="str">
        <f>"F713.8/293"</f>
        <v>F713.8/293</v>
      </c>
    </row>
    <row r="2566" customHeight="1" spans="1:6">
      <c r="A2566" s="6">
        <v>2565</v>
      </c>
      <c r="B2566" s="8" t="s">
        <v>5818</v>
      </c>
      <c r="C2566" s="8" t="s">
        <v>5819</v>
      </c>
      <c r="D2566" s="8" t="s">
        <v>5820</v>
      </c>
      <c r="E2566" s="8" t="s">
        <v>270</v>
      </c>
      <c r="F2566" s="8" t="s">
        <v>5821</v>
      </c>
    </row>
    <row r="2567" customHeight="1" spans="1:6">
      <c r="A2567" s="6">
        <v>2566</v>
      </c>
      <c r="B2567" s="8" t="s">
        <v>5818</v>
      </c>
      <c r="C2567" s="8" t="s">
        <v>5819</v>
      </c>
      <c r="D2567" s="8" t="s">
        <v>5820</v>
      </c>
      <c r="E2567" s="8" t="s">
        <v>270</v>
      </c>
      <c r="F2567" s="8" t="s">
        <v>5821</v>
      </c>
    </row>
    <row r="2568" customHeight="1" spans="1:6">
      <c r="A2568" s="6">
        <v>2567</v>
      </c>
      <c r="B2568" s="8" t="s">
        <v>5818</v>
      </c>
      <c r="C2568" s="8" t="s">
        <v>5819</v>
      </c>
      <c r="D2568" s="8" t="s">
        <v>5820</v>
      </c>
      <c r="E2568" s="8" t="s">
        <v>270</v>
      </c>
      <c r="F2568" s="8" t="s">
        <v>5821</v>
      </c>
    </row>
    <row r="2569" customHeight="1" spans="1:6">
      <c r="A2569" s="6">
        <v>2568</v>
      </c>
      <c r="B2569" s="8" t="s">
        <v>5822</v>
      </c>
      <c r="C2569" s="8" t="s">
        <v>5823</v>
      </c>
      <c r="D2569" s="8" t="s">
        <v>5824</v>
      </c>
      <c r="E2569" s="8" t="s">
        <v>256</v>
      </c>
      <c r="F2569" s="8" t="s">
        <v>5825</v>
      </c>
    </row>
    <row r="2570" customHeight="1" spans="1:6">
      <c r="A2570" s="6">
        <v>2569</v>
      </c>
      <c r="B2570" s="8" t="s">
        <v>5822</v>
      </c>
      <c r="C2570" s="8" t="s">
        <v>5823</v>
      </c>
      <c r="D2570" s="8" t="s">
        <v>5824</v>
      </c>
      <c r="E2570" s="8" t="s">
        <v>256</v>
      </c>
      <c r="F2570" s="8" t="s">
        <v>5825</v>
      </c>
    </row>
    <row r="2571" customHeight="1" spans="1:6">
      <c r="A2571" s="6">
        <v>2570</v>
      </c>
      <c r="B2571" s="8" t="s">
        <v>5826</v>
      </c>
      <c r="C2571" s="8" t="s">
        <v>5827</v>
      </c>
      <c r="D2571" s="8" t="s">
        <v>5828</v>
      </c>
      <c r="E2571" s="8" t="s">
        <v>610</v>
      </c>
      <c r="F2571" s="8" t="s">
        <v>5829</v>
      </c>
    </row>
    <row r="2572" customHeight="1" spans="1:6">
      <c r="A2572" s="6">
        <v>2571</v>
      </c>
      <c r="B2572" s="8" t="s">
        <v>5826</v>
      </c>
      <c r="C2572" s="8" t="s">
        <v>5827</v>
      </c>
      <c r="D2572" s="8" t="s">
        <v>5828</v>
      </c>
      <c r="E2572" s="8" t="s">
        <v>610</v>
      </c>
      <c r="F2572" s="8" t="s">
        <v>5829</v>
      </c>
    </row>
    <row r="2573" customHeight="1" spans="1:6">
      <c r="A2573" s="6">
        <v>2572</v>
      </c>
      <c r="B2573" s="7" t="str">
        <f>"978-7-5217-2696-1"</f>
        <v>978-7-5217-2696-1</v>
      </c>
      <c r="C2573" s="7" t="str">
        <f>"奥格威谈广告"</f>
        <v>奥格威谈广告</v>
      </c>
      <c r="D2573" s="7" t="str">
        <f>"(美) 大卫·奥格威 (David Ogilvy) 著；高志宏译"</f>
        <v>(美) 大卫·奥格威 (David Ogilvy) 著；高志宏译</v>
      </c>
      <c r="E2573" s="7" t="str">
        <f>"中信出版集团"</f>
        <v>中信出版集团</v>
      </c>
      <c r="F2573" s="7" t="str">
        <f>"F713.80/228"</f>
        <v>F713.80/228</v>
      </c>
    </row>
    <row r="2574" customHeight="1" spans="1:6">
      <c r="A2574" s="6">
        <v>2573</v>
      </c>
      <c r="B2574" s="7" t="str">
        <f>"978-7-5217-2696-1"</f>
        <v>978-7-5217-2696-1</v>
      </c>
      <c r="C2574" s="7" t="str">
        <f>"奥格威谈广告"</f>
        <v>奥格威谈广告</v>
      </c>
      <c r="D2574" s="7" t="str">
        <f>"(美) 大卫·奥格威 (David Ogilvy) 著；高志宏译"</f>
        <v>(美) 大卫·奥格威 (David Ogilvy) 著；高志宏译</v>
      </c>
      <c r="E2574" s="7" t="str">
        <f>"中信出版集团"</f>
        <v>中信出版集团</v>
      </c>
      <c r="F2574" s="7" t="str">
        <f>"F713.80/228"</f>
        <v>F713.80/228</v>
      </c>
    </row>
    <row r="2575" customHeight="1" spans="1:6">
      <c r="A2575" s="6">
        <v>2574</v>
      </c>
      <c r="B2575" s="8" t="s">
        <v>5830</v>
      </c>
      <c r="C2575" s="8" t="s">
        <v>5831</v>
      </c>
      <c r="D2575" s="8" t="s">
        <v>5832</v>
      </c>
      <c r="E2575" s="8" t="s">
        <v>530</v>
      </c>
      <c r="F2575" s="8" t="s">
        <v>5833</v>
      </c>
    </row>
    <row r="2576" customHeight="1" spans="1:6">
      <c r="A2576" s="6">
        <v>2575</v>
      </c>
      <c r="B2576" s="8" t="s">
        <v>5830</v>
      </c>
      <c r="C2576" s="8" t="s">
        <v>5831</v>
      </c>
      <c r="D2576" s="8" t="s">
        <v>5832</v>
      </c>
      <c r="E2576" s="8" t="s">
        <v>530</v>
      </c>
      <c r="F2576" s="8" t="s">
        <v>5833</v>
      </c>
    </row>
    <row r="2577" customHeight="1" spans="1:6">
      <c r="A2577" s="6">
        <v>2576</v>
      </c>
      <c r="B2577" s="8" t="s">
        <v>5830</v>
      </c>
      <c r="C2577" s="8" t="s">
        <v>5831</v>
      </c>
      <c r="D2577" s="8" t="s">
        <v>5832</v>
      </c>
      <c r="E2577" s="8" t="s">
        <v>530</v>
      </c>
      <c r="F2577" s="8" t="s">
        <v>5833</v>
      </c>
    </row>
    <row r="2578" customHeight="1" spans="1:6">
      <c r="A2578" s="6">
        <v>2577</v>
      </c>
      <c r="B2578" s="7" t="str">
        <f>"978-7-5689-2109-1"</f>
        <v>978-7-5689-2109-1</v>
      </c>
      <c r="C2578" s="7" t="str">
        <f>"中外广告简史"</f>
        <v>中外广告简史</v>
      </c>
      <c r="D2578" s="7" t="str">
        <f>"秦臻编著"</f>
        <v>秦臻编著</v>
      </c>
      <c r="E2578" s="7" t="str">
        <f>"重庆大学出版社"</f>
        <v>重庆大学出版社</v>
      </c>
      <c r="F2578" s="7" t="str">
        <f>"F713.8-091/8"</f>
        <v>F713.8-091/8</v>
      </c>
    </row>
    <row r="2579" customHeight="1" spans="1:6">
      <c r="A2579" s="6">
        <v>2578</v>
      </c>
      <c r="B2579" s="7" t="str">
        <f>"978-7-5689-2109-1"</f>
        <v>978-7-5689-2109-1</v>
      </c>
      <c r="C2579" s="7" t="str">
        <f>"中外广告简史"</f>
        <v>中外广告简史</v>
      </c>
      <c r="D2579" s="7" t="str">
        <f>"秦臻编著"</f>
        <v>秦臻编著</v>
      </c>
      <c r="E2579" s="7" t="str">
        <f>"重庆大学出版社"</f>
        <v>重庆大学出版社</v>
      </c>
      <c r="F2579" s="7" t="str">
        <f>"F713.8-091/8"</f>
        <v>F713.8-091/8</v>
      </c>
    </row>
    <row r="2580" customHeight="1" spans="1:6">
      <c r="A2580" s="6">
        <v>2579</v>
      </c>
      <c r="B2580" s="8" t="s">
        <v>4147</v>
      </c>
      <c r="C2580" s="8" t="s">
        <v>5834</v>
      </c>
      <c r="D2580" s="8" t="s">
        <v>5835</v>
      </c>
      <c r="E2580" s="8" t="s">
        <v>2230</v>
      </c>
      <c r="F2580" s="8" t="s">
        <v>5836</v>
      </c>
    </row>
    <row r="2581" customHeight="1" spans="1:6">
      <c r="A2581" s="6">
        <v>2580</v>
      </c>
      <c r="B2581" s="8" t="s">
        <v>4147</v>
      </c>
      <c r="C2581" s="8" t="s">
        <v>5834</v>
      </c>
      <c r="D2581" s="8" t="s">
        <v>5835</v>
      </c>
      <c r="E2581" s="8" t="s">
        <v>2230</v>
      </c>
      <c r="F2581" s="8" t="s">
        <v>5836</v>
      </c>
    </row>
    <row r="2582" customHeight="1" spans="1:6">
      <c r="A2582" s="6">
        <v>2581</v>
      </c>
      <c r="B2582" s="8" t="s">
        <v>5706</v>
      </c>
      <c r="C2582" s="8" t="s">
        <v>5834</v>
      </c>
      <c r="D2582" s="8" t="s">
        <v>5835</v>
      </c>
      <c r="E2582" s="8" t="s">
        <v>2575</v>
      </c>
      <c r="F2582" s="8" t="s">
        <v>5837</v>
      </c>
    </row>
    <row r="2583" customHeight="1" spans="1:6">
      <c r="A2583" s="6">
        <v>2582</v>
      </c>
      <c r="B2583" s="8" t="s">
        <v>5706</v>
      </c>
      <c r="C2583" s="8" t="s">
        <v>5834</v>
      </c>
      <c r="D2583" s="8" t="s">
        <v>5835</v>
      </c>
      <c r="E2583" s="8" t="s">
        <v>2575</v>
      </c>
      <c r="F2583" s="8" t="s">
        <v>5837</v>
      </c>
    </row>
    <row r="2584" customHeight="1" spans="1:6">
      <c r="A2584" s="6">
        <v>2583</v>
      </c>
      <c r="B2584" s="8" t="s">
        <v>5838</v>
      </c>
      <c r="C2584" s="8" t="s">
        <v>5839</v>
      </c>
      <c r="D2584" s="8" t="s">
        <v>5840</v>
      </c>
      <c r="E2584" s="8" t="s">
        <v>530</v>
      </c>
      <c r="F2584" s="8" t="s">
        <v>5841</v>
      </c>
    </row>
    <row r="2585" customHeight="1" spans="1:6">
      <c r="A2585" s="6">
        <v>2584</v>
      </c>
      <c r="B2585" s="8" t="s">
        <v>5838</v>
      </c>
      <c r="C2585" s="8" t="s">
        <v>5839</v>
      </c>
      <c r="D2585" s="8" t="s">
        <v>5840</v>
      </c>
      <c r="E2585" s="8" t="s">
        <v>530</v>
      </c>
      <c r="F2585" s="8" t="s">
        <v>5841</v>
      </c>
    </row>
    <row r="2586" customHeight="1" spans="1:6">
      <c r="A2586" s="6">
        <v>2585</v>
      </c>
      <c r="B2586" s="8" t="s">
        <v>5838</v>
      </c>
      <c r="C2586" s="8" t="s">
        <v>5839</v>
      </c>
      <c r="D2586" s="8" t="s">
        <v>5840</v>
      </c>
      <c r="E2586" s="8" t="s">
        <v>530</v>
      </c>
      <c r="F2586" s="8" t="s">
        <v>5841</v>
      </c>
    </row>
    <row r="2587" customHeight="1" spans="1:6">
      <c r="A2587" s="6">
        <v>2586</v>
      </c>
      <c r="B2587" s="8" t="s">
        <v>5842</v>
      </c>
      <c r="C2587" s="8" t="s">
        <v>5843</v>
      </c>
      <c r="D2587" s="8" t="s">
        <v>5844</v>
      </c>
      <c r="E2587" s="8" t="s">
        <v>330</v>
      </c>
      <c r="F2587" s="8" t="s">
        <v>5845</v>
      </c>
    </row>
    <row r="2588" customHeight="1" spans="1:6">
      <c r="A2588" s="6">
        <v>2587</v>
      </c>
      <c r="B2588" s="8" t="s">
        <v>5842</v>
      </c>
      <c r="C2588" s="8" t="s">
        <v>5843</v>
      </c>
      <c r="D2588" s="8" t="s">
        <v>5844</v>
      </c>
      <c r="E2588" s="8" t="s">
        <v>330</v>
      </c>
      <c r="F2588" s="8" t="s">
        <v>5845</v>
      </c>
    </row>
    <row r="2589" customHeight="1" spans="1:6">
      <c r="A2589" s="6">
        <v>2588</v>
      </c>
      <c r="B2589" s="8" t="s">
        <v>5842</v>
      </c>
      <c r="C2589" s="8" t="s">
        <v>5843</v>
      </c>
      <c r="D2589" s="8" t="s">
        <v>5844</v>
      </c>
      <c r="E2589" s="8" t="s">
        <v>330</v>
      </c>
      <c r="F2589" s="8" t="s">
        <v>5845</v>
      </c>
    </row>
    <row r="2590" customHeight="1" spans="1:6">
      <c r="A2590" s="6">
        <v>2589</v>
      </c>
      <c r="B2590" s="8" t="s">
        <v>5706</v>
      </c>
      <c r="C2590" s="8" t="s">
        <v>5846</v>
      </c>
      <c r="D2590" s="8" t="s">
        <v>5847</v>
      </c>
      <c r="E2590" s="8" t="s">
        <v>2575</v>
      </c>
      <c r="F2590" s="8" t="s">
        <v>5848</v>
      </c>
    </row>
    <row r="2591" customHeight="1" spans="1:6">
      <c r="A2591" s="6">
        <v>2590</v>
      </c>
      <c r="B2591" s="8" t="s">
        <v>5706</v>
      </c>
      <c r="C2591" s="8" t="s">
        <v>5846</v>
      </c>
      <c r="D2591" s="8" t="s">
        <v>5847</v>
      </c>
      <c r="E2591" s="8" t="s">
        <v>2575</v>
      </c>
      <c r="F2591" s="8" t="s">
        <v>5848</v>
      </c>
    </row>
    <row r="2592" customHeight="1" spans="1:6">
      <c r="A2592" s="6">
        <v>2591</v>
      </c>
      <c r="B2592" s="7" t="str">
        <f t="shared" ref="B2592:B2594" si="188">"978-7-5693-2159-3"</f>
        <v>978-7-5693-2159-3</v>
      </c>
      <c r="C2592" s="7" t="str">
        <f t="shared" ref="C2592:C2594" si="189">"广告经营与管理"</f>
        <v>广告经营与管理</v>
      </c>
      <c r="D2592" s="7" t="str">
        <f t="shared" ref="D2592:D2594" si="190">"廖秉宜著"</f>
        <v>廖秉宜著</v>
      </c>
      <c r="E2592" s="7" t="str">
        <f t="shared" ref="E2592:E2594" si="191">"西安交通大学出版社"</f>
        <v>西安交通大学出版社</v>
      </c>
      <c r="F2592" s="7" t="str">
        <f t="shared" ref="F2592:F2594" si="192">"F713.82/21=2D"</f>
        <v>F713.82/21=2D</v>
      </c>
    </row>
    <row r="2593" customHeight="1" spans="1:6">
      <c r="A2593" s="6">
        <v>2592</v>
      </c>
      <c r="B2593" s="7" t="str">
        <f t="shared" si="188"/>
        <v>978-7-5693-2159-3</v>
      </c>
      <c r="C2593" s="7" t="str">
        <f t="shared" si="189"/>
        <v>广告经营与管理</v>
      </c>
      <c r="D2593" s="7" t="str">
        <f t="shared" si="190"/>
        <v>廖秉宜著</v>
      </c>
      <c r="E2593" s="7" t="str">
        <f t="shared" si="191"/>
        <v>西安交通大学出版社</v>
      </c>
      <c r="F2593" s="7" t="str">
        <f t="shared" si="192"/>
        <v>F713.82/21=2D</v>
      </c>
    </row>
    <row r="2594" customHeight="1" spans="1:6">
      <c r="A2594" s="6">
        <v>2593</v>
      </c>
      <c r="B2594" s="7" t="str">
        <f t="shared" si="188"/>
        <v>978-7-5693-2159-3</v>
      </c>
      <c r="C2594" s="7" t="str">
        <f t="shared" si="189"/>
        <v>广告经营与管理</v>
      </c>
      <c r="D2594" s="7" t="str">
        <f t="shared" si="190"/>
        <v>廖秉宜著</v>
      </c>
      <c r="E2594" s="7" t="str">
        <f t="shared" si="191"/>
        <v>西安交通大学出版社</v>
      </c>
      <c r="F2594" s="7" t="str">
        <f t="shared" si="192"/>
        <v>F713.82/21=2D</v>
      </c>
    </row>
    <row r="2595" customHeight="1" spans="1:6">
      <c r="A2595" s="6">
        <v>2594</v>
      </c>
      <c r="B2595" s="8" t="s">
        <v>5849</v>
      </c>
      <c r="C2595" s="8" t="s">
        <v>5850</v>
      </c>
      <c r="D2595" s="8" t="s">
        <v>5851</v>
      </c>
      <c r="E2595" s="8" t="s">
        <v>890</v>
      </c>
      <c r="F2595" s="8" t="s">
        <v>5852</v>
      </c>
    </row>
    <row r="2596" customHeight="1" spans="1:6">
      <c r="A2596" s="6">
        <v>2595</v>
      </c>
      <c r="B2596" s="8" t="s">
        <v>5849</v>
      </c>
      <c r="C2596" s="8" t="s">
        <v>5850</v>
      </c>
      <c r="D2596" s="8" t="s">
        <v>5851</v>
      </c>
      <c r="E2596" s="8" t="s">
        <v>890</v>
      </c>
      <c r="F2596" s="8" t="s">
        <v>5852</v>
      </c>
    </row>
    <row r="2597" customHeight="1" spans="1:6">
      <c r="A2597" s="6">
        <v>2596</v>
      </c>
      <c r="B2597" s="8" t="s">
        <v>5849</v>
      </c>
      <c r="C2597" s="8" t="s">
        <v>5850</v>
      </c>
      <c r="D2597" s="8" t="s">
        <v>5851</v>
      </c>
      <c r="E2597" s="8" t="s">
        <v>890</v>
      </c>
      <c r="F2597" s="8" t="s">
        <v>5852</v>
      </c>
    </row>
    <row r="2598" customHeight="1" spans="1:6">
      <c r="A2598" s="6">
        <v>2597</v>
      </c>
      <c r="B2598" s="7" t="str">
        <f>"978-7-115-55179-5"</f>
        <v>978-7-115-55179-5</v>
      </c>
      <c r="C2598" s="7" t="str">
        <f>"新媒体美工设计"</f>
        <v>新媒体美工设计</v>
      </c>
      <c r="D2598" s="7" t="str">
        <f>"叶军编著"</f>
        <v>叶军编著</v>
      </c>
      <c r="E2598" s="7" t="str">
        <f>"人民邮电出版社"</f>
        <v>人民邮电出版社</v>
      </c>
      <c r="F2598" s="7" t="str">
        <f>"F713.852/15"</f>
        <v>F713.852/15</v>
      </c>
    </row>
    <row r="2599" customHeight="1" spans="1:6">
      <c r="A2599" s="6">
        <v>2598</v>
      </c>
      <c r="B2599" s="7" t="str">
        <f>"978-7-115-55179-5"</f>
        <v>978-7-115-55179-5</v>
      </c>
      <c r="C2599" s="7" t="str">
        <f>"新媒体美工设计"</f>
        <v>新媒体美工设计</v>
      </c>
      <c r="D2599" s="7" t="str">
        <f>"叶军编著"</f>
        <v>叶军编著</v>
      </c>
      <c r="E2599" s="7" t="str">
        <f>"人民邮电出版社"</f>
        <v>人民邮电出版社</v>
      </c>
      <c r="F2599" s="7" t="str">
        <f>"F713.852/15"</f>
        <v>F713.852/15</v>
      </c>
    </row>
    <row r="2600" customHeight="1" spans="1:6">
      <c r="A2600" s="6">
        <v>2599</v>
      </c>
      <c r="B2600" s="7" t="str">
        <f>"978-7-5661-3230-7"</f>
        <v>978-7-5661-3230-7</v>
      </c>
      <c r="C2600" s="7" t="str">
        <f>"新媒体美工"</f>
        <v>新媒体美工</v>
      </c>
      <c r="D2600" s="7" t="str">
        <f>"主编陈曦， 匡栩葭， 窦文"</f>
        <v>主编陈曦， 匡栩葭， 窦文</v>
      </c>
      <c r="E2600" s="7" t="str">
        <f>"哈尔滨工程大学出版社"</f>
        <v>哈尔滨工程大学出版社</v>
      </c>
      <c r="F2600" s="7" t="str">
        <f>"F713.852/16"</f>
        <v>F713.852/16</v>
      </c>
    </row>
    <row r="2601" customHeight="1" spans="1:6">
      <c r="A2601" s="6">
        <v>2600</v>
      </c>
      <c r="B2601" s="7" t="str">
        <f>"978-7-5661-3230-7"</f>
        <v>978-7-5661-3230-7</v>
      </c>
      <c r="C2601" s="7" t="str">
        <f>"新媒体美工"</f>
        <v>新媒体美工</v>
      </c>
      <c r="D2601" s="7" t="str">
        <f>"主编陈曦， 匡栩葭， 窦文"</f>
        <v>主编陈曦， 匡栩葭， 窦文</v>
      </c>
      <c r="E2601" s="7" t="str">
        <f>"哈尔滨工程大学出版社"</f>
        <v>哈尔滨工程大学出版社</v>
      </c>
      <c r="F2601" s="7" t="str">
        <f>"F713.852/16"</f>
        <v>F713.852/16</v>
      </c>
    </row>
    <row r="2602" customHeight="1" spans="1:6">
      <c r="A2602" s="6">
        <v>2601</v>
      </c>
      <c r="B2602" s="8" t="s">
        <v>5853</v>
      </c>
      <c r="C2602" s="8" t="s">
        <v>5854</v>
      </c>
      <c r="D2602" s="8" t="s">
        <v>5855</v>
      </c>
      <c r="E2602" s="8" t="s">
        <v>530</v>
      </c>
      <c r="F2602" s="8" t="s">
        <v>5856</v>
      </c>
    </row>
    <row r="2603" customHeight="1" spans="1:6">
      <c r="A2603" s="6">
        <v>2602</v>
      </c>
      <c r="B2603" s="8" t="s">
        <v>5853</v>
      </c>
      <c r="C2603" s="8" t="s">
        <v>5854</v>
      </c>
      <c r="D2603" s="8" t="s">
        <v>5855</v>
      </c>
      <c r="E2603" s="8" t="s">
        <v>530</v>
      </c>
      <c r="F2603" s="8" t="s">
        <v>5856</v>
      </c>
    </row>
    <row r="2604" customHeight="1" spans="1:6">
      <c r="A2604" s="6">
        <v>2603</v>
      </c>
      <c r="B2604" s="8" t="s">
        <v>5853</v>
      </c>
      <c r="C2604" s="8" t="s">
        <v>5854</v>
      </c>
      <c r="D2604" s="8" t="s">
        <v>5855</v>
      </c>
      <c r="E2604" s="8" t="s">
        <v>530</v>
      </c>
      <c r="F2604" s="8" t="s">
        <v>5856</v>
      </c>
    </row>
    <row r="2605" customHeight="1" spans="1:6">
      <c r="A2605" s="6">
        <v>2604</v>
      </c>
      <c r="B2605" s="8" t="s">
        <v>5857</v>
      </c>
      <c r="C2605" s="8" t="s">
        <v>5858</v>
      </c>
      <c r="D2605" s="8" t="s">
        <v>5859</v>
      </c>
      <c r="E2605" s="8" t="s">
        <v>216</v>
      </c>
      <c r="F2605" s="8" t="s">
        <v>5860</v>
      </c>
    </row>
    <row r="2606" customHeight="1" spans="1:6">
      <c r="A2606" s="6">
        <v>2605</v>
      </c>
      <c r="B2606" s="8" t="s">
        <v>5857</v>
      </c>
      <c r="C2606" s="8" t="s">
        <v>5858</v>
      </c>
      <c r="D2606" s="8" t="s">
        <v>5859</v>
      </c>
      <c r="E2606" s="8" t="s">
        <v>216</v>
      </c>
      <c r="F2606" s="8" t="s">
        <v>5860</v>
      </c>
    </row>
    <row r="2607" customHeight="1" spans="1:6">
      <c r="A2607" s="6">
        <v>2606</v>
      </c>
      <c r="B2607" s="8" t="s">
        <v>5857</v>
      </c>
      <c r="C2607" s="8" t="s">
        <v>5858</v>
      </c>
      <c r="D2607" s="8" t="s">
        <v>5859</v>
      </c>
      <c r="E2607" s="8" t="s">
        <v>216</v>
      </c>
      <c r="F2607" s="8" t="s">
        <v>5860</v>
      </c>
    </row>
    <row r="2608" customHeight="1" spans="1:6">
      <c r="A2608" s="6">
        <v>2607</v>
      </c>
      <c r="B2608" s="8" t="s">
        <v>5861</v>
      </c>
      <c r="C2608" s="8" t="s">
        <v>5862</v>
      </c>
      <c r="D2608" s="8" t="s">
        <v>2723</v>
      </c>
      <c r="E2608" s="8" t="s">
        <v>145</v>
      </c>
      <c r="F2608" s="8" t="s">
        <v>5863</v>
      </c>
    </row>
    <row r="2609" customHeight="1" spans="1:6">
      <c r="A2609" s="6">
        <v>2608</v>
      </c>
      <c r="B2609" s="8" t="s">
        <v>5861</v>
      </c>
      <c r="C2609" s="8" t="s">
        <v>5862</v>
      </c>
      <c r="D2609" s="8" t="s">
        <v>2723</v>
      </c>
      <c r="E2609" s="8" t="s">
        <v>145</v>
      </c>
      <c r="F2609" s="8" t="s">
        <v>5863</v>
      </c>
    </row>
    <row r="2610" customHeight="1" spans="1:6">
      <c r="A2610" s="6">
        <v>2609</v>
      </c>
      <c r="B2610" s="8" t="s">
        <v>5861</v>
      </c>
      <c r="C2610" s="8" t="s">
        <v>5862</v>
      </c>
      <c r="D2610" s="8" t="s">
        <v>2723</v>
      </c>
      <c r="E2610" s="8" t="s">
        <v>145</v>
      </c>
      <c r="F2610" s="8" t="s">
        <v>5863</v>
      </c>
    </row>
    <row r="2611" customHeight="1" spans="1:6">
      <c r="A2611" s="6">
        <v>2610</v>
      </c>
      <c r="B2611" s="8" t="s">
        <v>5864</v>
      </c>
      <c r="C2611" s="8" t="s">
        <v>5865</v>
      </c>
      <c r="D2611" s="8" t="s">
        <v>5866</v>
      </c>
      <c r="E2611" s="8" t="s">
        <v>197</v>
      </c>
      <c r="F2611" s="8" t="s">
        <v>5867</v>
      </c>
    </row>
    <row r="2612" customHeight="1" spans="1:6">
      <c r="A2612" s="6">
        <v>2611</v>
      </c>
      <c r="B2612" s="8" t="s">
        <v>5864</v>
      </c>
      <c r="C2612" s="8" t="s">
        <v>5865</v>
      </c>
      <c r="D2612" s="8" t="s">
        <v>5866</v>
      </c>
      <c r="E2612" s="8" t="s">
        <v>197</v>
      </c>
      <c r="F2612" s="8" t="s">
        <v>5867</v>
      </c>
    </row>
    <row r="2613" customHeight="1" spans="1:6">
      <c r="A2613" s="6">
        <v>2612</v>
      </c>
      <c r="B2613" s="8" t="s">
        <v>5868</v>
      </c>
      <c r="C2613" s="8" t="s">
        <v>5869</v>
      </c>
      <c r="D2613" s="8" t="s">
        <v>5870</v>
      </c>
      <c r="E2613" s="8" t="s">
        <v>311</v>
      </c>
      <c r="F2613" s="8" t="s">
        <v>5871</v>
      </c>
    </row>
    <row r="2614" customHeight="1" spans="1:6">
      <c r="A2614" s="6">
        <v>2613</v>
      </c>
      <c r="B2614" s="8" t="s">
        <v>5868</v>
      </c>
      <c r="C2614" s="8" t="s">
        <v>5869</v>
      </c>
      <c r="D2614" s="8" t="s">
        <v>5870</v>
      </c>
      <c r="E2614" s="8" t="s">
        <v>311</v>
      </c>
      <c r="F2614" s="8" t="s">
        <v>5871</v>
      </c>
    </row>
    <row r="2615" customHeight="1" spans="1:6">
      <c r="A2615" s="6">
        <v>2614</v>
      </c>
      <c r="B2615" s="8" t="s">
        <v>5872</v>
      </c>
      <c r="C2615" s="8" t="s">
        <v>5873</v>
      </c>
      <c r="D2615" s="8" t="s">
        <v>5874</v>
      </c>
      <c r="E2615" s="8" t="s">
        <v>530</v>
      </c>
      <c r="F2615" s="8" t="s">
        <v>5875</v>
      </c>
    </row>
    <row r="2616" customHeight="1" spans="1:6">
      <c r="A2616" s="6">
        <v>2615</v>
      </c>
      <c r="B2616" s="8" t="s">
        <v>5872</v>
      </c>
      <c r="C2616" s="8" t="s">
        <v>5873</v>
      </c>
      <c r="D2616" s="8" t="s">
        <v>5874</v>
      </c>
      <c r="E2616" s="8" t="s">
        <v>530</v>
      </c>
      <c r="F2616" s="8" t="s">
        <v>5875</v>
      </c>
    </row>
    <row r="2617" customHeight="1" spans="1:6">
      <c r="A2617" s="6">
        <v>2616</v>
      </c>
      <c r="B2617" s="8" t="s">
        <v>5872</v>
      </c>
      <c r="C2617" s="8" t="s">
        <v>5873</v>
      </c>
      <c r="D2617" s="8" t="s">
        <v>5874</v>
      </c>
      <c r="E2617" s="8" t="s">
        <v>530</v>
      </c>
      <c r="F2617" s="8" t="s">
        <v>5875</v>
      </c>
    </row>
    <row r="2618" customHeight="1" spans="1:6">
      <c r="A2618" s="6">
        <v>2617</v>
      </c>
      <c r="B2618" s="8" t="s">
        <v>5876</v>
      </c>
      <c r="C2618" s="8" t="s">
        <v>5877</v>
      </c>
      <c r="D2618" s="8" t="s">
        <v>5878</v>
      </c>
      <c r="E2618" s="8" t="s">
        <v>1342</v>
      </c>
      <c r="F2618" s="8" t="s">
        <v>5879</v>
      </c>
    </row>
    <row r="2619" customHeight="1" spans="1:6">
      <c r="A2619" s="6">
        <v>2618</v>
      </c>
      <c r="B2619" s="8" t="s">
        <v>5876</v>
      </c>
      <c r="C2619" s="8" t="s">
        <v>5877</v>
      </c>
      <c r="D2619" s="8" t="s">
        <v>5878</v>
      </c>
      <c r="E2619" s="8" t="s">
        <v>1342</v>
      </c>
      <c r="F2619" s="8" t="s">
        <v>5879</v>
      </c>
    </row>
    <row r="2620" customHeight="1" spans="1:6">
      <c r="A2620" s="6">
        <v>2619</v>
      </c>
      <c r="B2620" s="8" t="s">
        <v>5880</v>
      </c>
      <c r="C2620" s="8" t="s">
        <v>5881</v>
      </c>
      <c r="D2620" s="8" t="s">
        <v>5882</v>
      </c>
      <c r="E2620" s="8" t="s">
        <v>1427</v>
      </c>
      <c r="F2620" s="8" t="s">
        <v>5883</v>
      </c>
    </row>
    <row r="2621" customHeight="1" spans="1:6">
      <c r="A2621" s="6">
        <v>2620</v>
      </c>
      <c r="B2621" s="8" t="s">
        <v>5880</v>
      </c>
      <c r="C2621" s="8" t="s">
        <v>5881</v>
      </c>
      <c r="D2621" s="8" t="s">
        <v>5882</v>
      </c>
      <c r="E2621" s="8" t="s">
        <v>1427</v>
      </c>
      <c r="F2621" s="8" t="s">
        <v>5883</v>
      </c>
    </row>
    <row r="2622" customHeight="1" spans="1:6">
      <c r="A2622" s="6">
        <v>2621</v>
      </c>
      <c r="B2622" s="8" t="s">
        <v>5880</v>
      </c>
      <c r="C2622" s="8" t="s">
        <v>5881</v>
      </c>
      <c r="D2622" s="8" t="s">
        <v>5882</v>
      </c>
      <c r="E2622" s="8" t="s">
        <v>1427</v>
      </c>
      <c r="F2622" s="8" t="s">
        <v>5883</v>
      </c>
    </row>
    <row r="2623" customHeight="1" spans="1:6">
      <c r="A2623" s="6">
        <v>2622</v>
      </c>
      <c r="B2623" s="8" t="s">
        <v>5884</v>
      </c>
      <c r="C2623" s="8" t="s">
        <v>5885</v>
      </c>
      <c r="D2623" s="8" t="s">
        <v>5886</v>
      </c>
      <c r="E2623" s="8" t="s">
        <v>3146</v>
      </c>
      <c r="F2623" s="8" t="s">
        <v>5887</v>
      </c>
    </row>
    <row r="2624" customHeight="1" spans="1:6">
      <c r="A2624" s="6">
        <v>2623</v>
      </c>
      <c r="B2624" s="8" t="s">
        <v>5884</v>
      </c>
      <c r="C2624" s="8" t="s">
        <v>5885</v>
      </c>
      <c r="D2624" s="8" t="s">
        <v>5886</v>
      </c>
      <c r="E2624" s="8" t="s">
        <v>3146</v>
      </c>
      <c r="F2624" s="8" t="s">
        <v>5887</v>
      </c>
    </row>
    <row r="2625" customHeight="1" spans="1:6">
      <c r="A2625" s="6">
        <v>2624</v>
      </c>
      <c r="B2625" s="8" t="s">
        <v>5884</v>
      </c>
      <c r="C2625" s="8" t="s">
        <v>5885</v>
      </c>
      <c r="D2625" s="8" t="s">
        <v>5886</v>
      </c>
      <c r="E2625" s="8" t="s">
        <v>3146</v>
      </c>
      <c r="F2625" s="8" t="s">
        <v>5887</v>
      </c>
    </row>
    <row r="2626" customHeight="1" spans="1:6">
      <c r="A2626" s="6">
        <v>2625</v>
      </c>
      <c r="B2626" s="8" t="s">
        <v>5888</v>
      </c>
      <c r="C2626" s="8" t="s">
        <v>5889</v>
      </c>
      <c r="D2626" s="8" t="s">
        <v>5890</v>
      </c>
      <c r="E2626" s="8" t="s">
        <v>256</v>
      </c>
      <c r="F2626" s="8" t="s">
        <v>5891</v>
      </c>
    </row>
    <row r="2627" customHeight="1" spans="1:6">
      <c r="A2627" s="6">
        <v>2626</v>
      </c>
      <c r="B2627" s="8" t="s">
        <v>5888</v>
      </c>
      <c r="C2627" s="8" t="s">
        <v>5889</v>
      </c>
      <c r="D2627" s="8" t="s">
        <v>5890</v>
      </c>
      <c r="E2627" s="8" t="s">
        <v>256</v>
      </c>
      <c r="F2627" s="8" t="s">
        <v>5891</v>
      </c>
    </row>
    <row r="2628" customHeight="1" spans="1:6">
      <c r="A2628" s="6">
        <v>2627</v>
      </c>
      <c r="B2628" s="8" t="s">
        <v>5888</v>
      </c>
      <c r="C2628" s="8" t="s">
        <v>5889</v>
      </c>
      <c r="D2628" s="8" t="s">
        <v>5890</v>
      </c>
      <c r="E2628" s="8" t="s">
        <v>256</v>
      </c>
      <c r="F2628" s="8" t="s">
        <v>5891</v>
      </c>
    </row>
    <row r="2629" customHeight="1" spans="1:6">
      <c r="A2629" s="6">
        <v>2628</v>
      </c>
      <c r="B2629" s="8" t="s">
        <v>5892</v>
      </c>
      <c r="C2629" s="8" t="s">
        <v>5893</v>
      </c>
      <c r="D2629" s="8" t="s">
        <v>5894</v>
      </c>
      <c r="E2629" s="8" t="s">
        <v>530</v>
      </c>
      <c r="F2629" s="8" t="s">
        <v>5895</v>
      </c>
    </row>
    <row r="2630" customHeight="1" spans="1:6">
      <c r="A2630" s="6">
        <v>2629</v>
      </c>
      <c r="B2630" s="8" t="s">
        <v>5892</v>
      </c>
      <c r="C2630" s="8" t="s">
        <v>5893</v>
      </c>
      <c r="D2630" s="8" t="s">
        <v>5894</v>
      </c>
      <c r="E2630" s="8" t="s">
        <v>530</v>
      </c>
      <c r="F2630" s="8" t="s">
        <v>5895</v>
      </c>
    </row>
    <row r="2631" customHeight="1" spans="1:6">
      <c r="A2631" s="6">
        <v>2630</v>
      </c>
      <c r="B2631" s="8" t="s">
        <v>5896</v>
      </c>
      <c r="C2631" s="8" t="s">
        <v>5897</v>
      </c>
      <c r="D2631" s="8" t="s">
        <v>5898</v>
      </c>
      <c r="E2631" s="8" t="s">
        <v>1342</v>
      </c>
      <c r="F2631" s="8" t="s">
        <v>5899</v>
      </c>
    </row>
    <row r="2632" customHeight="1" spans="1:6">
      <c r="A2632" s="6">
        <v>2631</v>
      </c>
      <c r="B2632" s="8" t="s">
        <v>5896</v>
      </c>
      <c r="C2632" s="8" t="s">
        <v>5897</v>
      </c>
      <c r="D2632" s="8" t="s">
        <v>5898</v>
      </c>
      <c r="E2632" s="8" t="s">
        <v>1342</v>
      </c>
      <c r="F2632" s="8" t="s">
        <v>5899</v>
      </c>
    </row>
    <row r="2633" customHeight="1" spans="1:6">
      <c r="A2633" s="6">
        <v>2632</v>
      </c>
      <c r="B2633" s="8" t="s">
        <v>5900</v>
      </c>
      <c r="C2633" s="8" t="s">
        <v>5901</v>
      </c>
      <c r="D2633" s="8" t="s">
        <v>5902</v>
      </c>
      <c r="E2633" s="8" t="s">
        <v>4745</v>
      </c>
      <c r="F2633" s="8" t="s">
        <v>5903</v>
      </c>
    </row>
    <row r="2634" customHeight="1" spans="1:6">
      <c r="A2634" s="6">
        <v>2633</v>
      </c>
      <c r="B2634" s="8" t="s">
        <v>5900</v>
      </c>
      <c r="C2634" s="8" t="s">
        <v>5901</v>
      </c>
      <c r="D2634" s="8" t="s">
        <v>5902</v>
      </c>
      <c r="E2634" s="8" t="s">
        <v>4745</v>
      </c>
      <c r="F2634" s="8" t="s">
        <v>5903</v>
      </c>
    </row>
    <row r="2635" customHeight="1" spans="1:6">
      <c r="A2635" s="6">
        <v>2634</v>
      </c>
      <c r="B2635" s="7" t="str">
        <f t="shared" ref="B2635:B2637" si="193">"978-7-5032-6754-3"</f>
        <v>978-7-5032-6754-3</v>
      </c>
      <c r="C2635" s="7" t="str">
        <f t="shared" ref="C2635:C2637" si="194">"酒店管理"</f>
        <v>酒店管理</v>
      </c>
      <c r="D2635" s="7" t="str">
        <f t="shared" ref="D2635:D2637" si="195">"主编邓爱民， 任斐"</f>
        <v>主编邓爱民， 任斐</v>
      </c>
      <c r="E2635" s="7" t="str">
        <f t="shared" ref="E2635:E2637" si="196">"中国旅游出版社"</f>
        <v>中国旅游出版社</v>
      </c>
      <c r="F2635" s="7" t="str">
        <f t="shared" ref="F2635:F2637" si="197">"F719.2/348=2D"</f>
        <v>F719.2/348=2D</v>
      </c>
    </row>
    <row r="2636" customHeight="1" spans="1:6">
      <c r="A2636" s="6">
        <v>2635</v>
      </c>
      <c r="B2636" s="7" t="str">
        <f t="shared" si="193"/>
        <v>978-7-5032-6754-3</v>
      </c>
      <c r="C2636" s="7" t="str">
        <f t="shared" si="194"/>
        <v>酒店管理</v>
      </c>
      <c r="D2636" s="7" t="str">
        <f t="shared" si="195"/>
        <v>主编邓爱民， 任斐</v>
      </c>
      <c r="E2636" s="7" t="str">
        <f t="shared" si="196"/>
        <v>中国旅游出版社</v>
      </c>
      <c r="F2636" s="7" t="str">
        <f t="shared" si="197"/>
        <v>F719.2/348=2D</v>
      </c>
    </row>
    <row r="2637" customHeight="1" spans="1:6">
      <c r="A2637" s="6">
        <v>2636</v>
      </c>
      <c r="B2637" s="7" t="str">
        <f t="shared" si="193"/>
        <v>978-7-5032-6754-3</v>
      </c>
      <c r="C2637" s="7" t="str">
        <f t="shared" si="194"/>
        <v>酒店管理</v>
      </c>
      <c r="D2637" s="7" t="str">
        <f t="shared" si="195"/>
        <v>主编邓爱民， 任斐</v>
      </c>
      <c r="E2637" s="7" t="str">
        <f t="shared" si="196"/>
        <v>中国旅游出版社</v>
      </c>
      <c r="F2637" s="7" t="str">
        <f t="shared" si="197"/>
        <v>F719.2/348=2D</v>
      </c>
    </row>
    <row r="2638" customHeight="1" spans="1:6">
      <c r="A2638" s="6">
        <v>2637</v>
      </c>
      <c r="B2638" s="7" t="str">
        <f t="shared" ref="B2638:B2640" si="198">"978-7-5618-6974-1"</f>
        <v>978-7-5618-6974-1</v>
      </c>
      <c r="C2638" s="7" t="str">
        <f t="shared" ref="C2638:C2640" si="199">"酒店督导与实务"</f>
        <v>酒店督导与实务</v>
      </c>
      <c r="D2638" s="7" t="str">
        <f t="shared" ref="D2638:D2640" si="200">"主编侯明贤， 吴通永"</f>
        <v>主编侯明贤， 吴通永</v>
      </c>
      <c r="E2638" s="7" t="str">
        <f t="shared" ref="E2638:E2640" si="201">"天津大学出版社"</f>
        <v>天津大学出版社</v>
      </c>
      <c r="F2638" s="7" t="str">
        <f t="shared" ref="F2638:F2640" si="202">"F719.2/454"</f>
        <v>F719.2/454</v>
      </c>
    </row>
    <row r="2639" customHeight="1" spans="1:6">
      <c r="A2639" s="6">
        <v>2638</v>
      </c>
      <c r="B2639" s="7" t="str">
        <f t="shared" si="198"/>
        <v>978-7-5618-6974-1</v>
      </c>
      <c r="C2639" s="7" t="str">
        <f t="shared" si="199"/>
        <v>酒店督导与实务</v>
      </c>
      <c r="D2639" s="7" t="str">
        <f t="shared" si="200"/>
        <v>主编侯明贤， 吴通永</v>
      </c>
      <c r="E2639" s="7" t="str">
        <f t="shared" si="201"/>
        <v>天津大学出版社</v>
      </c>
      <c r="F2639" s="7" t="str">
        <f t="shared" si="202"/>
        <v>F719.2/454</v>
      </c>
    </row>
    <row r="2640" customHeight="1" spans="1:6">
      <c r="A2640" s="6">
        <v>2639</v>
      </c>
      <c r="B2640" s="7" t="str">
        <f t="shared" si="198"/>
        <v>978-7-5618-6974-1</v>
      </c>
      <c r="C2640" s="7" t="str">
        <f t="shared" si="199"/>
        <v>酒店督导与实务</v>
      </c>
      <c r="D2640" s="7" t="str">
        <f t="shared" si="200"/>
        <v>主编侯明贤， 吴通永</v>
      </c>
      <c r="E2640" s="7" t="str">
        <f t="shared" si="201"/>
        <v>天津大学出版社</v>
      </c>
      <c r="F2640" s="7" t="str">
        <f t="shared" si="202"/>
        <v>F719.2/454</v>
      </c>
    </row>
    <row r="2641" customHeight="1" spans="1:6">
      <c r="A2641" s="6">
        <v>2640</v>
      </c>
      <c r="B2641" s="7" t="str">
        <f>"978-7-113-26796-4"</f>
        <v>978-7-113-26796-4</v>
      </c>
      <c r="C2641" s="7" t="str">
        <f>"酒店营销与活动策划从入门到精通"</f>
        <v>酒店营销与活动策划从入门到精通</v>
      </c>
      <c r="D2641" s="7" t="str">
        <f>"曾增编著"</f>
        <v>曾增编著</v>
      </c>
      <c r="E2641" s="7" t="str">
        <f>"中国铁道出版社有限公司"</f>
        <v>中国铁道出版社有限公司</v>
      </c>
      <c r="F2641" s="7" t="str">
        <f>"F719.2/455"</f>
        <v>F719.2/455</v>
      </c>
    </row>
    <row r="2642" customHeight="1" spans="1:6">
      <c r="A2642" s="6">
        <v>2641</v>
      </c>
      <c r="B2642" s="7" t="str">
        <f>"978-7-113-26796-4"</f>
        <v>978-7-113-26796-4</v>
      </c>
      <c r="C2642" s="7" t="str">
        <f>"酒店营销与活动策划从入门到精通"</f>
        <v>酒店营销与活动策划从入门到精通</v>
      </c>
      <c r="D2642" s="7" t="str">
        <f>"曾增编著"</f>
        <v>曾增编著</v>
      </c>
      <c r="E2642" s="7" t="str">
        <f>"中国铁道出版社有限公司"</f>
        <v>中国铁道出版社有限公司</v>
      </c>
      <c r="F2642" s="7" t="str">
        <f>"F719.2/455"</f>
        <v>F719.2/455</v>
      </c>
    </row>
    <row r="2643" customHeight="1" spans="1:6">
      <c r="A2643" s="6">
        <v>2642</v>
      </c>
      <c r="B2643" s="8" t="s">
        <v>5904</v>
      </c>
      <c r="C2643" s="8" t="s">
        <v>5905</v>
      </c>
      <c r="D2643" s="8" t="s">
        <v>5906</v>
      </c>
      <c r="E2643" s="8" t="s">
        <v>710</v>
      </c>
      <c r="F2643" s="8" t="s">
        <v>5907</v>
      </c>
    </row>
    <row r="2644" customHeight="1" spans="1:6">
      <c r="A2644" s="6">
        <v>2643</v>
      </c>
      <c r="B2644" s="8" t="s">
        <v>5904</v>
      </c>
      <c r="C2644" s="8" t="s">
        <v>5905</v>
      </c>
      <c r="D2644" s="8" t="s">
        <v>5906</v>
      </c>
      <c r="E2644" s="8" t="s">
        <v>710</v>
      </c>
      <c r="F2644" s="8" t="s">
        <v>5907</v>
      </c>
    </row>
    <row r="2645" customHeight="1" spans="1:6">
      <c r="A2645" s="6">
        <v>2644</v>
      </c>
      <c r="B2645" s="8" t="s">
        <v>5908</v>
      </c>
      <c r="C2645" s="8" t="s">
        <v>5909</v>
      </c>
      <c r="D2645" s="8" t="s">
        <v>5910</v>
      </c>
      <c r="E2645" s="8" t="s">
        <v>2207</v>
      </c>
      <c r="F2645" s="8" t="s">
        <v>5911</v>
      </c>
    </row>
    <row r="2646" customHeight="1" spans="1:6">
      <c r="A2646" s="6">
        <v>2645</v>
      </c>
      <c r="B2646" s="8" t="s">
        <v>5908</v>
      </c>
      <c r="C2646" s="8" t="s">
        <v>5909</v>
      </c>
      <c r="D2646" s="8" t="s">
        <v>5910</v>
      </c>
      <c r="E2646" s="8" t="s">
        <v>2207</v>
      </c>
      <c r="F2646" s="8" t="s">
        <v>5911</v>
      </c>
    </row>
    <row r="2647" customHeight="1" spans="1:6">
      <c r="A2647" s="6">
        <v>2646</v>
      </c>
      <c r="B2647" s="8" t="s">
        <v>5908</v>
      </c>
      <c r="C2647" s="8" t="s">
        <v>5909</v>
      </c>
      <c r="D2647" s="8" t="s">
        <v>5910</v>
      </c>
      <c r="E2647" s="8" t="s">
        <v>2207</v>
      </c>
      <c r="F2647" s="8" t="s">
        <v>5911</v>
      </c>
    </row>
    <row r="2648" customHeight="1" spans="1:6">
      <c r="A2648" s="6">
        <v>2647</v>
      </c>
      <c r="B2648" s="8" t="s">
        <v>5912</v>
      </c>
      <c r="C2648" s="8" t="s">
        <v>5913</v>
      </c>
      <c r="D2648" s="8" t="s">
        <v>5914</v>
      </c>
      <c r="E2648" s="8" t="s">
        <v>2566</v>
      </c>
      <c r="F2648" s="8" t="s">
        <v>5915</v>
      </c>
    </row>
    <row r="2649" customHeight="1" spans="1:6">
      <c r="A2649" s="6">
        <v>2648</v>
      </c>
      <c r="B2649" s="8" t="s">
        <v>5912</v>
      </c>
      <c r="C2649" s="8" t="s">
        <v>5913</v>
      </c>
      <c r="D2649" s="8" t="s">
        <v>5914</v>
      </c>
      <c r="E2649" s="8" t="s">
        <v>2566</v>
      </c>
      <c r="F2649" s="8" t="s">
        <v>5915</v>
      </c>
    </row>
    <row r="2650" customHeight="1" spans="1:6">
      <c r="A2650" s="6">
        <v>2649</v>
      </c>
      <c r="B2650" s="8" t="s">
        <v>5916</v>
      </c>
      <c r="C2650" s="8" t="s">
        <v>5917</v>
      </c>
      <c r="D2650" s="8" t="s">
        <v>5918</v>
      </c>
      <c r="E2650" s="8" t="s">
        <v>216</v>
      </c>
      <c r="F2650" s="8" t="s">
        <v>5919</v>
      </c>
    </row>
    <row r="2651" customHeight="1" spans="1:6">
      <c r="A2651" s="6">
        <v>2650</v>
      </c>
      <c r="B2651" s="8" t="s">
        <v>5916</v>
      </c>
      <c r="C2651" s="8" t="s">
        <v>5917</v>
      </c>
      <c r="D2651" s="8" t="s">
        <v>5918</v>
      </c>
      <c r="E2651" s="8" t="s">
        <v>216</v>
      </c>
      <c r="F2651" s="8" t="s">
        <v>5919</v>
      </c>
    </row>
    <row r="2652" customHeight="1" spans="1:6">
      <c r="A2652" s="6">
        <v>2651</v>
      </c>
      <c r="B2652" s="8" t="s">
        <v>5920</v>
      </c>
      <c r="C2652" s="8" t="s">
        <v>5921</v>
      </c>
      <c r="D2652" s="8" t="s">
        <v>5922</v>
      </c>
      <c r="E2652" s="8" t="s">
        <v>2566</v>
      </c>
      <c r="F2652" s="8" t="s">
        <v>5923</v>
      </c>
    </row>
    <row r="2653" customHeight="1" spans="1:6">
      <c r="A2653" s="6">
        <v>2652</v>
      </c>
      <c r="B2653" s="8" t="s">
        <v>5920</v>
      </c>
      <c r="C2653" s="8" t="s">
        <v>5921</v>
      </c>
      <c r="D2653" s="8" t="s">
        <v>5922</v>
      </c>
      <c r="E2653" s="8" t="s">
        <v>2566</v>
      </c>
      <c r="F2653" s="8" t="s">
        <v>5923</v>
      </c>
    </row>
    <row r="2654" customHeight="1" spans="1:6">
      <c r="A2654" s="6">
        <v>2653</v>
      </c>
      <c r="B2654" s="8" t="s">
        <v>5924</v>
      </c>
      <c r="C2654" s="8" t="s">
        <v>5925</v>
      </c>
      <c r="D2654" s="8" t="s">
        <v>5926</v>
      </c>
      <c r="E2654" s="8" t="s">
        <v>4495</v>
      </c>
      <c r="F2654" s="8" t="s">
        <v>5927</v>
      </c>
    </row>
    <row r="2655" customHeight="1" spans="1:6">
      <c r="A2655" s="6">
        <v>2654</v>
      </c>
      <c r="B2655" s="8" t="s">
        <v>5924</v>
      </c>
      <c r="C2655" s="8" t="s">
        <v>5925</v>
      </c>
      <c r="D2655" s="8" t="s">
        <v>5926</v>
      </c>
      <c r="E2655" s="8" t="s">
        <v>4495</v>
      </c>
      <c r="F2655" s="8" t="s">
        <v>5927</v>
      </c>
    </row>
    <row r="2656" customHeight="1" spans="1:6">
      <c r="A2656" s="6">
        <v>2655</v>
      </c>
      <c r="B2656" s="8" t="s">
        <v>5928</v>
      </c>
      <c r="C2656" s="8" t="s">
        <v>5929</v>
      </c>
      <c r="D2656" s="8" t="s">
        <v>5930</v>
      </c>
      <c r="E2656" s="8" t="s">
        <v>571</v>
      </c>
      <c r="F2656" s="8" t="s">
        <v>5931</v>
      </c>
    </row>
    <row r="2657" customHeight="1" spans="1:6">
      <c r="A2657" s="6">
        <v>2656</v>
      </c>
      <c r="B2657" s="8" t="s">
        <v>5928</v>
      </c>
      <c r="C2657" s="8" t="s">
        <v>5929</v>
      </c>
      <c r="D2657" s="8" t="s">
        <v>5930</v>
      </c>
      <c r="E2657" s="8" t="s">
        <v>571</v>
      </c>
      <c r="F2657" s="8" t="s">
        <v>5931</v>
      </c>
    </row>
    <row r="2658" customHeight="1" spans="1:6">
      <c r="A2658" s="6">
        <v>2657</v>
      </c>
      <c r="B2658" s="8" t="s">
        <v>5932</v>
      </c>
      <c r="C2658" s="8" t="s">
        <v>5933</v>
      </c>
      <c r="D2658" s="8" t="s">
        <v>5934</v>
      </c>
      <c r="E2658" s="8" t="s">
        <v>216</v>
      </c>
      <c r="F2658" s="8" t="s">
        <v>5935</v>
      </c>
    </row>
    <row r="2659" customHeight="1" spans="1:6">
      <c r="A2659" s="6">
        <v>2658</v>
      </c>
      <c r="B2659" s="8" t="s">
        <v>5932</v>
      </c>
      <c r="C2659" s="8" t="s">
        <v>5933</v>
      </c>
      <c r="D2659" s="8" t="s">
        <v>5934</v>
      </c>
      <c r="E2659" s="8" t="s">
        <v>216</v>
      </c>
      <c r="F2659" s="8" t="s">
        <v>5935</v>
      </c>
    </row>
    <row r="2660" customHeight="1" spans="1:6">
      <c r="A2660" s="6">
        <v>2659</v>
      </c>
      <c r="B2660" s="7" t="str">
        <f>"978-7-113-26801-5"</f>
        <v>978-7-113-26801-5</v>
      </c>
      <c r="C2660" s="7" t="str">
        <f>"酒店餐饮精细化管理从入门到精通"</f>
        <v>酒店餐饮精细化管理从入门到精通</v>
      </c>
      <c r="D2660" s="7" t="str">
        <f>"王晓均编著"</f>
        <v>王晓均编著</v>
      </c>
      <c r="E2660" s="7" t="str">
        <f>"中国铁道出版社有限公司"</f>
        <v>中国铁道出版社有限公司</v>
      </c>
      <c r="F2660" s="7" t="str">
        <f>"F719.3/370"</f>
        <v>F719.3/370</v>
      </c>
    </row>
    <row r="2661" customHeight="1" spans="1:6">
      <c r="A2661" s="6">
        <v>2660</v>
      </c>
      <c r="B2661" s="7" t="str">
        <f>"978-7-113-26801-5"</f>
        <v>978-7-113-26801-5</v>
      </c>
      <c r="C2661" s="7" t="str">
        <f>"酒店餐饮精细化管理从入门到精通"</f>
        <v>酒店餐饮精细化管理从入门到精通</v>
      </c>
      <c r="D2661" s="7" t="str">
        <f>"王晓均编著"</f>
        <v>王晓均编著</v>
      </c>
      <c r="E2661" s="7" t="str">
        <f>"中国铁道出版社有限公司"</f>
        <v>中国铁道出版社有限公司</v>
      </c>
      <c r="F2661" s="7" t="str">
        <f>"F719.3/370"</f>
        <v>F719.3/370</v>
      </c>
    </row>
    <row r="2662" customHeight="1" spans="1:6">
      <c r="A2662" s="6">
        <v>2661</v>
      </c>
      <c r="B2662" s="7" t="str">
        <f>"978-7-121-40739-0"</f>
        <v>978-7-121-40739-0</v>
      </c>
      <c r="C2662" s="7" t="str">
        <f>"餐饮营销实战"</f>
        <v>餐饮营销实战</v>
      </c>
      <c r="D2662" s="7" t="str">
        <f>"王冬明著"</f>
        <v>王冬明著</v>
      </c>
      <c r="E2662" s="7" t="str">
        <f>"电子工业出版社"</f>
        <v>电子工业出版社</v>
      </c>
      <c r="F2662" s="7" t="str">
        <f>"F719.3/371"</f>
        <v>F719.3/371</v>
      </c>
    </row>
    <row r="2663" customHeight="1" spans="1:6">
      <c r="A2663" s="6">
        <v>2662</v>
      </c>
      <c r="B2663" s="7" t="str">
        <f>"978-7-121-40739-0"</f>
        <v>978-7-121-40739-0</v>
      </c>
      <c r="C2663" s="7" t="str">
        <f>"餐饮营销实战"</f>
        <v>餐饮营销实战</v>
      </c>
      <c r="D2663" s="7" t="str">
        <f>"王冬明著"</f>
        <v>王冬明著</v>
      </c>
      <c r="E2663" s="7" t="str">
        <f>"电子工业出版社"</f>
        <v>电子工业出版社</v>
      </c>
      <c r="F2663" s="7" t="str">
        <f>"F719.3/371"</f>
        <v>F719.3/371</v>
      </c>
    </row>
    <row r="2664" customHeight="1" spans="1:6">
      <c r="A2664" s="6">
        <v>2663</v>
      </c>
      <c r="B2664" s="8" t="s">
        <v>5936</v>
      </c>
      <c r="C2664" s="8" t="s">
        <v>5937</v>
      </c>
      <c r="D2664" s="8" t="s">
        <v>5938</v>
      </c>
      <c r="E2664" s="8" t="s">
        <v>311</v>
      </c>
      <c r="F2664" s="8" t="s">
        <v>5939</v>
      </c>
    </row>
    <row r="2665" customHeight="1" spans="1:6">
      <c r="A2665" s="6">
        <v>2664</v>
      </c>
      <c r="B2665" s="8" t="s">
        <v>5936</v>
      </c>
      <c r="C2665" s="8" t="s">
        <v>5937</v>
      </c>
      <c r="D2665" s="8" t="s">
        <v>5938</v>
      </c>
      <c r="E2665" s="8" t="s">
        <v>311</v>
      </c>
      <c r="F2665" s="8" t="s">
        <v>5939</v>
      </c>
    </row>
    <row r="2666" customHeight="1" spans="1:6">
      <c r="A2666" s="6">
        <v>2665</v>
      </c>
      <c r="B2666" s="8" t="s">
        <v>5940</v>
      </c>
      <c r="C2666" s="8" t="s">
        <v>5941</v>
      </c>
      <c r="D2666" s="8" t="s">
        <v>5942</v>
      </c>
      <c r="E2666" s="8" t="s">
        <v>216</v>
      </c>
      <c r="F2666" s="8" t="s">
        <v>5943</v>
      </c>
    </row>
    <row r="2667" customHeight="1" spans="1:6">
      <c r="A2667" s="6">
        <v>2666</v>
      </c>
      <c r="B2667" s="8" t="s">
        <v>5940</v>
      </c>
      <c r="C2667" s="8" t="s">
        <v>5941</v>
      </c>
      <c r="D2667" s="8" t="s">
        <v>5942</v>
      </c>
      <c r="E2667" s="8" t="s">
        <v>216</v>
      </c>
      <c r="F2667" s="8" t="s">
        <v>5943</v>
      </c>
    </row>
    <row r="2668" customHeight="1" spans="1:6">
      <c r="A2668" s="6">
        <v>2667</v>
      </c>
      <c r="B2668" s="8" t="s">
        <v>5944</v>
      </c>
      <c r="C2668" s="8" t="s">
        <v>5945</v>
      </c>
      <c r="D2668" s="8" t="s">
        <v>5946</v>
      </c>
      <c r="E2668" s="8" t="s">
        <v>216</v>
      </c>
      <c r="F2668" s="8" t="s">
        <v>5947</v>
      </c>
    </row>
    <row r="2669" customHeight="1" spans="1:6">
      <c r="A2669" s="6">
        <v>2668</v>
      </c>
      <c r="B2669" s="8" t="s">
        <v>5944</v>
      </c>
      <c r="C2669" s="8" t="s">
        <v>5945</v>
      </c>
      <c r="D2669" s="8" t="s">
        <v>5946</v>
      </c>
      <c r="E2669" s="8" t="s">
        <v>216</v>
      </c>
      <c r="F2669" s="8" t="s">
        <v>5947</v>
      </c>
    </row>
    <row r="2670" customHeight="1" spans="1:6">
      <c r="A2670" s="6">
        <v>2669</v>
      </c>
      <c r="B2670" s="8" t="s">
        <v>5948</v>
      </c>
      <c r="C2670" s="8" t="s">
        <v>5949</v>
      </c>
      <c r="D2670" s="8" t="s">
        <v>5950</v>
      </c>
      <c r="E2670" s="8" t="s">
        <v>216</v>
      </c>
      <c r="F2670" s="8" t="s">
        <v>5951</v>
      </c>
    </row>
    <row r="2671" customHeight="1" spans="1:6">
      <c r="A2671" s="6">
        <v>2670</v>
      </c>
      <c r="B2671" s="8" t="s">
        <v>5948</v>
      </c>
      <c r="C2671" s="8" t="s">
        <v>5949</v>
      </c>
      <c r="D2671" s="8" t="s">
        <v>5950</v>
      </c>
      <c r="E2671" s="8" t="s">
        <v>216</v>
      </c>
      <c r="F2671" s="8" t="s">
        <v>5951</v>
      </c>
    </row>
    <row r="2672" customHeight="1" spans="1:6">
      <c r="A2672" s="6">
        <v>2671</v>
      </c>
      <c r="B2672" s="8" t="s">
        <v>5952</v>
      </c>
      <c r="C2672" s="8" t="s">
        <v>5953</v>
      </c>
      <c r="D2672" s="8" t="s">
        <v>5954</v>
      </c>
      <c r="E2672" s="8" t="s">
        <v>5955</v>
      </c>
      <c r="F2672" s="8" t="s">
        <v>5956</v>
      </c>
    </row>
    <row r="2673" customHeight="1" spans="1:6">
      <c r="A2673" s="6">
        <v>2672</v>
      </c>
      <c r="B2673" s="8" t="s">
        <v>5952</v>
      </c>
      <c r="C2673" s="8" t="s">
        <v>5953</v>
      </c>
      <c r="D2673" s="8" t="s">
        <v>5954</v>
      </c>
      <c r="E2673" s="8" t="s">
        <v>5955</v>
      </c>
      <c r="F2673" s="8" t="s">
        <v>5956</v>
      </c>
    </row>
    <row r="2674" customHeight="1" spans="1:6">
      <c r="A2674" s="6">
        <v>2673</v>
      </c>
      <c r="B2674" s="8" t="s">
        <v>5952</v>
      </c>
      <c r="C2674" s="8" t="s">
        <v>5953</v>
      </c>
      <c r="D2674" s="8" t="s">
        <v>5954</v>
      </c>
      <c r="E2674" s="8" t="s">
        <v>5955</v>
      </c>
      <c r="F2674" s="8" t="s">
        <v>5956</v>
      </c>
    </row>
    <row r="2675" customHeight="1" spans="1:6">
      <c r="A2675" s="6">
        <v>2674</v>
      </c>
      <c r="B2675" s="8" t="s">
        <v>5957</v>
      </c>
      <c r="C2675" s="8" t="s">
        <v>5958</v>
      </c>
      <c r="D2675" s="8" t="s">
        <v>5959</v>
      </c>
      <c r="E2675" s="8" t="s">
        <v>810</v>
      </c>
      <c r="F2675" s="8" t="s">
        <v>5960</v>
      </c>
    </row>
    <row r="2676" customHeight="1" spans="1:6">
      <c r="A2676" s="6">
        <v>2675</v>
      </c>
      <c r="B2676" s="8" t="s">
        <v>5957</v>
      </c>
      <c r="C2676" s="8" t="s">
        <v>5958</v>
      </c>
      <c r="D2676" s="8" t="s">
        <v>5959</v>
      </c>
      <c r="E2676" s="8" t="s">
        <v>810</v>
      </c>
      <c r="F2676" s="8" t="s">
        <v>5960</v>
      </c>
    </row>
    <row r="2677" customHeight="1" spans="1:6">
      <c r="A2677" s="6">
        <v>2676</v>
      </c>
      <c r="B2677" s="8" t="s">
        <v>5961</v>
      </c>
      <c r="C2677" s="8" t="s">
        <v>5962</v>
      </c>
      <c r="D2677" s="8" t="s">
        <v>5942</v>
      </c>
      <c r="E2677" s="8" t="s">
        <v>216</v>
      </c>
      <c r="F2677" s="8" t="s">
        <v>5963</v>
      </c>
    </row>
    <row r="2678" customHeight="1" spans="1:6">
      <c r="A2678" s="6">
        <v>2677</v>
      </c>
      <c r="B2678" s="8" t="s">
        <v>5961</v>
      </c>
      <c r="C2678" s="8" t="s">
        <v>5962</v>
      </c>
      <c r="D2678" s="8" t="s">
        <v>5942</v>
      </c>
      <c r="E2678" s="8" t="s">
        <v>216</v>
      </c>
      <c r="F2678" s="8" t="s">
        <v>5963</v>
      </c>
    </row>
    <row r="2679" customHeight="1" spans="1:6">
      <c r="A2679" s="6">
        <v>2678</v>
      </c>
      <c r="B2679" s="8" t="s">
        <v>5964</v>
      </c>
      <c r="C2679" s="8" t="s">
        <v>5965</v>
      </c>
      <c r="D2679" s="8" t="s">
        <v>5966</v>
      </c>
      <c r="E2679" s="8" t="s">
        <v>810</v>
      </c>
      <c r="F2679" s="8" t="s">
        <v>5967</v>
      </c>
    </row>
    <row r="2680" customHeight="1" spans="1:6">
      <c r="A2680" s="6">
        <v>2679</v>
      </c>
      <c r="B2680" s="8" t="s">
        <v>5964</v>
      </c>
      <c r="C2680" s="8" t="s">
        <v>5965</v>
      </c>
      <c r="D2680" s="8" t="s">
        <v>5966</v>
      </c>
      <c r="E2680" s="8" t="s">
        <v>810</v>
      </c>
      <c r="F2680" s="8" t="s">
        <v>5967</v>
      </c>
    </row>
    <row r="2681" customHeight="1" spans="1:6">
      <c r="A2681" s="6">
        <v>2680</v>
      </c>
      <c r="B2681" s="8" t="s">
        <v>5968</v>
      </c>
      <c r="C2681" s="8" t="s">
        <v>5969</v>
      </c>
      <c r="D2681" s="8" t="s">
        <v>5970</v>
      </c>
      <c r="E2681" s="8" t="s">
        <v>810</v>
      </c>
      <c r="F2681" s="8" t="s">
        <v>5971</v>
      </c>
    </row>
    <row r="2682" customHeight="1" spans="1:6">
      <c r="A2682" s="6">
        <v>2681</v>
      </c>
      <c r="B2682" s="8" t="s">
        <v>5968</v>
      </c>
      <c r="C2682" s="8" t="s">
        <v>5969</v>
      </c>
      <c r="D2682" s="8" t="s">
        <v>5970</v>
      </c>
      <c r="E2682" s="8" t="s">
        <v>810</v>
      </c>
      <c r="F2682" s="8" t="s">
        <v>5971</v>
      </c>
    </row>
    <row r="2683" customHeight="1" spans="1:6">
      <c r="A2683" s="6">
        <v>2682</v>
      </c>
      <c r="B2683" s="8" t="s">
        <v>5972</v>
      </c>
      <c r="C2683" s="8" t="s">
        <v>5973</v>
      </c>
      <c r="D2683" s="8" t="s">
        <v>5974</v>
      </c>
      <c r="E2683" s="8" t="s">
        <v>810</v>
      </c>
      <c r="F2683" s="8" t="s">
        <v>5975</v>
      </c>
    </row>
    <row r="2684" customHeight="1" spans="1:6">
      <c r="A2684" s="6">
        <v>2683</v>
      </c>
      <c r="B2684" s="8" t="s">
        <v>5972</v>
      </c>
      <c r="C2684" s="8" t="s">
        <v>5973</v>
      </c>
      <c r="D2684" s="8" t="s">
        <v>5974</v>
      </c>
      <c r="E2684" s="8" t="s">
        <v>810</v>
      </c>
      <c r="F2684" s="8" t="s">
        <v>5975</v>
      </c>
    </row>
    <row r="2685" customHeight="1" spans="1:6">
      <c r="A2685" s="6">
        <v>2684</v>
      </c>
      <c r="B2685" s="8" t="s">
        <v>5976</v>
      </c>
      <c r="C2685" s="8" t="s">
        <v>5977</v>
      </c>
      <c r="D2685" s="8" t="s">
        <v>5978</v>
      </c>
      <c r="E2685" s="8" t="s">
        <v>810</v>
      </c>
      <c r="F2685" s="8" t="s">
        <v>5979</v>
      </c>
    </row>
    <row r="2686" customHeight="1" spans="1:6">
      <c r="A2686" s="6">
        <v>2685</v>
      </c>
      <c r="B2686" s="8" t="s">
        <v>5976</v>
      </c>
      <c r="C2686" s="8" t="s">
        <v>5977</v>
      </c>
      <c r="D2686" s="8" t="s">
        <v>5978</v>
      </c>
      <c r="E2686" s="8" t="s">
        <v>810</v>
      </c>
      <c r="F2686" s="8" t="s">
        <v>5979</v>
      </c>
    </row>
    <row r="2687" customHeight="1" spans="1:6">
      <c r="A2687" s="6">
        <v>2686</v>
      </c>
      <c r="B2687" s="8" t="s">
        <v>5980</v>
      </c>
      <c r="C2687" s="8" t="s">
        <v>5981</v>
      </c>
      <c r="D2687" s="8" t="s">
        <v>5978</v>
      </c>
      <c r="E2687" s="8" t="s">
        <v>810</v>
      </c>
      <c r="F2687" s="8" t="s">
        <v>5982</v>
      </c>
    </row>
    <row r="2688" customHeight="1" spans="1:6">
      <c r="A2688" s="6">
        <v>2687</v>
      </c>
      <c r="B2688" s="8" t="s">
        <v>5980</v>
      </c>
      <c r="C2688" s="8" t="s">
        <v>5981</v>
      </c>
      <c r="D2688" s="8" t="s">
        <v>5978</v>
      </c>
      <c r="E2688" s="8" t="s">
        <v>810</v>
      </c>
      <c r="F2688" s="8" t="s">
        <v>5982</v>
      </c>
    </row>
    <row r="2689" customHeight="1" spans="1:6">
      <c r="A2689" s="6">
        <v>2688</v>
      </c>
      <c r="B2689" s="8" t="s">
        <v>5983</v>
      </c>
      <c r="C2689" s="8" t="s">
        <v>5984</v>
      </c>
      <c r="D2689" s="8" t="s">
        <v>5985</v>
      </c>
      <c r="E2689" s="8" t="s">
        <v>810</v>
      </c>
      <c r="F2689" s="8" t="s">
        <v>5986</v>
      </c>
    </row>
    <row r="2690" customHeight="1" spans="1:6">
      <c r="A2690" s="6">
        <v>2689</v>
      </c>
      <c r="B2690" s="8" t="s">
        <v>5983</v>
      </c>
      <c r="C2690" s="8" t="s">
        <v>5984</v>
      </c>
      <c r="D2690" s="8" t="s">
        <v>5985</v>
      </c>
      <c r="E2690" s="8" t="s">
        <v>810</v>
      </c>
      <c r="F2690" s="8" t="s">
        <v>5986</v>
      </c>
    </row>
    <row r="2691" customHeight="1" spans="1:6">
      <c r="A2691" s="6">
        <v>2690</v>
      </c>
      <c r="B2691" s="8" t="s">
        <v>5987</v>
      </c>
      <c r="C2691" s="8" t="s">
        <v>5988</v>
      </c>
      <c r="D2691" s="8" t="s">
        <v>5989</v>
      </c>
      <c r="E2691" s="8" t="s">
        <v>216</v>
      </c>
      <c r="F2691" s="8" t="s">
        <v>5990</v>
      </c>
    </row>
    <row r="2692" customHeight="1" spans="1:6">
      <c r="A2692" s="6">
        <v>2691</v>
      </c>
      <c r="B2692" s="8" t="s">
        <v>5987</v>
      </c>
      <c r="C2692" s="8" t="s">
        <v>5988</v>
      </c>
      <c r="D2692" s="8" t="s">
        <v>5989</v>
      </c>
      <c r="E2692" s="8" t="s">
        <v>216</v>
      </c>
      <c r="F2692" s="8" t="s">
        <v>5990</v>
      </c>
    </row>
    <row r="2693" customHeight="1" spans="1:6">
      <c r="A2693" s="6">
        <v>2692</v>
      </c>
      <c r="B2693" s="8" t="s">
        <v>5991</v>
      </c>
      <c r="C2693" s="8" t="s">
        <v>5992</v>
      </c>
      <c r="D2693" s="8" t="s">
        <v>5993</v>
      </c>
      <c r="E2693" s="8" t="s">
        <v>5093</v>
      </c>
      <c r="F2693" s="8" t="s">
        <v>5994</v>
      </c>
    </row>
    <row r="2694" customHeight="1" spans="1:6">
      <c r="A2694" s="6">
        <v>2693</v>
      </c>
      <c r="B2694" s="8" t="s">
        <v>5991</v>
      </c>
      <c r="C2694" s="8" t="s">
        <v>5992</v>
      </c>
      <c r="D2694" s="8" t="s">
        <v>5993</v>
      </c>
      <c r="E2694" s="8" t="s">
        <v>5093</v>
      </c>
      <c r="F2694" s="8" t="s">
        <v>5994</v>
      </c>
    </row>
    <row r="2695" customHeight="1" spans="1:6">
      <c r="A2695" s="6">
        <v>2694</v>
      </c>
      <c r="B2695" s="8" t="s">
        <v>5995</v>
      </c>
      <c r="C2695" s="8" t="s">
        <v>5996</v>
      </c>
      <c r="D2695" s="8" t="s">
        <v>5997</v>
      </c>
      <c r="E2695" s="8" t="s">
        <v>5998</v>
      </c>
      <c r="F2695" s="8" t="s">
        <v>5999</v>
      </c>
    </row>
    <row r="2696" customHeight="1" spans="1:6">
      <c r="A2696" s="6">
        <v>2695</v>
      </c>
      <c r="B2696" s="8" t="s">
        <v>5995</v>
      </c>
      <c r="C2696" s="8" t="s">
        <v>5996</v>
      </c>
      <c r="D2696" s="8" t="s">
        <v>5997</v>
      </c>
      <c r="E2696" s="8" t="s">
        <v>5998</v>
      </c>
      <c r="F2696" s="8" t="s">
        <v>5999</v>
      </c>
    </row>
    <row r="2697" customHeight="1" spans="1:6">
      <c r="A2697" s="6">
        <v>2696</v>
      </c>
      <c r="B2697" s="8" t="s">
        <v>6000</v>
      </c>
      <c r="C2697" s="8" t="s">
        <v>6001</v>
      </c>
      <c r="D2697" s="8" t="s">
        <v>6002</v>
      </c>
      <c r="E2697" s="8" t="s">
        <v>425</v>
      </c>
      <c r="F2697" s="8" t="s">
        <v>6003</v>
      </c>
    </row>
    <row r="2698" customHeight="1" spans="1:6">
      <c r="A2698" s="6">
        <v>2697</v>
      </c>
      <c r="B2698" s="8" t="s">
        <v>6000</v>
      </c>
      <c r="C2698" s="8" t="s">
        <v>6001</v>
      </c>
      <c r="D2698" s="8" t="s">
        <v>6002</v>
      </c>
      <c r="E2698" s="8" t="s">
        <v>425</v>
      </c>
      <c r="F2698" s="8" t="s">
        <v>6003</v>
      </c>
    </row>
    <row r="2699" customHeight="1" spans="1:6">
      <c r="A2699" s="6">
        <v>2698</v>
      </c>
      <c r="B2699" s="8" t="s">
        <v>6004</v>
      </c>
      <c r="C2699" s="8" t="s">
        <v>6005</v>
      </c>
      <c r="D2699" s="8" t="s">
        <v>6006</v>
      </c>
      <c r="E2699" s="8" t="s">
        <v>2566</v>
      </c>
      <c r="F2699" s="8" t="s">
        <v>6007</v>
      </c>
    </row>
    <row r="2700" customHeight="1" spans="1:6">
      <c r="A2700" s="6">
        <v>2699</v>
      </c>
      <c r="B2700" s="8" t="s">
        <v>6004</v>
      </c>
      <c r="C2700" s="8" t="s">
        <v>6005</v>
      </c>
      <c r="D2700" s="8" t="s">
        <v>6006</v>
      </c>
      <c r="E2700" s="8" t="s">
        <v>2566</v>
      </c>
      <c r="F2700" s="8" t="s">
        <v>6007</v>
      </c>
    </row>
    <row r="2701" customHeight="1" spans="1:6">
      <c r="A2701" s="6">
        <v>2700</v>
      </c>
      <c r="B2701" s="8" t="s">
        <v>6008</v>
      </c>
      <c r="C2701" s="8" t="s">
        <v>6009</v>
      </c>
      <c r="D2701" s="8" t="s">
        <v>6010</v>
      </c>
      <c r="E2701" s="8" t="s">
        <v>415</v>
      </c>
      <c r="F2701" s="8" t="s">
        <v>6011</v>
      </c>
    </row>
    <row r="2702" customHeight="1" spans="1:6">
      <c r="A2702" s="6">
        <v>2701</v>
      </c>
      <c r="B2702" s="8" t="s">
        <v>6008</v>
      </c>
      <c r="C2702" s="8" t="s">
        <v>6009</v>
      </c>
      <c r="D2702" s="8" t="s">
        <v>6010</v>
      </c>
      <c r="E2702" s="8" t="s">
        <v>415</v>
      </c>
      <c r="F2702" s="8" t="s">
        <v>6011</v>
      </c>
    </row>
    <row r="2703" customHeight="1" spans="1:6">
      <c r="A2703" s="6">
        <v>2702</v>
      </c>
      <c r="B2703" s="8" t="s">
        <v>6012</v>
      </c>
      <c r="C2703" s="8" t="s">
        <v>6013</v>
      </c>
      <c r="D2703" s="8" t="s">
        <v>6014</v>
      </c>
      <c r="E2703" s="8" t="s">
        <v>1189</v>
      </c>
      <c r="F2703" s="8" t="s">
        <v>6015</v>
      </c>
    </row>
    <row r="2704" customHeight="1" spans="1:6">
      <c r="A2704" s="6">
        <v>2703</v>
      </c>
      <c r="B2704" s="8" t="s">
        <v>6012</v>
      </c>
      <c r="C2704" s="8" t="s">
        <v>6013</v>
      </c>
      <c r="D2704" s="8" t="s">
        <v>6014</v>
      </c>
      <c r="E2704" s="8" t="s">
        <v>1189</v>
      </c>
      <c r="F2704" s="8" t="s">
        <v>6015</v>
      </c>
    </row>
    <row r="2705" customHeight="1" spans="1:6">
      <c r="A2705" s="6">
        <v>2704</v>
      </c>
      <c r="B2705" s="8" t="s">
        <v>6012</v>
      </c>
      <c r="C2705" s="8" t="s">
        <v>6013</v>
      </c>
      <c r="D2705" s="8" t="s">
        <v>6014</v>
      </c>
      <c r="E2705" s="8" t="s">
        <v>1189</v>
      </c>
      <c r="F2705" s="8" t="s">
        <v>6015</v>
      </c>
    </row>
    <row r="2706" customHeight="1" spans="1:6">
      <c r="A2706" s="6">
        <v>2705</v>
      </c>
      <c r="B2706" s="8" t="s">
        <v>6016</v>
      </c>
      <c r="C2706" s="8" t="s">
        <v>6017</v>
      </c>
      <c r="D2706" s="8" t="s">
        <v>6018</v>
      </c>
      <c r="E2706" s="8" t="s">
        <v>48</v>
      </c>
      <c r="F2706" s="8" t="s">
        <v>6019</v>
      </c>
    </row>
    <row r="2707" customHeight="1" spans="1:6">
      <c r="A2707" s="6">
        <v>2706</v>
      </c>
      <c r="B2707" s="8" t="s">
        <v>6016</v>
      </c>
      <c r="C2707" s="8" t="s">
        <v>6017</v>
      </c>
      <c r="D2707" s="8" t="s">
        <v>6018</v>
      </c>
      <c r="E2707" s="8" t="s">
        <v>48</v>
      </c>
      <c r="F2707" s="8" t="s">
        <v>6019</v>
      </c>
    </row>
    <row r="2708" customHeight="1" spans="1:6">
      <c r="A2708" s="6">
        <v>2707</v>
      </c>
      <c r="B2708" s="7" t="str">
        <f>"978-7-5164-1502-3"</f>
        <v>978-7-5164-1502-3</v>
      </c>
      <c r="C2708" s="7" t="str">
        <f>"阿里巴巴实战运营：14招玩转诚信通"</f>
        <v>阿里巴巴实战运营：14招玩转诚信通</v>
      </c>
      <c r="D2708" s="7" t="str">
        <f>"聂志新著"</f>
        <v>聂志新著</v>
      </c>
      <c r="E2708" s="7" t="str">
        <f>"企业管理出版社"</f>
        <v>企业管理出版社</v>
      </c>
      <c r="F2708" s="7" t="str">
        <f>"F724.6/198"</f>
        <v>F724.6/198</v>
      </c>
    </row>
    <row r="2709" customHeight="1" spans="1:6">
      <c r="A2709" s="6">
        <v>2708</v>
      </c>
      <c r="B2709" s="7" t="str">
        <f>"978-7-5164-1502-3"</f>
        <v>978-7-5164-1502-3</v>
      </c>
      <c r="C2709" s="7" t="str">
        <f>"阿里巴巴实战运营：14招玩转诚信通"</f>
        <v>阿里巴巴实战运营：14招玩转诚信通</v>
      </c>
      <c r="D2709" s="7" t="str">
        <f>"聂志新著"</f>
        <v>聂志新著</v>
      </c>
      <c r="E2709" s="7" t="str">
        <f>"企业管理出版社"</f>
        <v>企业管理出版社</v>
      </c>
      <c r="F2709" s="7" t="str">
        <f>"F724.6/198"</f>
        <v>F724.6/198</v>
      </c>
    </row>
    <row r="2710" customHeight="1" spans="1:6">
      <c r="A2710" s="6">
        <v>2709</v>
      </c>
      <c r="B2710" s="7" t="str">
        <f>"978-7-5178-4541-6"</f>
        <v>978-7-5178-4541-6</v>
      </c>
      <c r="C2710" s="7" t="str">
        <f>"直播与合规：中国直播行业合规管理指南"</f>
        <v>直播与合规：中国直播行业合规管理指南</v>
      </c>
      <c r="D2710" s="7" t="str">
        <f>"主编史源， 张国华"</f>
        <v>主编史源， 张国华</v>
      </c>
      <c r="E2710" s="7" t="str">
        <f>"浙江工商大学出版社"</f>
        <v>浙江工商大学出版社</v>
      </c>
      <c r="F2710" s="7" t="str">
        <f>"F724.6/199"</f>
        <v>F724.6/199</v>
      </c>
    </row>
    <row r="2711" customHeight="1" spans="1:6">
      <c r="A2711" s="6">
        <v>2710</v>
      </c>
      <c r="B2711" s="7" t="str">
        <f>"978-7-5178-4541-6"</f>
        <v>978-7-5178-4541-6</v>
      </c>
      <c r="C2711" s="7" t="str">
        <f>"直播与合规：中国直播行业合规管理指南"</f>
        <v>直播与合规：中国直播行业合规管理指南</v>
      </c>
      <c r="D2711" s="7" t="str">
        <f>"主编史源， 张国华"</f>
        <v>主编史源， 张国华</v>
      </c>
      <c r="E2711" s="7" t="str">
        <f>"浙江工商大学出版社"</f>
        <v>浙江工商大学出版社</v>
      </c>
      <c r="F2711" s="7" t="str">
        <f>"F724.6/199"</f>
        <v>F724.6/199</v>
      </c>
    </row>
    <row r="2712" customHeight="1" spans="1:6">
      <c r="A2712" s="6">
        <v>2711</v>
      </c>
      <c r="B2712" s="8" t="s">
        <v>6020</v>
      </c>
      <c r="C2712" s="8" t="s">
        <v>6021</v>
      </c>
      <c r="D2712" s="8" t="s">
        <v>6022</v>
      </c>
      <c r="E2712" s="8" t="s">
        <v>311</v>
      </c>
      <c r="F2712" s="8" t="s">
        <v>6023</v>
      </c>
    </row>
    <row r="2713" customHeight="1" spans="1:6">
      <c r="A2713" s="6">
        <v>2712</v>
      </c>
      <c r="B2713" s="8" t="s">
        <v>6020</v>
      </c>
      <c r="C2713" s="8" t="s">
        <v>6021</v>
      </c>
      <c r="D2713" s="8" t="s">
        <v>6022</v>
      </c>
      <c r="E2713" s="8" t="s">
        <v>311</v>
      </c>
      <c r="F2713" s="8" t="s">
        <v>6023</v>
      </c>
    </row>
    <row r="2714" customHeight="1" spans="1:6">
      <c r="A2714" s="6">
        <v>2713</v>
      </c>
      <c r="B2714" s="8" t="s">
        <v>6020</v>
      </c>
      <c r="C2714" s="8" t="s">
        <v>6021</v>
      </c>
      <c r="D2714" s="8" t="s">
        <v>6022</v>
      </c>
      <c r="E2714" s="8" t="s">
        <v>311</v>
      </c>
      <c r="F2714" s="8" t="s">
        <v>6023</v>
      </c>
    </row>
    <row r="2715" customHeight="1" spans="1:6">
      <c r="A2715" s="6">
        <v>2714</v>
      </c>
      <c r="B2715" s="8" t="s">
        <v>6024</v>
      </c>
      <c r="C2715" s="8" t="s">
        <v>6025</v>
      </c>
      <c r="D2715" s="8" t="s">
        <v>6026</v>
      </c>
      <c r="E2715" s="8" t="s">
        <v>1189</v>
      </c>
      <c r="F2715" s="8" t="s">
        <v>6027</v>
      </c>
    </row>
    <row r="2716" customHeight="1" spans="1:6">
      <c r="A2716" s="6">
        <v>2715</v>
      </c>
      <c r="B2716" s="8" t="s">
        <v>6024</v>
      </c>
      <c r="C2716" s="8" t="s">
        <v>6025</v>
      </c>
      <c r="D2716" s="8" t="s">
        <v>6026</v>
      </c>
      <c r="E2716" s="8" t="s">
        <v>1189</v>
      </c>
      <c r="F2716" s="8" t="s">
        <v>6027</v>
      </c>
    </row>
    <row r="2717" customHeight="1" spans="1:6">
      <c r="A2717" s="6">
        <v>2716</v>
      </c>
      <c r="B2717" s="8" t="s">
        <v>6024</v>
      </c>
      <c r="C2717" s="8" t="s">
        <v>6025</v>
      </c>
      <c r="D2717" s="8" t="s">
        <v>6026</v>
      </c>
      <c r="E2717" s="8" t="s">
        <v>1189</v>
      </c>
      <c r="F2717" s="8" t="s">
        <v>6027</v>
      </c>
    </row>
    <row r="2718" customHeight="1" spans="1:6">
      <c r="A2718" s="6">
        <v>2717</v>
      </c>
      <c r="B2718" s="8" t="s">
        <v>6028</v>
      </c>
      <c r="C2718" s="8" t="s">
        <v>6029</v>
      </c>
      <c r="D2718" s="13"/>
      <c r="E2718" s="8" t="s">
        <v>4723</v>
      </c>
      <c r="F2718" s="8" t="s">
        <v>6030</v>
      </c>
    </row>
    <row r="2719" customHeight="1" spans="1:6">
      <c r="A2719" s="6">
        <v>2718</v>
      </c>
      <c r="B2719" s="8" t="s">
        <v>6028</v>
      </c>
      <c r="C2719" s="8" t="s">
        <v>6029</v>
      </c>
      <c r="D2719" s="13"/>
      <c r="E2719" s="8" t="s">
        <v>4723</v>
      </c>
      <c r="F2719" s="8" t="s">
        <v>6030</v>
      </c>
    </row>
    <row r="2720" customHeight="1" spans="1:6">
      <c r="A2720" s="6">
        <v>2719</v>
      </c>
      <c r="B2720" s="8" t="s">
        <v>6031</v>
      </c>
      <c r="C2720" s="8" t="s">
        <v>6032</v>
      </c>
      <c r="D2720" s="8" t="s">
        <v>6033</v>
      </c>
      <c r="E2720" s="8" t="s">
        <v>2566</v>
      </c>
      <c r="F2720" s="8" t="s">
        <v>6034</v>
      </c>
    </row>
    <row r="2721" customHeight="1" spans="1:6">
      <c r="A2721" s="6">
        <v>2720</v>
      </c>
      <c r="B2721" s="8" t="s">
        <v>6031</v>
      </c>
      <c r="C2721" s="8" t="s">
        <v>6032</v>
      </c>
      <c r="D2721" s="8" t="s">
        <v>6033</v>
      </c>
      <c r="E2721" s="8" t="s">
        <v>2566</v>
      </c>
      <c r="F2721" s="8" t="s">
        <v>6034</v>
      </c>
    </row>
    <row r="2722" customHeight="1" spans="1:6">
      <c r="A2722" s="6">
        <v>2721</v>
      </c>
      <c r="B2722" s="8" t="s">
        <v>6035</v>
      </c>
      <c r="C2722" s="8" t="s">
        <v>6036</v>
      </c>
      <c r="D2722" s="8" t="s">
        <v>6037</v>
      </c>
      <c r="E2722" s="8" t="s">
        <v>375</v>
      </c>
      <c r="F2722" s="8" t="s">
        <v>6038</v>
      </c>
    </row>
    <row r="2723" customHeight="1" spans="1:6">
      <c r="A2723" s="6">
        <v>2722</v>
      </c>
      <c r="B2723" s="8" t="s">
        <v>6035</v>
      </c>
      <c r="C2723" s="8" t="s">
        <v>6036</v>
      </c>
      <c r="D2723" s="8" t="s">
        <v>6037</v>
      </c>
      <c r="E2723" s="8" t="s">
        <v>375</v>
      </c>
      <c r="F2723" s="8" t="s">
        <v>6038</v>
      </c>
    </row>
    <row r="2724" customHeight="1" spans="1:6">
      <c r="A2724" s="6">
        <v>2723</v>
      </c>
      <c r="B2724" s="8" t="s">
        <v>6039</v>
      </c>
      <c r="C2724" s="8" t="s">
        <v>6040</v>
      </c>
      <c r="D2724" s="8" t="s">
        <v>4541</v>
      </c>
      <c r="E2724" s="8" t="s">
        <v>4542</v>
      </c>
      <c r="F2724" s="8" t="s">
        <v>6041</v>
      </c>
    </row>
    <row r="2725" customHeight="1" spans="1:6">
      <c r="A2725" s="6">
        <v>2724</v>
      </c>
      <c r="B2725" s="8" t="s">
        <v>6039</v>
      </c>
      <c r="C2725" s="8" t="s">
        <v>6040</v>
      </c>
      <c r="D2725" s="8" t="s">
        <v>4541</v>
      </c>
      <c r="E2725" s="8" t="s">
        <v>4542</v>
      </c>
      <c r="F2725" s="8" t="s">
        <v>6041</v>
      </c>
    </row>
    <row r="2726" customHeight="1" spans="1:6">
      <c r="A2726" s="6">
        <v>2725</v>
      </c>
      <c r="B2726" s="8" t="s">
        <v>6039</v>
      </c>
      <c r="C2726" s="8" t="s">
        <v>6040</v>
      </c>
      <c r="D2726" s="8" t="s">
        <v>4541</v>
      </c>
      <c r="E2726" s="8" t="s">
        <v>4542</v>
      </c>
      <c r="F2726" s="8" t="s">
        <v>6041</v>
      </c>
    </row>
    <row r="2727" customHeight="1" spans="1:6">
      <c r="A2727" s="6">
        <v>2726</v>
      </c>
      <c r="B2727" s="8" t="s">
        <v>6042</v>
      </c>
      <c r="C2727" s="8" t="s">
        <v>6043</v>
      </c>
      <c r="D2727" s="8" t="s">
        <v>6044</v>
      </c>
      <c r="E2727" s="8" t="s">
        <v>425</v>
      </c>
      <c r="F2727" s="8" t="s">
        <v>6045</v>
      </c>
    </row>
    <row r="2728" customHeight="1" spans="1:6">
      <c r="A2728" s="6">
        <v>2727</v>
      </c>
      <c r="B2728" s="8" t="s">
        <v>6042</v>
      </c>
      <c r="C2728" s="8" t="s">
        <v>6043</v>
      </c>
      <c r="D2728" s="8" t="s">
        <v>6044</v>
      </c>
      <c r="E2728" s="8" t="s">
        <v>425</v>
      </c>
      <c r="F2728" s="8" t="s">
        <v>6045</v>
      </c>
    </row>
    <row r="2729" customHeight="1" spans="1:6">
      <c r="A2729" s="6">
        <v>2728</v>
      </c>
      <c r="B2729" s="7" t="str">
        <f>"978-7-5096-8144-2"</f>
        <v>978-7-5096-8144-2</v>
      </c>
      <c r="C2729" s="7" t="str">
        <f>"从服务大国迈向服务强国：中国服务业高质量发展路径研究：high-quality development path of China's service industry"</f>
        <v>从服务大国迈向服务强国：中国服务业高质量发展路径研究：high-quality development path of China's service industry</v>
      </c>
      <c r="D2729" s="7" t="str">
        <f>"洪群联著"</f>
        <v>洪群联著</v>
      </c>
      <c r="E2729" s="7" t="str">
        <f>"经济管理出版社"</f>
        <v>经济管理出版社</v>
      </c>
      <c r="F2729" s="7" t="str">
        <f>"F726.9/27"</f>
        <v>F726.9/27</v>
      </c>
    </row>
    <row r="2730" customHeight="1" spans="1:6">
      <c r="A2730" s="6">
        <v>2729</v>
      </c>
      <c r="B2730" s="7" t="str">
        <f>"978-7-5096-8144-2"</f>
        <v>978-7-5096-8144-2</v>
      </c>
      <c r="C2730" s="7" t="str">
        <f>"从服务大国迈向服务强国：中国服务业高质量发展路径研究：high-quality development path of China's service industry"</f>
        <v>从服务大国迈向服务强国：中国服务业高质量发展路径研究：high-quality development path of China's service industry</v>
      </c>
      <c r="D2730" s="7" t="str">
        <f>"洪群联著"</f>
        <v>洪群联著</v>
      </c>
      <c r="E2730" s="7" t="str">
        <f>"经济管理出版社"</f>
        <v>经济管理出版社</v>
      </c>
      <c r="F2730" s="7" t="str">
        <f>"F726.9/27"</f>
        <v>F726.9/27</v>
      </c>
    </row>
    <row r="2731" customHeight="1" spans="1:6">
      <c r="A2731" s="6">
        <v>2730</v>
      </c>
      <c r="B2731" s="8" t="s">
        <v>6046</v>
      </c>
      <c r="C2731" s="8" t="s">
        <v>6047</v>
      </c>
      <c r="D2731" s="8" t="s">
        <v>6048</v>
      </c>
      <c r="E2731" s="8" t="s">
        <v>38</v>
      </c>
      <c r="F2731" s="8" t="s">
        <v>6049</v>
      </c>
    </row>
    <row r="2732" customHeight="1" spans="1:6">
      <c r="A2732" s="6">
        <v>2731</v>
      </c>
      <c r="B2732" s="8" t="s">
        <v>6046</v>
      </c>
      <c r="C2732" s="8" t="s">
        <v>6047</v>
      </c>
      <c r="D2732" s="8" t="s">
        <v>6048</v>
      </c>
      <c r="E2732" s="8" t="s">
        <v>38</v>
      </c>
      <c r="F2732" s="8" t="s">
        <v>6049</v>
      </c>
    </row>
    <row r="2733" customHeight="1" spans="1:6">
      <c r="A2733" s="6">
        <v>2732</v>
      </c>
      <c r="B2733" s="8" t="s">
        <v>6050</v>
      </c>
      <c r="C2733" s="8" t="s">
        <v>6051</v>
      </c>
      <c r="D2733" s="8" t="s">
        <v>6052</v>
      </c>
      <c r="E2733" s="8" t="s">
        <v>6053</v>
      </c>
      <c r="F2733" s="8" t="s">
        <v>6054</v>
      </c>
    </row>
    <row r="2734" customHeight="1" spans="1:6">
      <c r="A2734" s="6">
        <v>2733</v>
      </c>
      <c r="B2734" s="8" t="s">
        <v>6050</v>
      </c>
      <c r="C2734" s="8" t="s">
        <v>6051</v>
      </c>
      <c r="D2734" s="8" t="s">
        <v>6052</v>
      </c>
      <c r="E2734" s="8" t="s">
        <v>6053</v>
      </c>
      <c r="F2734" s="8" t="s">
        <v>6054</v>
      </c>
    </row>
    <row r="2735" customHeight="1" spans="1:6">
      <c r="A2735" s="6">
        <v>2734</v>
      </c>
      <c r="B2735" s="8" t="s">
        <v>6050</v>
      </c>
      <c r="C2735" s="8" t="s">
        <v>6051</v>
      </c>
      <c r="D2735" s="8" t="s">
        <v>6052</v>
      </c>
      <c r="E2735" s="8" t="s">
        <v>6053</v>
      </c>
      <c r="F2735" s="8" t="s">
        <v>6054</v>
      </c>
    </row>
    <row r="2736" customHeight="1" spans="1:6">
      <c r="A2736" s="6">
        <v>2735</v>
      </c>
      <c r="B2736" s="7" t="str">
        <f>"978-7-5201-8286-7"</f>
        <v>978-7-5201-8286-7</v>
      </c>
      <c r="C2736" s="7" t="str">
        <f>"中国餐饮产业发展研究：2000-2020年：2000-2020"</f>
        <v>中国餐饮产业发展研究：2000-2020年：2000-2020</v>
      </c>
      <c r="D2736" s="7" t="str">
        <f>"于干千著"</f>
        <v>于干千著</v>
      </c>
      <c r="E2736" s="7" t="str">
        <f>"社会科学文献出版社"</f>
        <v>社会科学文献出版社</v>
      </c>
      <c r="F2736" s="7" t="str">
        <f>"F726.93/6"</f>
        <v>F726.93/6</v>
      </c>
    </row>
    <row r="2737" customHeight="1" spans="1:6">
      <c r="A2737" s="6">
        <v>2736</v>
      </c>
      <c r="B2737" s="7" t="str">
        <f>"978-7-5201-8286-7"</f>
        <v>978-7-5201-8286-7</v>
      </c>
      <c r="C2737" s="7" t="str">
        <f>"中国餐饮产业发展研究：2000-2020年：2000-2020"</f>
        <v>中国餐饮产业发展研究：2000-2020年：2000-2020</v>
      </c>
      <c r="D2737" s="7" t="str">
        <f>"于干千著"</f>
        <v>于干千著</v>
      </c>
      <c r="E2737" s="7" t="str">
        <f>"社会科学文献出版社"</f>
        <v>社会科学文献出版社</v>
      </c>
      <c r="F2737" s="7" t="str">
        <f>"F726.93/6"</f>
        <v>F726.93/6</v>
      </c>
    </row>
    <row r="2738" customHeight="1" spans="1:6">
      <c r="A2738" s="6">
        <v>2737</v>
      </c>
      <c r="B2738" s="8" t="s">
        <v>6055</v>
      </c>
      <c r="C2738" s="8" t="s">
        <v>6056</v>
      </c>
      <c r="D2738" s="8" t="s">
        <v>6057</v>
      </c>
      <c r="E2738" s="8" t="s">
        <v>3098</v>
      </c>
      <c r="F2738" s="8" t="s">
        <v>6058</v>
      </c>
    </row>
    <row r="2739" customHeight="1" spans="1:6">
      <c r="A2739" s="6">
        <v>2738</v>
      </c>
      <c r="B2739" s="8" t="s">
        <v>6055</v>
      </c>
      <c r="C2739" s="8" t="s">
        <v>6056</v>
      </c>
      <c r="D2739" s="8" t="s">
        <v>6057</v>
      </c>
      <c r="E2739" s="8" t="s">
        <v>3098</v>
      </c>
      <c r="F2739" s="8" t="s">
        <v>6058</v>
      </c>
    </row>
    <row r="2740" customHeight="1" spans="1:6">
      <c r="A2740" s="6">
        <v>2739</v>
      </c>
      <c r="B2740" s="8" t="s">
        <v>6055</v>
      </c>
      <c r="C2740" s="8" t="s">
        <v>6056</v>
      </c>
      <c r="D2740" s="8" t="s">
        <v>6057</v>
      </c>
      <c r="E2740" s="8" t="s">
        <v>3098</v>
      </c>
      <c r="F2740" s="8" t="s">
        <v>6058</v>
      </c>
    </row>
    <row r="2741" customHeight="1" spans="1:6">
      <c r="A2741" s="6">
        <v>2740</v>
      </c>
      <c r="B2741" s="8" t="s">
        <v>6059</v>
      </c>
      <c r="C2741" s="8" t="s">
        <v>6060</v>
      </c>
      <c r="D2741" s="8" t="s">
        <v>6061</v>
      </c>
      <c r="E2741" s="8" t="s">
        <v>360</v>
      </c>
      <c r="F2741" s="8" t="s">
        <v>6062</v>
      </c>
    </row>
    <row r="2742" customHeight="1" spans="1:6">
      <c r="A2742" s="6">
        <v>2741</v>
      </c>
      <c r="B2742" s="8" t="s">
        <v>6059</v>
      </c>
      <c r="C2742" s="8" t="s">
        <v>6060</v>
      </c>
      <c r="D2742" s="8" t="s">
        <v>6061</v>
      </c>
      <c r="E2742" s="8" t="s">
        <v>360</v>
      </c>
      <c r="F2742" s="8" t="s">
        <v>6062</v>
      </c>
    </row>
    <row r="2743" customHeight="1" spans="1:6">
      <c r="A2743" s="6">
        <v>2742</v>
      </c>
      <c r="B2743" s="8" t="s">
        <v>6059</v>
      </c>
      <c r="C2743" s="8" t="s">
        <v>6060</v>
      </c>
      <c r="D2743" s="8" t="s">
        <v>6061</v>
      </c>
      <c r="E2743" s="8" t="s">
        <v>360</v>
      </c>
      <c r="F2743" s="8" t="s">
        <v>6062</v>
      </c>
    </row>
    <row r="2744" customHeight="1" spans="1:6">
      <c r="A2744" s="6">
        <v>2743</v>
      </c>
      <c r="B2744" s="8" t="s">
        <v>6063</v>
      </c>
      <c r="C2744" s="8" t="s">
        <v>6064</v>
      </c>
      <c r="D2744" s="8" t="s">
        <v>6065</v>
      </c>
      <c r="E2744" s="8" t="s">
        <v>360</v>
      </c>
      <c r="F2744" s="8" t="s">
        <v>6066</v>
      </c>
    </row>
    <row r="2745" customHeight="1" spans="1:6">
      <c r="A2745" s="6">
        <v>2744</v>
      </c>
      <c r="B2745" s="8" t="s">
        <v>6063</v>
      </c>
      <c r="C2745" s="8" t="s">
        <v>6064</v>
      </c>
      <c r="D2745" s="8" t="s">
        <v>6065</v>
      </c>
      <c r="E2745" s="8" t="s">
        <v>360</v>
      </c>
      <c r="F2745" s="8" t="s">
        <v>6066</v>
      </c>
    </row>
    <row r="2746" customHeight="1" spans="1:6">
      <c r="A2746" s="6">
        <v>2745</v>
      </c>
      <c r="B2746" s="8" t="s">
        <v>6063</v>
      </c>
      <c r="C2746" s="8" t="s">
        <v>6064</v>
      </c>
      <c r="D2746" s="8" t="s">
        <v>6065</v>
      </c>
      <c r="E2746" s="8" t="s">
        <v>360</v>
      </c>
      <c r="F2746" s="8" t="s">
        <v>6066</v>
      </c>
    </row>
    <row r="2747" customHeight="1" spans="1:6">
      <c r="A2747" s="6">
        <v>2746</v>
      </c>
      <c r="B2747" s="8" t="s">
        <v>6067</v>
      </c>
      <c r="C2747" s="8" t="s">
        <v>6068</v>
      </c>
      <c r="D2747" s="8" t="s">
        <v>6069</v>
      </c>
      <c r="E2747" s="8" t="s">
        <v>6070</v>
      </c>
      <c r="F2747" s="8" t="s">
        <v>6071</v>
      </c>
    </row>
    <row r="2748" customHeight="1" spans="1:6">
      <c r="A2748" s="6">
        <v>2747</v>
      </c>
      <c r="B2748" s="8" t="s">
        <v>6067</v>
      </c>
      <c r="C2748" s="8" t="s">
        <v>6068</v>
      </c>
      <c r="D2748" s="8" t="s">
        <v>6069</v>
      </c>
      <c r="E2748" s="8" t="s">
        <v>6070</v>
      </c>
      <c r="F2748" s="8" t="s">
        <v>6071</v>
      </c>
    </row>
    <row r="2749" customHeight="1" spans="1:6">
      <c r="A2749" s="6">
        <v>2748</v>
      </c>
      <c r="B2749" s="8" t="s">
        <v>6072</v>
      </c>
      <c r="C2749" s="8" t="s">
        <v>6073</v>
      </c>
      <c r="D2749" s="8" t="s">
        <v>6074</v>
      </c>
      <c r="E2749" s="8" t="s">
        <v>881</v>
      </c>
      <c r="F2749" s="8" t="s">
        <v>6075</v>
      </c>
    </row>
    <row r="2750" customHeight="1" spans="1:6">
      <c r="A2750" s="6">
        <v>2749</v>
      </c>
      <c r="B2750" s="8" t="s">
        <v>6072</v>
      </c>
      <c r="C2750" s="8" t="s">
        <v>6073</v>
      </c>
      <c r="D2750" s="8" t="s">
        <v>6074</v>
      </c>
      <c r="E2750" s="8" t="s">
        <v>881</v>
      </c>
      <c r="F2750" s="8" t="s">
        <v>6075</v>
      </c>
    </row>
    <row r="2751" customHeight="1" spans="1:6">
      <c r="A2751" s="6">
        <v>2750</v>
      </c>
      <c r="B2751" s="8" t="s">
        <v>6072</v>
      </c>
      <c r="C2751" s="8" t="s">
        <v>6076</v>
      </c>
      <c r="D2751" s="8" t="s">
        <v>6074</v>
      </c>
      <c r="E2751" s="8" t="s">
        <v>881</v>
      </c>
      <c r="F2751" s="8" t="s">
        <v>6077</v>
      </c>
    </row>
    <row r="2752" customHeight="1" spans="1:6">
      <c r="A2752" s="6">
        <v>2751</v>
      </c>
      <c r="B2752" s="8" t="s">
        <v>6072</v>
      </c>
      <c r="C2752" s="8" t="s">
        <v>6076</v>
      </c>
      <c r="D2752" s="8" t="s">
        <v>6074</v>
      </c>
      <c r="E2752" s="8" t="s">
        <v>881</v>
      </c>
      <c r="F2752" s="8" t="s">
        <v>6077</v>
      </c>
    </row>
    <row r="2753" customHeight="1" spans="1:6">
      <c r="A2753" s="6">
        <v>2752</v>
      </c>
      <c r="B2753" s="8" t="s">
        <v>6072</v>
      </c>
      <c r="C2753" s="8" t="s">
        <v>6078</v>
      </c>
      <c r="D2753" s="8" t="s">
        <v>6074</v>
      </c>
      <c r="E2753" s="8" t="s">
        <v>881</v>
      </c>
      <c r="F2753" s="8" t="s">
        <v>6079</v>
      </c>
    </row>
    <row r="2754" customHeight="1" spans="1:6">
      <c r="A2754" s="6">
        <v>2753</v>
      </c>
      <c r="B2754" s="8" t="s">
        <v>6072</v>
      </c>
      <c r="C2754" s="8" t="s">
        <v>6078</v>
      </c>
      <c r="D2754" s="8" t="s">
        <v>6074</v>
      </c>
      <c r="E2754" s="8" t="s">
        <v>881</v>
      </c>
      <c r="F2754" s="8" t="s">
        <v>6079</v>
      </c>
    </row>
    <row r="2755" customHeight="1" spans="1:6">
      <c r="A2755" s="6">
        <v>2754</v>
      </c>
      <c r="B2755" s="8" t="s">
        <v>6080</v>
      </c>
      <c r="C2755" s="8" t="s">
        <v>6081</v>
      </c>
      <c r="D2755" s="8" t="s">
        <v>6082</v>
      </c>
      <c r="E2755" s="8" t="s">
        <v>1967</v>
      </c>
      <c r="F2755" s="8" t="s">
        <v>6083</v>
      </c>
    </row>
    <row r="2756" customHeight="1" spans="1:6">
      <c r="A2756" s="6">
        <v>2755</v>
      </c>
      <c r="B2756" s="8" t="s">
        <v>6080</v>
      </c>
      <c r="C2756" s="8" t="s">
        <v>6081</v>
      </c>
      <c r="D2756" s="8" t="s">
        <v>6082</v>
      </c>
      <c r="E2756" s="8" t="s">
        <v>1967</v>
      </c>
      <c r="F2756" s="8" t="s">
        <v>6083</v>
      </c>
    </row>
    <row r="2757" customHeight="1" spans="1:6">
      <c r="A2757" s="6">
        <v>2756</v>
      </c>
      <c r="B2757" s="8" t="s">
        <v>6080</v>
      </c>
      <c r="C2757" s="8" t="s">
        <v>6081</v>
      </c>
      <c r="D2757" s="8" t="s">
        <v>6082</v>
      </c>
      <c r="E2757" s="8" t="s">
        <v>1967</v>
      </c>
      <c r="F2757" s="8" t="s">
        <v>6083</v>
      </c>
    </row>
    <row r="2758" customHeight="1" spans="1:6">
      <c r="A2758" s="6">
        <v>2757</v>
      </c>
      <c r="B2758" s="7" t="str">
        <f>"978-7-5607-5706-3"</f>
        <v>978-7-5607-5706-3</v>
      </c>
      <c r="C2758" s="7" t="str">
        <f>"货殖列传：中国传统商贸文化"</f>
        <v>货殖列传：中国传统商贸文化</v>
      </c>
      <c r="D2758" s="7" t="str">
        <f>"谭景玉， 齐廉允著"</f>
        <v>谭景玉， 齐廉允著</v>
      </c>
      <c r="E2758" s="7" t="str">
        <f>"山东大学出版社"</f>
        <v>山东大学出版社</v>
      </c>
      <c r="F2758" s="7" t="str">
        <f>"F729/78=2D"</f>
        <v>F729/78=2D</v>
      </c>
    </row>
    <row r="2759" customHeight="1" spans="1:6">
      <c r="A2759" s="6">
        <v>2758</v>
      </c>
      <c r="B2759" s="7" t="str">
        <f>"978-7-5607-5706-3"</f>
        <v>978-7-5607-5706-3</v>
      </c>
      <c r="C2759" s="7" t="str">
        <f>"货殖列传：中国传统商贸文化"</f>
        <v>货殖列传：中国传统商贸文化</v>
      </c>
      <c r="D2759" s="7" t="str">
        <f>"谭景玉， 齐廉允著"</f>
        <v>谭景玉， 齐廉允著</v>
      </c>
      <c r="E2759" s="7" t="str">
        <f>"山东大学出版社"</f>
        <v>山东大学出版社</v>
      </c>
      <c r="F2759" s="7" t="str">
        <f>"F729/78=2D"</f>
        <v>F729/78=2D</v>
      </c>
    </row>
    <row r="2760" customHeight="1" spans="1:6">
      <c r="A2760" s="6">
        <v>2759</v>
      </c>
      <c r="B2760" s="8" t="s">
        <v>6084</v>
      </c>
      <c r="C2760" s="8" t="s">
        <v>6085</v>
      </c>
      <c r="D2760" s="8" t="s">
        <v>6086</v>
      </c>
      <c r="E2760" s="8" t="s">
        <v>6087</v>
      </c>
      <c r="F2760" s="8" t="s">
        <v>6088</v>
      </c>
    </row>
    <row r="2761" customHeight="1" spans="1:6">
      <c r="A2761" s="6">
        <v>2760</v>
      </c>
      <c r="B2761" s="8" t="s">
        <v>6084</v>
      </c>
      <c r="C2761" s="8" t="s">
        <v>6085</v>
      </c>
      <c r="D2761" s="8" t="s">
        <v>6086</v>
      </c>
      <c r="E2761" s="8" t="s">
        <v>6087</v>
      </c>
      <c r="F2761" s="8" t="s">
        <v>6088</v>
      </c>
    </row>
    <row r="2762" customHeight="1" spans="1:6">
      <c r="A2762" s="6">
        <v>2761</v>
      </c>
      <c r="B2762" s="8" t="s">
        <v>6089</v>
      </c>
      <c r="C2762" s="8" t="s">
        <v>6090</v>
      </c>
      <c r="D2762" s="8" t="s">
        <v>6091</v>
      </c>
      <c r="E2762" s="8" t="s">
        <v>2418</v>
      </c>
      <c r="F2762" s="8" t="s">
        <v>6092</v>
      </c>
    </row>
    <row r="2763" customHeight="1" spans="1:6">
      <c r="A2763" s="6">
        <v>2762</v>
      </c>
      <c r="B2763" s="8" t="s">
        <v>6089</v>
      </c>
      <c r="C2763" s="8" t="s">
        <v>6090</v>
      </c>
      <c r="D2763" s="8" t="s">
        <v>6091</v>
      </c>
      <c r="E2763" s="8" t="s">
        <v>2418</v>
      </c>
      <c r="F2763" s="8" t="s">
        <v>6092</v>
      </c>
    </row>
    <row r="2764" customHeight="1" spans="1:6">
      <c r="A2764" s="6">
        <v>2763</v>
      </c>
      <c r="B2764" s="8" t="s">
        <v>6093</v>
      </c>
      <c r="C2764" s="8" t="s">
        <v>6094</v>
      </c>
      <c r="D2764" s="8" t="s">
        <v>6095</v>
      </c>
      <c r="E2764" s="8" t="s">
        <v>256</v>
      </c>
      <c r="F2764" s="8" t="s">
        <v>6096</v>
      </c>
    </row>
    <row r="2765" customHeight="1" spans="1:6">
      <c r="A2765" s="6">
        <v>2764</v>
      </c>
      <c r="B2765" s="8" t="s">
        <v>6093</v>
      </c>
      <c r="C2765" s="8" t="s">
        <v>6094</v>
      </c>
      <c r="D2765" s="8" t="s">
        <v>6095</v>
      </c>
      <c r="E2765" s="8" t="s">
        <v>256</v>
      </c>
      <c r="F2765" s="8" t="s">
        <v>6096</v>
      </c>
    </row>
    <row r="2766" customHeight="1" spans="1:6">
      <c r="A2766" s="6">
        <v>2765</v>
      </c>
      <c r="B2766" s="8" t="s">
        <v>6093</v>
      </c>
      <c r="C2766" s="8" t="s">
        <v>6094</v>
      </c>
      <c r="D2766" s="8" t="s">
        <v>6095</v>
      </c>
      <c r="E2766" s="8" t="s">
        <v>256</v>
      </c>
      <c r="F2766" s="8" t="s">
        <v>6096</v>
      </c>
    </row>
    <row r="2767" customHeight="1" spans="1:6">
      <c r="A2767" s="6">
        <v>2766</v>
      </c>
      <c r="B2767" s="8" t="s">
        <v>6097</v>
      </c>
      <c r="C2767" s="8" t="s">
        <v>6098</v>
      </c>
      <c r="D2767" s="8" t="s">
        <v>6099</v>
      </c>
      <c r="E2767" s="8" t="s">
        <v>1189</v>
      </c>
      <c r="F2767" s="8" t="s">
        <v>6100</v>
      </c>
    </row>
    <row r="2768" customHeight="1" spans="1:6">
      <c r="A2768" s="6">
        <v>2767</v>
      </c>
      <c r="B2768" s="8" t="s">
        <v>6097</v>
      </c>
      <c r="C2768" s="8" t="s">
        <v>6098</v>
      </c>
      <c r="D2768" s="8" t="s">
        <v>6099</v>
      </c>
      <c r="E2768" s="8" t="s">
        <v>1189</v>
      </c>
      <c r="F2768" s="8" t="s">
        <v>6100</v>
      </c>
    </row>
    <row r="2769" customHeight="1" spans="1:6">
      <c r="A2769" s="6">
        <v>2768</v>
      </c>
      <c r="B2769" s="8" t="s">
        <v>6097</v>
      </c>
      <c r="C2769" s="8" t="s">
        <v>6098</v>
      </c>
      <c r="D2769" s="8" t="s">
        <v>6099</v>
      </c>
      <c r="E2769" s="8" t="s">
        <v>1189</v>
      </c>
      <c r="F2769" s="8" t="s">
        <v>6100</v>
      </c>
    </row>
    <row r="2770" customHeight="1" spans="1:6">
      <c r="A2770" s="6">
        <v>2769</v>
      </c>
      <c r="B2770" s="8" t="s">
        <v>6101</v>
      </c>
      <c r="C2770" s="8" t="s">
        <v>6102</v>
      </c>
      <c r="D2770" s="8" t="s">
        <v>6103</v>
      </c>
      <c r="E2770" s="8" t="s">
        <v>2284</v>
      </c>
      <c r="F2770" s="8" t="s">
        <v>6104</v>
      </c>
    </row>
    <row r="2771" customHeight="1" spans="1:6">
      <c r="A2771" s="6">
        <v>2770</v>
      </c>
      <c r="B2771" s="8" t="s">
        <v>6101</v>
      </c>
      <c r="C2771" s="8" t="s">
        <v>6102</v>
      </c>
      <c r="D2771" s="8" t="s">
        <v>6103</v>
      </c>
      <c r="E2771" s="8" t="s">
        <v>2284</v>
      </c>
      <c r="F2771" s="8" t="s">
        <v>6104</v>
      </c>
    </row>
    <row r="2772" customHeight="1" spans="1:6">
      <c r="A2772" s="6">
        <v>2771</v>
      </c>
      <c r="B2772" s="7" t="str">
        <f t="shared" ref="B2772:B2774" si="203">"978-7-121-41815-0"</f>
        <v>978-7-121-41815-0</v>
      </c>
      <c r="C2772" s="7" t="str">
        <f t="shared" ref="C2772:C2774" si="204">"国际市场营销学"</f>
        <v>国际市场营销学</v>
      </c>
      <c r="D2772" s="7" t="str">
        <f t="shared" ref="D2772:D2774" si="205">"主编王虹"</f>
        <v>主编王虹</v>
      </c>
      <c r="E2772" s="7" t="str">
        <f t="shared" ref="E2772:E2774" si="206">"电子工业出版社"</f>
        <v>电子工业出版社</v>
      </c>
      <c r="F2772" s="7" t="str">
        <f t="shared" ref="F2772:F2774" si="207">"F740.2/104"</f>
        <v>F740.2/104</v>
      </c>
    </row>
    <row r="2773" customHeight="1" spans="1:6">
      <c r="A2773" s="6">
        <v>2772</v>
      </c>
      <c r="B2773" s="7" t="str">
        <f t="shared" si="203"/>
        <v>978-7-121-41815-0</v>
      </c>
      <c r="C2773" s="7" t="str">
        <f t="shared" si="204"/>
        <v>国际市场营销学</v>
      </c>
      <c r="D2773" s="7" t="str">
        <f t="shared" si="205"/>
        <v>主编王虹</v>
      </c>
      <c r="E2773" s="7" t="str">
        <f t="shared" si="206"/>
        <v>电子工业出版社</v>
      </c>
      <c r="F2773" s="7" t="str">
        <f t="shared" si="207"/>
        <v>F740.2/104</v>
      </c>
    </row>
    <row r="2774" customHeight="1" spans="1:6">
      <c r="A2774" s="6">
        <v>2773</v>
      </c>
      <c r="B2774" s="7" t="str">
        <f t="shared" si="203"/>
        <v>978-7-121-41815-0</v>
      </c>
      <c r="C2774" s="7" t="str">
        <f t="shared" si="204"/>
        <v>国际市场营销学</v>
      </c>
      <c r="D2774" s="7" t="str">
        <f t="shared" si="205"/>
        <v>主编王虹</v>
      </c>
      <c r="E2774" s="7" t="str">
        <f t="shared" si="206"/>
        <v>电子工业出版社</v>
      </c>
      <c r="F2774" s="7" t="str">
        <f t="shared" si="207"/>
        <v>F740.2/104</v>
      </c>
    </row>
    <row r="2775" customHeight="1" spans="1:6">
      <c r="A2775" s="6">
        <v>2774</v>
      </c>
      <c r="B2775" s="7" t="str">
        <f>"978-7-5581-9611-9"</f>
        <v>978-7-5581-9611-9</v>
      </c>
      <c r="C2775" s="7" t="str">
        <f>"国际贸易与营销一本通"</f>
        <v>国际贸易与营销一本通</v>
      </c>
      <c r="D2775" s="7" t="str">
        <f>"李向荣著"</f>
        <v>李向荣著</v>
      </c>
      <c r="E2775" s="7" t="str">
        <f>"吉林出版集团股份有限公司"</f>
        <v>吉林出版集团股份有限公司</v>
      </c>
      <c r="F2775" s="7" t="str">
        <f>"F740.2/105"</f>
        <v>F740.2/105</v>
      </c>
    </row>
    <row r="2776" customHeight="1" spans="1:6">
      <c r="A2776" s="6">
        <v>2775</v>
      </c>
      <c r="B2776" s="7" t="str">
        <f>"978-7-5581-9611-9"</f>
        <v>978-7-5581-9611-9</v>
      </c>
      <c r="C2776" s="7" t="str">
        <f>"国际贸易与营销一本通"</f>
        <v>国际贸易与营销一本通</v>
      </c>
      <c r="D2776" s="7" t="str">
        <f>"李向荣著"</f>
        <v>李向荣著</v>
      </c>
      <c r="E2776" s="7" t="str">
        <f>"吉林出版集团股份有限公司"</f>
        <v>吉林出版集团股份有限公司</v>
      </c>
      <c r="F2776" s="7" t="str">
        <f>"F740.2/105"</f>
        <v>F740.2/105</v>
      </c>
    </row>
    <row r="2777" customHeight="1" spans="1:6">
      <c r="A2777" s="6">
        <v>2776</v>
      </c>
      <c r="B2777" s="8" t="s">
        <v>6105</v>
      </c>
      <c r="C2777" s="8" t="s">
        <v>6106</v>
      </c>
      <c r="D2777" s="8" t="s">
        <v>6107</v>
      </c>
      <c r="E2777" s="8" t="s">
        <v>576</v>
      </c>
      <c r="F2777" s="8" t="s">
        <v>6108</v>
      </c>
    </row>
    <row r="2778" customHeight="1" spans="1:6">
      <c r="A2778" s="6">
        <v>2777</v>
      </c>
      <c r="B2778" s="8" t="s">
        <v>6105</v>
      </c>
      <c r="C2778" s="8" t="s">
        <v>6106</v>
      </c>
      <c r="D2778" s="8" t="s">
        <v>6107</v>
      </c>
      <c r="E2778" s="8" t="s">
        <v>576</v>
      </c>
      <c r="F2778" s="8" t="s">
        <v>6108</v>
      </c>
    </row>
    <row r="2779" customHeight="1" spans="1:6">
      <c r="A2779" s="6">
        <v>2778</v>
      </c>
      <c r="B2779" s="8" t="s">
        <v>6105</v>
      </c>
      <c r="C2779" s="8" t="s">
        <v>6106</v>
      </c>
      <c r="D2779" s="8" t="s">
        <v>6107</v>
      </c>
      <c r="E2779" s="8" t="s">
        <v>576</v>
      </c>
      <c r="F2779" s="8" t="s">
        <v>6108</v>
      </c>
    </row>
    <row r="2780" customHeight="1" spans="1:6">
      <c r="A2780" s="6">
        <v>2779</v>
      </c>
      <c r="B2780" s="8" t="s">
        <v>6109</v>
      </c>
      <c r="C2780" s="8" t="s">
        <v>6110</v>
      </c>
      <c r="D2780" s="8" t="s">
        <v>6111</v>
      </c>
      <c r="E2780" s="8" t="s">
        <v>6112</v>
      </c>
      <c r="F2780" s="8" t="s">
        <v>6113</v>
      </c>
    </row>
    <row r="2781" customHeight="1" spans="1:6">
      <c r="A2781" s="6">
        <v>2780</v>
      </c>
      <c r="B2781" s="8" t="s">
        <v>6109</v>
      </c>
      <c r="C2781" s="8" t="s">
        <v>6110</v>
      </c>
      <c r="D2781" s="8" t="s">
        <v>6111</v>
      </c>
      <c r="E2781" s="8" t="s">
        <v>6112</v>
      </c>
      <c r="F2781" s="8" t="s">
        <v>6113</v>
      </c>
    </row>
    <row r="2782" customHeight="1" spans="1:6">
      <c r="A2782" s="6">
        <v>2781</v>
      </c>
      <c r="B2782" s="8" t="s">
        <v>6114</v>
      </c>
      <c r="C2782" s="8" t="s">
        <v>6115</v>
      </c>
      <c r="D2782" s="8" t="s">
        <v>6116</v>
      </c>
      <c r="E2782" s="8" t="s">
        <v>3004</v>
      </c>
      <c r="F2782" s="8" t="s">
        <v>6117</v>
      </c>
    </row>
    <row r="2783" customHeight="1" spans="1:6">
      <c r="A2783" s="6">
        <v>2782</v>
      </c>
      <c r="B2783" s="8" t="s">
        <v>6114</v>
      </c>
      <c r="C2783" s="8" t="s">
        <v>6115</v>
      </c>
      <c r="D2783" s="8" t="s">
        <v>6116</v>
      </c>
      <c r="E2783" s="8" t="s">
        <v>3004</v>
      </c>
      <c r="F2783" s="8" t="s">
        <v>6117</v>
      </c>
    </row>
    <row r="2784" customHeight="1" spans="1:6">
      <c r="A2784" s="6">
        <v>2783</v>
      </c>
      <c r="B2784" s="8" t="s">
        <v>6114</v>
      </c>
      <c r="C2784" s="8" t="s">
        <v>6115</v>
      </c>
      <c r="D2784" s="8" t="s">
        <v>6116</v>
      </c>
      <c r="E2784" s="8" t="s">
        <v>3004</v>
      </c>
      <c r="F2784" s="8" t="s">
        <v>6117</v>
      </c>
    </row>
    <row r="2785" customHeight="1" spans="1:6">
      <c r="A2785" s="6">
        <v>2784</v>
      </c>
      <c r="B2785" s="8" t="s">
        <v>6118</v>
      </c>
      <c r="C2785" s="8" t="s">
        <v>6110</v>
      </c>
      <c r="D2785" s="8" t="s">
        <v>6119</v>
      </c>
      <c r="E2785" s="8" t="s">
        <v>710</v>
      </c>
      <c r="F2785" s="8" t="s">
        <v>6120</v>
      </c>
    </row>
    <row r="2786" customHeight="1" spans="1:6">
      <c r="A2786" s="6">
        <v>2785</v>
      </c>
      <c r="B2786" s="8" t="s">
        <v>6118</v>
      </c>
      <c r="C2786" s="8" t="s">
        <v>6110</v>
      </c>
      <c r="D2786" s="8" t="s">
        <v>6119</v>
      </c>
      <c r="E2786" s="8" t="s">
        <v>710</v>
      </c>
      <c r="F2786" s="8" t="s">
        <v>6120</v>
      </c>
    </row>
    <row r="2787" customHeight="1" spans="1:6">
      <c r="A2787" s="6">
        <v>2786</v>
      </c>
      <c r="B2787" s="8" t="s">
        <v>6121</v>
      </c>
      <c r="C2787" s="8" t="s">
        <v>6122</v>
      </c>
      <c r="D2787" s="8" t="s">
        <v>6123</v>
      </c>
      <c r="E2787" s="8" t="s">
        <v>5358</v>
      </c>
      <c r="F2787" s="8" t="s">
        <v>6124</v>
      </c>
    </row>
    <row r="2788" customHeight="1" spans="1:6">
      <c r="A2788" s="6">
        <v>2787</v>
      </c>
      <c r="B2788" s="8" t="s">
        <v>6121</v>
      </c>
      <c r="C2788" s="8" t="s">
        <v>6122</v>
      </c>
      <c r="D2788" s="8" t="s">
        <v>6123</v>
      </c>
      <c r="E2788" s="8" t="s">
        <v>5358</v>
      </c>
      <c r="F2788" s="8" t="s">
        <v>6124</v>
      </c>
    </row>
    <row r="2789" customHeight="1" spans="1:6">
      <c r="A2789" s="6">
        <v>2788</v>
      </c>
      <c r="B2789" s="8" t="s">
        <v>6121</v>
      </c>
      <c r="C2789" s="8" t="s">
        <v>6122</v>
      </c>
      <c r="D2789" s="8" t="s">
        <v>6123</v>
      </c>
      <c r="E2789" s="8" t="s">
        <v>5358</v>
      </c>
      <c r="F2789" s="8" t="s">
        <v>6124</v>
      </c>
    </row>
    <row r="2790" customHeight="1" spans="1:6">
      <c r="A2790" s="6">
        <v>2789</v>
      </c>
      <c r="B2790" s="8" t="s">
        <v>6125</v>
      </c>
      <c r="C2790" s="8" t="s">
        <v>6126</v>
      </c>
      <c r="D2790" s="8" t="s">
        <v>6127</v>
      </c>
      <c r="E2790" s="8" t="s">
        <v>530</v>
      </c>
      <c r="F2790" s="8" t="s">
        <v>6128</v>
      </c>
    </row>
    <row r="2791" customHeight="1" spans="1:6">
      <c r="A2791" s="6">
        <v>2790</v>
      </c>
      <c r="B2791" s="8" t="s">
        <v>6125</v>
      </c>
      <c r="C2791" s="8" t="s">
        <v>6126</v>
      </c>
      <c r="D2791" s="8" t="s">
        <v>6127</v>
      </c>
      <c r="E2791" s="8" t="s">
        <v>530</v>
      </c>
      <c r="F2791" s="8" t="s">
        <v>6128</v>
      </c>
    </row>
    <row r="2792" customHeight="1" spans="1:6">
      <c r="A2792" s="6">
        <v>2791</v>
      </c>
      <c r="B2792" s="8" t="s">
        <v>6125</v>
      </c>
      <c r="C2792" s="8" t="s">
        <v>6126</v>
      </c>
      <c r="D2792" s="8" t="s">
        <v>6127</v>
      </c>
      <c r="E2792" s="8" t="s">
        <v>530</v>
      </c>
      <c r="F2792" s="8" t="s">
        <v>6128</v>
      </c>
    </row>
    <row r="2793" customHeight="1" spans="1:6">
      <c r="A2793" s="6">
        <v>2792</v>
      </c>
      <c r="B2793" s="8" t="s">
        <v>6129</v>
      </c>
      <c r="C2793" s="8" t="s">
        <v>6110</v>
      </c>
      <c r="D2793" s="8" t="s">
        <v>6130</v>
      </c>
      <c r="E2793" s="8" t="s">
        <v>3004</v>
      </c>
      <c r="F2793" s="8" t="s">
        <v>6131</v>
      </c>
    </row>
    <row r="2794" customHeight="1" spans="1:6">
      <c r="A2794" s="6">
        <v>2793</v>
      </c>
      <c r="B2794" s="8" t="s">
        <v>6129</v>
      </c>
      <c r="C2794" s="8" t="s">
        <v>6110</v>
      </c>
      <c r="D2794" s="8" t="s">
        <v>6130</v>
      </c>
      <c r="E2794" s="8" t="s">
        <v>3004</v>
      </c>
      <c r="F2794" s="8" t="s">
        <v>6131</v>
      </c>
    </row>
    <row r="2795" customHeight="1" spans="1:6">
      <c r="A2795" s="6">
        <v>2794</v>
      </c>
      <c r="B2795" s="8" t="s">
        <v>6129</v>
      </c>
      <c r="C2795" s="8" t="s">
        <v>6110</v>
      </c>
      <c r="D2795" s="8" t="s">
        <v>6130</v>
      </c>
      <c r="E2795" s="8" t="s">
        <v>3004</v>
      </c>
      <c r="F2795" s="8" t="s">
        <v>6131</v>
      </c>
    </row>
    <row r="2796" customHeight="1" spans="1:6">
      <c r="A2796" s="6">
        <v>2795</v>
      </c>
      <c r="B2796" s="8" t="s">
        <v>6132</v>
      </c>
      <c r="C2796" s="8" t="s">
        <v>6133</v>
      </c>
      <c r="D2796" s="8" t="s">
        <v>6134</v>
      </c>
      <c r="E2796" s="8" t="s">
        <v>530</v>
      </c>
      <c r="F2796" s="8" t="s">
        <v>6135</v>
      </c>
    </row>
    <row r="2797" customHeight="1" spans="1:6">
      <c r="A2797" s="6">
        <v>2796</v>
      </c>
      <c r="B2797" s="8" t="s">
        <v>6132</v>
      </c>
      <c r="C2797" s="8" t="s">
        <v>6133</v>
      </c>
      <c r="D2797" s="8" t="s">
        <v>6134</v>
      </c>
      <c r="E2797" s="8" t="s">
        <v>530</v>
      </c>
      <c r="F2797" s="8" t="s">
        <v>6135</v>
      </c>
    </row>
    <row r="2798" customHeight="1" spans="1:6">
      <c r="A2798" s="6">
        <v>2797</v>
      </c>
      <c r="B2798" s="8" t="s">
        <v>6132</v>
      </c>
      <c r="C2798" s="8" t="s">
        <v>6133</v>
      </c>
      <c r="D2798" s="8" t="s">
        <v>6134</v>
      </c>
      <c r="E2798" s="8" t="s">
        <v>530</v>
      </c>
      <c r="F2798" s="8" t="s">
        <v>6135</v>
      </c>
    </row>
    <row r="2799" customHeight="1" spans="1:6">
      <c r="A2799" s="6">
        <v>2798</v>
      </c>
      <c r="B2799" s="8" t="s">
        <v>6136</v>
      </c>
      <c r="C2799" s="8" t="s">
        <v>6137</v>
      </c>
      <c r="D2799" s="8" t="s">
        <v>6138</v>
      </c>
      <c r="E2799" s="8" t="s">
        <v>576</v>
      </c>
      <c r="F2799" s="8" t="s">
        <v>6139</v>
      </c>
    </row>
    <row r="2800" customHeight="1" spans="1:6">
      <c r="A2800" s="6">
        <v>2799</v>
      </c>
      <c r="B2800" s="8" t="s">
        <v>6136</v>
      </c>
      <c r="C2800" s="8" t="s">
        <v>6137</v>
      </c>
      <c r="D2800" s="8" t="s">
        <v>6138</v>
      </c>
      <c r="E2800" s="8" t="s">
        <v>576</v>
      </c>
      <c r="F2800" s="8" t="s">
        <v>6139</v>
      </c>
    </row>
    <row r="2801" customHeight="1" spans="1:6">
      <c r="A2801" s="6">
        <v>2800</v>
      </c>
      <c r="B2801" s="8" t="s">
        <v>6136</v>
      </c>
      <c r="C2801" s="8" t="s">
        <v>6137</v>
      </c>
      <c r="D2801" s="8" t="s">
        <v>6138</v>
      </c>
      <c r="E2801" s="8" t="s">
        <v>576</v>
      </c>
      <c r="F2801" s="8" t="s">
        <v>6139</v>
      </c>
    </row>
    <row r="2802" customHeight="1" spans="1:6">
      <c r="A2802" s="6">
        <v>2801</v>
      </c>
      <c r="B2802" s="8" t="s">
        <v>6140</v>
      </c>
      <c r="C2802" s="8" t="s">
        <v>6110</v>
      </c>
      <c r="D2802" s="8" t="s">
        <v>6141</v>
      </c>
      <c r="E2802" s="8" t="s">
        <v>3004</v>
      </c>
      <c r="F2802" s="8" t="s">
        <v>6142</v>
      </c>
    </row>
    <row r="2803" customHeight="1" spans="1:6">
      <c r="A2803" s="6">
        <v>2802</v>
      </c>
      <c r="B2803" s="8" t="s">
        <v>6140</v>
      </c>
      <c r="C2803" s="8" t="s">
        <v>6110</v>
      </c>
      <c r="D2803" s="8" t="s">
        <v>6141</v>
      </c>
      <c r="E2803" s="8" t="s">
        <v>3004</v>
      </c>
      <c r="F2803" s="8" t="s">
        <v>6142</v>
      </c>
    </row>
    <row r="2804" customHeight="1" spans="1:6">
      <c r="A2804" s="6">
        <v>2803</v>
      </c>
      <c r="B2804" s="8" t="s">
        <v>6140</v>
      </c>
      <c r="C2804" s="8" t="s">
        <v>6110</v>
      </c>
      <c r="D2804" s="8" t="s">
        <v>6141</v>
      </c>
      <c r="E2804" s="8" t="s">
        <v>3004</v>
      </c>
      <c r="F2804" s="8" t="s">
        <v>6142</v>
      </c>
    </row>
    <row r="2805" customHeight="1" spans="1:6">
      <c r="A2805" s="6">
        <v>2804</v>
      </c>
      <c r="B2805" s="7" t="str">
        <f>"978-7-80165-826-5"</f>
        <v>978-7-80165-826-5</v>
      </c>
      <c r="C2805" s="7" t="str">
        <f>"国际商务谈判实务精讲"</f>
        <v>国际商务谈判实务精讲</v>
      </c>
      <c r="D2805" s="7" t="str">
        <f>"编著王慧， 唐力忻"</f>
        <v>编著王慧， 唐力忻</v>
      </c>
      <c r="E2805" s="7" t="str">
        <f>"中国海关出版社"</f>
        <v>中国海关出版社</v>
      </c>
      <c r="F2805" s="7" t="str">
        <f>"F740.41/52"</f>
        <v>F740.41/52</v>
      </c>
    </row>
    <row r="2806" customHeight="1" spans="1:6">
      <c r="A2806" s="6">
        <v>2805</v>
      </c>
      <c r="B2806" s="7" t="str">
        <f>"978-7-80165-826-5"</f>
        <v>978-7-80165-826-5</v>
      </c>
      <c r="C2806" s="7" t="str">
        <f>"国际商务谈判实务精讲"</f>
        <v>国际商务谈判实务精讲</v>
      </c>
      <c r="D2806" s="7" t="str">
        <f>"编著王慧， 唐力忻"</f>
        <v>编著王慧， 唐力忻</v>
      </c>
      <c r="E2806" s="7" t="str">
        <f>"中国海关出版社"</f>
        <v>中国海关出版社</v>
      </c>
      <c r="F2806" s="7" t="str">
        <f>"F740.41/52"</f>
        <v>F740.41/52</v>
      </c>
    </row>
    <row r="2807" customHeight="1" spans="1:6">
      <c r="A2807" s="6">
        <v>2806</v>
      </c>
      <c r="B2807" s="7" t="str">
        <f t="shared" ref="B2807:B2809" si="208">"978-7-121-41734-4"</f>
        <v>978-7-121-41734-4</v>
      </c>
      <c r="C2807" s="7" t="str">
        <f t="shared" ref="C2807:C2809" si="209">"外贸单证实务"</f>
        <v>外贸单证实务</v>
      </c>
      <c r="D2807" s="7" t="str">
        <f t="shared" ref="D2807:D2809" si="210">"徐丹丹主编"</f>
        <v>徐丹丹主编</v>
      </c>
      <c r="E2807" s="7" t="str">
        <f t="shared" ref="E2807:E2809" si="211">"电子工业出版社"</f>
        <v>电子工业出版社</v>
      </c>
      <c r="F2807" s="7" t="str">
        <f t="shared" ref="F2807:F2809" si="212">"F740.44/56"</f>
        <v>F740.44/56</v>
      </c>
    </row>
    <row r="2808" customHeight="1" spans="1:6">
      <c r="A2808" s="6">
        <v>2807</v>
      </c>
      <c r="B2808" s="7" t="str">
        <f t="shared" si="208"/>
        <v>978-7-121-41734-4</v>
      </c>
      <c r="C2808" s="7" t="str">
        <f t="shared" si="209"/>
        <v>外贸单证实务</v>
      </c>
      <c r="D2808" s="7" t="str">
        <f t="shared" si="210"/>
        <v>徐丹丹主编</v>
      </c>
      <c r="E2808" s="7" t="str">
        <f t="shared" si="211"/>
        <v>电子工业出版社</v>
      </c>
      <c r="F2808" s="7" t="str">
        <f t="shared" si="212"/>
        <v>F740.44/56</v>
      </c>
    </row>
    <row r="2809" customHeight="1" spans="1:6">
      <c r="A2809" s="6">
        <v>2808</v>
      </c>
      <c r="B2809" s="7" t="str">
        <f t="shared" si="208"/>
        <v>978-7-121-41734-4</v>
      </c>
      <c r="C2809" s="7" t="str">
        <f t="shared" si="209"/>
        <v>外贸单证实务</v>
      </c>
      <c r="D2809" s="7" t="str">
        <f t="shared" si="210"/>
        <v>徐丹丹主编</v>
      </c>
      <c r="E2809" s="7" t="str">
        <f t="shared" si="211"/>
        <v>电子工业出版社</v>
      </c>
      <c r="F2809" s="7" t="str">
        <f t="shared" si="212"/>
        <v>F740.44/56</v>
      </c>
    </row>
    <row r="2810" customHeight="1" spans="1:6">
      <c r="A2810" s="6">
        <v>2809</v>
      </c>
      <c r="B2810" s="7" t="str">
        <f>"978-7-81140-394-7"</f>
        <v>978-7-81140-394-7</v>
      </c>
      <c r="C2810" s="7" t="str">
        <f>"国际贸易单证实验教程"</f>
        <v>国际贸易单证实验教程</v>
      </c>
      <c r="D2810" s="7" t="str">
        <f>"主编俞毅"</f>
        <v>主编俞毅</v>
      </c>
      <c r="E2810" s="7" t="str">
        <f>"浙江工商大学出版社"</f>
        <v>浙江工商大学出版社</v>
      </c>
      <c r="F2810" s="7" t="str">
        <f>"F740.44/57"</f>
        <v>F740.44/57</v>
      </c>
    </row>
    <row r="2811" customHeight="1" spans="1:6">
      <c r="A2811" s="6">
        <v>2810</v>
      </c>
      <c r="B2811" s="7" t="str">
        <f>"978-7-81140-394-7"</f>
        <v>978-7-81140-394-7</v>
      </c>
      <c r="C2811" s="7" t="str">
        <f>"国际贸易单证实验教程"</f>
        <v>国际贸易单证实验教程</v>
      </c>
      <c r="D2811" s="7" t="str">
        <f>"主编俞毅"</f>
        <v>主编俞毅</v>
      </c>
      <c r="E2811" s="7" t="str">
        <f>"浙江工商大学出版社"</f>
        <v>浙江工商大学出版社</v>
      </c>
      <c r="F2811" s="7" t="str">
        <f>"F740.44/57"</f>
        <v>F740.44/57</v>
      </c>
    </row>
    <row r="2812" customHeight="1" spans="1:6">
      <c r="A2812" s="6">
        <v>2811</v>
      </c>
      <c r="B2812" s="7" t="str">
        <f>"978-7-5642-3820-9"</f>
        <v>978-7-5642-3820-9</v>
      </c>
      <c r="C2812" s="7" t="str">
        <f>"国际贸易理论与实务"</f>
        <v>国际贸易理论与实务</v>
      </c>
      <c r="D2812" s="7" t="str">
        <f>"张炳达， 李成军编著"</f>
        <v>张炳达， 李成军编著</v>
      </c>
      <c r="E2812" s="7" t="str">
        <f>"上海财经大学出版社"</f>
        <v>上海财经大学出版社</v>
      </c>
      <c r="F2812" s="7" t="str">
        <f>"F740/126=4D"</f>
        <v>F740/126=4D</v>
      </c>
    </row>
    <row r="2813" customHeight="1" spans="1:6">
      <c r="A2813" s="6">
        <v>2812</v>
      </c>
      <c r="B2813" s="7" t="str">
        <f>"978-7-5642-3820-9"</f>
        <v>978-7-5642-3820-9</v>
      </c>
      <c r="C2813" s="7" t="str">
        <f>"国际贸易理论与实务"</f>
        <v>国际贸易理论与实务</v>
      </c>
      <c r="D2813" s="7" t="str">
        <f>"张炳达， 李成军编著"</f>
        <v>张炳达， 李成军编著</v>
      </c>
      <c r="E2813" s="7" t="str">
        <f>"上海财经大学出版社"</f>
        <v>上海财经大学出版社</v>
      </c>
      <c r="F2813" s="7" t="str">
        <f>"F740/126=4D"</f>
        <v>F740/126=4D</v>
      </c>
    </row>
    <row r="2814" customHeight="1" spans="1:6">
      <c r="A2814" s="6">
        <v>2813</v>
      </c>
      <c r="B2814" s="7" t="str">
        <f>"978-7-115-40902-7"</f>
        <v>978-7-115-40902-7</v>
      </c>
      <c r="C2814" s="7" t="str">
        <f>"国际贸易理论"</f>
        <v>国际贸易理论</v>
      </c>
      <c r="D2814" s="7" t="str">
        <f>"(美) 查尔斯·希尔著Charles W. L. Hill"</f>
        <v>(美) 查尔斯·希尔著Charles W. L. Hill</v>
      </c>
      <c r="E2814" s="7" t="str">
        <f>"人民邮电出版社"</f>
        <v>人民邮电出版社</v>
      </c>
      <c r="F2814" s="7" t="str">
        <f>"F740/204"</f>
        <v>F740/204</v>
      </c>
    </row>
    <row r="2815" customHeight="1" spans="1:6">
      <c r="A2815" s="6">
        <v>2814</v>
      </c>
      <c r="B2815" s="7" t="str">
        <f>"978-7-115-40902-7"</f>
        <v>978-7-115-40902-7</v>
      </c>
      <c r="C2815" s="7" t="str">
        <f>"国际贸易理论"</f>
        <v>国际贸易理论</v>
      </c>
      <c r="D2815" s="7" t="str">
        <f>"(美) 查尔斯·希尔著Charles W. L. Hill"</f>
        <v>(美) 查尔斯·希尔著Charles W. L. Hill</v>
      </c>
      <c r="E2815" s="7" t="str">
        <f>"人民邮电出版社"</f>
        <v>人民邮电出版社</v>
      </c>
      <c r="F2815" s="7" t="str">
        <f>"F740/204"</f>
        <v>F740/204</v>
      </c>
    </row>
    <row r="2816" customHeight="1" spans="1:6">
      <c r="A2816" s="6">
        <v>2815</v>
      </c>
      <c r="B2816" s="7" t="str">
        <f>"978-7-03-068360-1"</f>
        <v>978-7-03-068360-1</v>
      </c>
      <c r="C2816" s="7" t="str">
        <f>"国际贸易学"</f>
        <v>国际贸易学</v>
      </c>
      <c r="D2816" s="7" t="str">
        <f>"范爱军主编"</f>
        <v>范爱军主编</v>
      </c>
      <c r="E2816" s="7" t="str">
        <f>"科学出版社"</f>
        <v>科学出版社</v>
      </c>
      <c r="F2816" s="7" t="str">
        <f>"F740/205=4D"</f>
        <v>F740/205=4D</v>
      </c>
    </row>
    <row r="2817" customHeight="1" spans="1:6">
      <c r="A2817" s="6">
        <v>2816</v>
      </c>
      <c r="B2817" s="7" t="str">
        <f>"978-7-03-068360-1"</f>
        <v>978-7-03-068360-1</v>
      </c>
      <c r="C2817" s="7" t="str">
        <f>"国际贸易学"</f>
        <v>国际贸易学</v>
      </c>
      <c r="D2817" s="7" t="str">
        <f>"范爱军主编"</f>
        <v>范爱军主编</v>
      </c>
      <c r="E2817" s="7" t="str">
        <f>"科学出版社"</f>
        <v>科学出版社</v>
      </c>
      <c r="F2817" s="7" t="str">
        <f>"F740/205=4D"</f>
        <v>F740/205=4D</v>
      </c>
    </row>
    <row r="2818" customHeight="1" spans="1:6">
      <c r="A2818" s="6">
        <v>2817</v>
      </c>
      <c r="B2818" s="7" t="str">
        <f>"978-7-5432-2073-7"</f>
        <v>978-7-5432-2073-7</v>
      </c>
      <c r="C2818" s="7" t="str">
        <f>"国际贸易"</f>
        <v>国际贸易</v>
      </c>
      <c r="D2818" s="7" t="str">
        <f>"海闻， P.林德特， 王新奎著"</f>
        <v>海闻， P.林德特， 王新奎著</v>
      </c>
      <c r="E2818" s="7" t="str">
        <f>"格致出版社"</f>
        <v>格致出版社</v>
      </c>
      <c r="F2818" s="7" t="str">
        <f>"F740/206"</f>
        <v>F740/206</v>
      </c>
    </row>
    <row r="2819" customHeight="1" spans="1:6">
      <c r="A2819" s="6">
        <v>2818</v>
      </c>
      <c r="B2819" s="7" t="str">
        <f>"978-7-5432-2073-7"</f>
        <v>978-7-5432-2073-7</v>
      </c>
      <c r="C2819" s="7" t="str">
        <f>"国际贸易"</f>
        <v>国际贸易</v>
      </c>
      <c r="D2819" s="7" t="str">
        <f>"海闻， P.林德特， 王新奎著"</f>
        <v>海闻， P.林德特， 王新奎著</v>
      </c>
      <c r="E2819" s="7" t="str">
        <f>"格致出版社"</f>
        <v>格致出版社</v>
      </c>
      <c r="F2819" s="7" t="str">
        <f>"F740/206"</f>
        <v>F740/206</v>
      </c>
    </row>
    <row r="2820" customHeight="1" spans="1:6">
      <c r="A2820" s="6">
        <v>2819</v>
      </c>
      <c r="B2820" s="7" t="str">
        <f t="shared" ref="B2820:B2822" si="213">"978-7-5504-4694-6"</f>
        <v>978-7-5504-4694-6</v>
      </c>
      <c r="C2820" s="7" t="str">
        <f t="shared" ref="C2820:C2822" si="214">"国际贸易：理论与政策：双语：theory and policy：bilingual"</f>
        <v>国际贸易：理论与政策：双语：theory and policy：bilingual</v>
      </c>
      <c r="D2820" s="7" t="str">
        <f t="shared" ref="D2820:D2822" si="215">"主编李大鹏， 刘晓远， 黄翔"</f>
        <v>主编李大鹏， 刘晓远， 黄翔</v>
      </c>
      <c r="E2820" s="7" t="str">
        <f t="shared" ref="E2820:E2822" si="216">"西南财经大学出版社"</f>
        <v>西南财经大学出版社</v>
      </c>
      <c r="F2820" s="7" t="str">
        <f t="shared" ref="F2820:F2822" si="217">"F740/207"</f>
        <v>F740/207</v>
      </c>
    </row>
    <row r="2821" customHeight="1" spans="1:6">
      <c r="A2821" s="6">
        <v>2820</v>
      </c>
      <c r="B2821" s="7" t="str">
        <f t="shared" si="213"/>
        <v>978-7-5504-4694-6</v>
      </c>
      <c r="C2821" s="7" t="str">
        <f t="shared" si="214"/>
        <v>国际贸易：理论与政策：双语：theory and policy：bilingual</v>
      </c>
      <c r="D2821" s="7" t="str">
        <f t="shared" si="215"/>
        <v>主编李大鹏， 刘晓远， 黄翔</v>
      </c>
      <c r="E2821" s="7" t="str">
        <f t="shared" si="216"/>
        <v>西南财经大学出版社</v>
      </c>
      <c r="F2821" s="7" t="str">
        <f t="shared" si="217"/>
        <v>F740/207</v>
      </c>
    </row>
    <row r="2822" customHeight="1" spans="1:6">
      <c r="A2822" s="6">
        <v>2821</v>
      </c>
      <c r="B2822" s="7" t="str">
        <f t="shared" si="213"/>
        <v>978-7-5504-4694-6</v>
      </c>
      <c r="C2822" s="7" t="str">
        <f t="shared" si="214"/>
        <v>国际贸易：理论与政策：双语：theory and policy：bilingual</v>
      </c>
      <c r="D2822" s="7" t="str">
        <f t="shared" si="215"/>
        <v>主编李大鹏， 刘晓远， 黄翔</v>
      </c>
      <c r="E2822" s="7" t="str">
        <f t="shared" si="216"/>
        <v>西南财经大学出版社</v>
      </c>
      <c r="F2822" s="7" t="str">
        <f t="shared" si="217"/>
        <v>F740/207</v>
      </c>
    </row>
    <row r="2823" customHeight="1" spans="1:6">
      <c r="A2823" s="6">
        <v>2822</v>
      </c>
      <c r="B2823" s="8" t="s">
        <v>6143</v>
      </c>
      <c r="C2823" s="8" t="s">
        <v>6144</v>
      </c>
      <c r="D2823" s="8" t="s">
        <v>6145</v>
      </c>
      <c r="E2823" s="8" t="s">
        <v>311</v>
      </c>
      <c r="F2823" s="8" t="s">
        <v>6146</v>
      </c>
    </row>
    <row r="2824" customHeight="1" spans="1:6">
      <c r="A2824" s="6">
        <v>2823</v>
      </c>
      <c r="B2824" s="8" t="s">
        <v>6143</v>
      </c>
      <c r="C2824" s="8" t="s">
        <v>6144</v>
      </c>
      <c r="D2824" s="8" t="s">
        <v>6145</v>
      </c>
      <c r="E2824" s="8" t="s">
        <v>311</v>
      </c>
      <c r="F2824" s="8" t="s">
        <v>6146</v>
      </c>
    </row>
    <row r="2825" customHeight="1" spans="1:6">
      <c r="A2825" s="6">
        <v>2824</v>
      </c>
      <c r="B2825" s="8" t="s">
        <v>6143</v>
      </c>
      <c r="C2825" s="8" t="s">
        <v>6144</v>
      </c>
      <c r="D2825" s="8" t="s">
        <v>6145</v>
      </c>
      <c r="E2825" s="8" t="s">
        <v>311</v>
      </c>
      <c r="F2825" s="8" t="s">
        <v>6146</v>
      </c>
    </row>
    <row r="2826" customHeight="1" spans="1:6">
      <c r="A2826" s="6">
        <v>2825</v>
      </c>
      <c r="B2826" s="8" t="s">
        <v>6147</v>
      </c>
      <c r="C2826" s="8" t="s">
        <v>6148</v>
      </c>
      <c r="D2826" s="8" t="s">
        <v>6149</v>
      </c>
      <c r="E2826" s="8" t="s">
        <v>589</v>
      </c>
      <c r="F2826" s="8" t="s">
        <v>6150</v>
      </c>
    </row>
    <row r="2827" customHeight="1" spans="1:6">
      <c r="A2827" s="6">
        <v>2826</v>
      </c>
      <c r="B2827" s="8" t="s">
        <v>6147</v>
      </c>
      <c r="C2827" s="8" t="s">
        <v>6148</v>
      </c>
      <c r="D2827" s="8" t="s">
        <v>6149</v>
      </c>
      <c r="E2827" s="8" t="s">
        <v>589</v>
      </c>
      <c r="F2827" s="8" t="s">
        <v>6150</v>
      </c>
    </row>
    <row r="2828" customHeight="1" spans="1:6">
      <c r="A2828" s="6">
        <v>2827</v>
      </c>
      <c r="B2828" s="8" t="s">
        <v>6147</v>
      </c>
      <c r="C2828" s="8" t="s">
        <v>6148</v>
      </c>
      <c r="D2828" s="8" t="s">
        <v>6149</v>
      </c>
      <c r="E2828" s="8" t="s">
        <v>589</v>
      </c>
      <c r="F2828" s="8" t="s">
        <v>6150</v>
      </c>
    </row>
    <row r="2829" customHeight="1" spans="1:6">
      <c r="A2829" s="6">
        <v>2828</v>
      </c>
      <c r="B2829" s="8" t="s">
        <v>6151</v>
      </c>
      <c r="C2829" s="8" t="s">
        <v>6152</v>
      </c>
      <c r="D2829" s="8" t="s">
        <v>6153</v>
      </c>
      <c r="E2829" s="8" t="s">
        <v>1189</v>
      </c>
      <c r="F2829" s="8" t="s">
        <v>6154</v>
      </c>
    </row>
    <row r="2830" customHeight="1" spans="1:6">
      <c r="A2830" s="6">
        <v>2829</v>
      </c>
      <c r="B2830" s="8" t="s">
        <v>6151</v>
      </c>
      <c r="C2830" s="8" t="s">
        <v>6152</v>
      </c>
      <c r="D2830" s="8" t="s">
        <v>6153</v>
      </c>
      <c r="E2830" s="8" t="s">
        <v>1189</v>
      </c>
      <c r="F2830" s="8" t="s">
        <v>6154</v>
      </c>
    </row>
    <row r="2831" customHeight="1" spans="1:6">
      <c r="A2831" s="6">
        <v>2830</v>
      </c>
      <c r="B2831" s="8" t="s">
        <v>6151</v>
      </c>
      <c r="C2831" s="8" t="s">
        <v>6152</v>
      </c>
      <c r="D2831" s="8" t="s">
        <v>6153</v>
      </c>
      <c r="E2831" s="8" t="s">
        <v>1189</v>
      </c>
      <c r="F2831" s="8" t="s">
        <v>6154</v>
      </c>
    </row>
    <row r="2832" customHeight="1" spans="1:6">
      <c r="A2832" s="6">
        <v>2831</v>
      </c>
      <c r="B2832" s="8" t="s">
        <v>6155</v>
      </c>
      <c r="C2832" s="8" t="s">
        <v>6156</v>
      </c>
      <c r="D2832" s="8" t="s">
        <v>6157</v>
      </c>
      <c r="E2832" s="8" t="s">
        <v>1189</v>
      </c>
      <c r="F2832" s="8" t="s">
        <v>6158</v>
      </c>
    </row>
    <row r="2833" customHeight="1" spans="1:6">
      <c r="A2833" s="6">
        <v>2832</v>
      </c>
      <c r="B2833" s="8" t="s">
        <v>6155</v>
      </c>
      <c r="C2833" s="8" t="s">
        <v>6156</v>
      </c>
      <c r="D2833" s="8" t="s">
        <v>6157</v>
      </c>
      <c r="E2833" s="8" t="s">
        <v>1189</v>
      </c>
      <c r="F2833" s="8" t="s">
        <v>6158</v>
      </c>
    </row>
    <row r="2834" customHeight="1" spans="1:6">
      <c r="A2834" s="6">
        <v>2833</v>
      </c>
      <c r="B2834" s="8" t="s">
        <v>6155</v>
      </c>
      <c r="C2834" s="8" t="s">
        <v>6156</v>
      </c>
      <c r="D2834" s="8" t="s">
        <v>6157</v>
      </c>
      <c r="E2834" s="8" t="s">
        <v>1189</v>
      </c>
      <c r="F2834" s="8" t="s">
        <v>6158</v>
      </c>
    </row>
    <row r="2835" customHeight="1" spans="1:6">
      <c r="A2835" s="6">
        <v>2834</v>
      </c>
      <c r="B2835" s="8" t="s">
        <v>6159</v>
      </c>
      <c r="C2835" s="8" t="s">
        <v>6160</v>
      </c>
      <c r="D2835" s="8" t="s">
        <v>6161</v>
      </c>
      <c r="E2835" s="8" t="s">
        <v>5152</v>
      </c>
      <c r="F2835" s="8" t="s">
        <v>6162</v>
      </c>
    </row>
    <row r="2836" customHeight="1" spans="1:6">
      <c r="A2836" s="6">
        <v>2835</v>
      </c>
      <c r="B2836" s="8" t="s">
        <v>6159</v>
      </c>
      <c r="C2836" s="8" t="s">
        <v>6160</v>
      </c>
      <c r="D2836" s="8" t="s">
        <v>6161</v>
      </c>
      <c r="E2836" s="8" t="s">
        <v>5152</v>
      </c>
      <c r="F2836" s="8" t="s">
        <v>6162</v>
      </c>
    </row>
    <row r="2837" customHeight="1" spans="1:6">
      <c r="A2837" s="6">
        <v>2836</v>
      </c>
      <c r="B2837" s="8" t="s">
        <v>6159</v>
      </c>
      <c r="C2837" s="8" t="s">
        <v>6160</v>
      </c>
      <c r="D2837" s="8" t="s">
        <v>6161</v>
      </c>
      <c r="E2837" s="8" t="s">
        <v>5152</v>
      </c>
      <c r="F2837" s="8" t="s">
        <v>6162</v>
      </c>
    </row>
    <row r="2838" customHeight="1" spans="1:6">
      <c r="A2838" s="6">
        <v>2837</v>
      </c>
      <c r="B2838" s="7" t="str">
        <f>"978-7-300-20832-9"</f>
        <v>978-7-300-20832-9</v>
      </c>
      <c r="C2838" s="7" t="str">
        <f>"国际贸易教程"</f>
        <v>国际贸易教程</v>
      </c>
      <c r="D2838" s="7" t="str">
        <f>"高成兴， 黄卫平， 韩玉军编著"</f>
        <v>高成兴， 黄卫平， 韩玉军编著</v>
      </c>
      <c r="E2838" s="7" t="str">
        <f>"中国人民大学出版社"</f>
        <v>中国人民大学出版社</v>
      </c>
      <c r="F2838" s="7" t="str">
        <f>"F740/26=5D"</f>
        <v>F740/26=5D</v>
      </c>
    </row>
    <row r="2839" customHeight="1" spans="1:6">
      <c r="A2839" s="6">
        <v>2838</v>
      </c>
      <c r="B2839" s="7" t="str">
        <f>"978-7-300-20832-9"</f>
        <v>978-7-300-20832-9</v>
      </c>
      <c r="C2839" s="7" t="str">
        <f>"国际贸易教程"</f>
        <v>国际贸易教程</v>
      </c>
      <c r="D2839" s="7" t="str">
        <f>"高成兴， 黄卫平， 韩玉军编著"</f>
        <v>高成兴， 黄卫平， 韩玉军编著</v>
      </c>
      <c r="E2839" s="7" t="str">
        <f>"中国人民大学出版社"</f>
        <v>中国人民大学出版社</v>
      </c>
      <c r="F2839" s="7" t="str">
        <f>"F740/26=5D"</f>
        <v>F740/26=5D</v>
      </c>
    </row>
    <row r="2840" customHeight="1" spans="1:6">
      <c r="A2840" s="6">
        <v>2839</v>
      </c>
      <c r="B2840" s="7" t="str">
        <f>"978-7-313-25033-9"</f>
        <v>978-7-313-25033-9</v>
      </c>
      <c r="C2840" s="7" t="str">
        <f>"推动“一带一路”沿线国家贸易投资自由化便利化研究"</f>
        <v>推动“一带一路”沿线国家贸易投资自由化便利化研究</v>
      </c>
      <c r="D2840" s="7" t="str">
        <f>"沈桂龙等著"</f>
        <v>沈桂龙等著</v>
      </c>
      <c r="E2840" s="7" t="str">
        <f>"上海交通大学出版社"</f>
        <v>上海交通大学出版社</v>
      </c>
      <c r="F2840" s="7" t="str">
        <f>"F741.2/18"</f>
        <v>F741.2/18</v>
      </c>
    </row>
    <row r="2841" customHeight="1" spans="1:6">
      <c r="A2841" s="6">
        <v>2840</v>
      </c>
      <c r="B2841" s="7" t="str">
        <f>"978-7-313-25033-9"</f>
        <v>978-7-313-25033-9</v>
      </c>
      <c r="C2841" s="7" t="str">
        <f>"推动“一带一路”沿线国家贸易投资自由化便利化研究"</f>
        <v>推动“一带一路”沿线国家贸易投资自由化便利化研究</v>
      </c>
      <c r="D2841" s="7" t="str">
        <f>"沈桂龙等著"</f>
        <v>沈桂龙等著</v>
      </c>
      <c r="E2841" s="7" t="str">
        <f>"上海交通大学出版社"</f>
        <v>上海交通大学出版社</v>
      </c>
      <c r="F2841" s="7" t="str">
        <f>"F741.2/18"</f>
        <v>F741.2/18</v>
      </c>
    </row>
    <row r="2842" customHeight="1" spans="1:6">
      <c r="A2842" s="6">
        <v>2841</v>
      </c>
      <c r="B2842" s="7" t="str">
        <f>"978-7-5638-2970-5"</f>
        <v>978-7-5638-2970-5</v>
      </c>
      <c r="C2842" s="7" t="str">
        <f>"世界贸易组织概论"</f>
        <v>世界贸易组织概论</v>
      </c>
      <c r="D2842" s="7" t="str">
        <f>"刘军， 屠新泉， 杨凤鸣主编"</f>
        <v>刘军， 屠新泉， 杨凤鸣主编</v>
      </c>
      <c r="E2842" s="7" t="str">
        <f>"首都经济贸易大学出版社"</f>
        <v>首都经济贸易大学出版社</v>
      </c>
      <c r="F2842" s="7" t="str">
        <f>"F743.1/8=5D"</f>
        <v>F743.1/8=5D</v>
      </c>
    </row>
    <row r="2843" customHeight="1" spans="1:6">
      <c r="A2843" s="6">
        <v>2842</v>
      </c>
      <c r="B2843" s="7" t="str">
        <f>"978-7-5638-2970-5"</f>
        <v>978-7-5638-2970-5</v>
      </c>
      <c r="C2843" s="7" t="str">
        <f>"世界贸易组织概论"</f>
        <v>世界贸易组织概论</v>
      </c>
      <c r="D2843" s="7" t="str">
        <f>"刘军， 屠新泉， 杨凤鸣主编"</f>
        <v>刘军， 屠新泉， 杨凤鸣主编</v>
      </c>
      <c r="E2843" s="7" t="str">
        <f>"首都经济贸易大学出版社"</f>
        <v>首都经济贸易大学出版社</v>
      </c>
      <c r="F2843" s="7" t="str">
        <f>"F743.1/8=5D"</f>
        <v>F743.1/8=5D</v>
      </c>
    </row>
    <row r="2844" customHeight="1" spans="1:6">
      <c r="A2844" s="6">
        <v>2843</v>
      </c>
      <c r="B2844" s="8" t="s">
        <v>6163</v>
      </c>
      <c r="C2844" s="8" t="s">
        <v>6164</v>
      </c>
      <c r="D2844" s="8" t="s">
        <v>6165</v>
      </c>
      <c r="E2844" s="8" t="s">
        <v>43</v>
      </c>
      <c r="F2844" s="8" t="s">
        <v>6166</v>
      </c>
    </row>
    <row r="2845" customHeight="1" spans="1:6">
      <c r="A2845" s="6">
        <v>2844</v>
      </c>
      <c r="B2845" s="8" t="s">
        <v>6163</v>
      </c>
      <c r="C2845" s="8" t="s">
        <v>6164</v>
      </c>
      <c r="D2845" s="8" t="s">
        <v>6165</v>
      </c>
      <c r="E2845" s="8" t="s">
        <v>43</v>
      </c>
      <c r="F2845" s="8" t="s">
        <v>6166</v>
      </c>
    </row>
    <row r="2846" customHeight="1" spans="1:6">
      <c r="A2846" s="6">
        <v>2845</v>
      </c>
      <c r="B2846" s="8" t="s">
        <v>6163</v>
      </c>
      <c r="C2846" s="8" t="s">
        <v>6164</v>
      </c>
      <c r="D2846" s="8" t="s">
        <v>6165</v>
      </c>
      <c r="E2846" s="8" t="s">
        <v>43</v>
      </c>
      <c r="F2846" s="8" t="s">
        <v>6166</v>
      </c>
    </row>
    <row r="2847" customHeight="1" spans="1:6">
      <c r="A2847" s="6">
        <v>2846</v>
      </c>
      <c r="B2847" s="7" t="str">
        <f>"978-7-5642-3751-6"</f>
        <v>978-7-5642-3751-6</v>
      </c>
      <c r="C2847" s="7" t="str">
        <f>"WTO补贴规则与我国产业补贴政策的变革"</f>
        <v>WTO补贴规则与我国产业补贴政策的变革</v>
      </c>
      <c r="D2847" s="7" t="str">
        <f>"张军旗著"</f>
        <v>张军旗著</v>
      </c>
      <c r="E2847" s="7" t="str">
        <f>"上海财经大学出版社"</f>
        <v>上海财经大学出版社</v>
      </c>
      <c r="F2847" s="7" t="str">
        <f>"F744/35"</f>
        <v>F744/35</v>
      </c>
    </row>
    <row r="2848" customHeight="1" spans="1:6">
      <c r="A2848" s="6">
        <v>2847</v>
      </c>
      <c r="B2848" s="7" t="str">
        <f>"978-7-5642-3751-6"</f>
        <v>978-7-5642-3751-6</v>
      </c>
      <c r="C2848" s="7" t="str">
        <f>"WTO补贴规则与我国产业补贴政策的变革"</f>
        <v>WTO补贴规则与我国产业补贴政策的变革</v>
      </c>
      <c r="D2848" s="7" t="str">
        <f>"张军旗著"</f>
        <v>张军旗著</v>
      </c>
      <c r="E2848" s="7" t="str">
        <f>"上海财经大学出版社"</f>
        <v>上海财经大学出版社</v>
      </c>
      <c r="F2848" s="7" t="str">
        <f>"F744/35"</f>
        <v>F744/35</v>
      </c>
    </row>
    <row r="2849" customHeight="1" spans="1:6">
      <c r="A2849" s="6">
        <v>2848</v>
      </c>
      <c r="B2849" s="8" t="s">
        <v>6167</v>
      </c>
      <c r="C2849" s="8" t="s">
        <v>6168</v>
      </c>
      <c r="D2849" s="8" t="s">
        <v>6169</v>
      </c>
      <c r="E2849" s="8" t="s">
        <v>530</v>
      </c>
      <c r="F2849" s="8" t="s">
        <v>6170</v>
      </c>
    </row>
    <row r="2850" customHeight="1" spans="1:6">
      <c r="A2850" s="6">
        <v>2849</v>
      </c>
      <c r="B2850" s="8" t="s">
        <v>6167</v>
      </c>
      <c r="C2850" s="8" t="s">
        <v>6168</v>
      </c>
      <c r="D2850" s="8" t="s">
        <v>6169</v>
      </c>
      <c r="E2850" s="8" t="s">
        <v>530</v>
      </c>
      <c r="F2850" s="8" t="s">
        <v>6170</v>
      </c>
    </row>
    <row r="2851" customHeight="1" spans="1:6">
      <c r="A2851" s="6">
        <v>2850</v>
      </c>
      <c r="B2851" s="8" t="s">
        <v>6167</v>
      </c>
      <c r="C2851" s="8" t="s">
        <v>6168</v>
      </c>
      <c r="D2851" s="8" t="s">
        <v>6169</v>
      </c>
      <c r="E2851" s="8" t="s">
        <v>530</v>
      </c>
      <c r="F2851" s="8" t="s">
        <v>6170</v>
      </c>
    </row>
    <row r="2852" customHeight="1" spans="1:6">
      <c r="A2852" s="6">
        <v>2851</v>
      </c>
      <c r="B2852" s="8" t="s">
        <v>6171</v>
      </c>
      <c r="C2852" s="8" t="s">
        <v>6172</v>
      </c>
      <c r="D2852" s="8" t="s">
        <v>6173</v>
      </c>
      <c r="E2852" s="8" t="s">
        <v>2566</v>
      </c>
      <c r="F2852" s="8" t="s">
        <v>6174</v>
      </c>
    </row>
    <row r="2853" customHeight="1" spans="1:6">
      <c r="A2853" s="6">
        <v>2852</v>
      </c>
      <c r="B2853" s="8" t="s">
        <v>6171</v>
      </c>
      <c r="C2853" s="8" t="s">
        <v>6172</v>
      </c>
      <c r="D2853" s="8" t="s">
        <v>6173</v>
      </c>
      <c r="E2853" s="8" t="s">
        <v>2566</v>
      </c>
      <c r="F2853" s="8" t="s">
        <v>6174</v>
      </c>
    </row>
    <row r="2854" customHeight="1" spans="1:6">
      <c r="A2854" s="6">
        <v>2853</v>
      </c>
      <c r="B2854" s="8" t="s">
        <v>6171</v>
      </c>
      <c r="C2854" s="8" t="s">
        <v>6172</v>
      </c>
      <c r="D2854" s="8" t="s">
        <v>6173</v>
      </c>
      <c r="E2854" s="8" t="s">
        <v>2566</v>
      </c>
      <c r="F2854" s="8" t="s">
        <v>6174</v>
      </c>
    </row>
    <row r="2855" customHeight="1" spans="1:6">
      <c r="A2855" s="6">
        <v>2854</v>
      </c>
      <c r="B2855" s="7" t="str">
        <f>"978-7-5642-3868-1"</f>
        <v>978-7-5642-3868-1</v>
      </c>
      <c r="C2855" s="7" t="str">
        <f>"自由贸易思想史"</f>
        <v>自由贸易思想史</v>
      </c>
      <c r="D2855" s="7" t="str">
        <f>"(美) 道格拉斯·A. 欧文著；梅俊杰译"</f>
        <v>(美) 道格拉斯·A. 欧文著；梅俊杰译</v>
      </c>
      <c r="E2855" s="7" t="str">
        <f>"上海财经大学出版社"</f>
        <v>上海财经大学出版社</v>
      </c>
      <c r="F2855" s="7" t="str">
        <f>"F749/8"</f>
        <v>F749/8</v>
      </c>
    </row>
    <row r="2856" customHeight="1" spans="1:6">
      <c r="A2856" s="6">
        <v>2855</v>
      </c>
      <c r="B2856" s="7" t="str">
        <f>"978-7-5642-3868-1"</f>
        <v>978-7-5642-3868-1</v>
      </c>
      <c r="C2856" s="7" t="str">
        <f>"自由贸易思想史"</f>
        <v>自由贸易思想史</v>
      </c>
      <c r="D2856" s="7" t="str">
        <f>"(美) 道格拉斯·A. 欧文著；梅俊杰译"</f>
        <v>(美) 道格拉斯·A. 欧文著；梅俊杰译</v>
      </c>
      <c r="E2856" s="7" t="str">
        <f>"上海财经大学出版社"</f>
        <v>上海财经大学出版社</v>
      </c>
      <c r="F2856" s="7" t="str">
        <f>"F749/8"</f>
        <v>F749/8</v>
      </c>
    </row>
    <row r="2857" customHeight="1" spans="1:6">
      <c r="A2857" s="6">
        <v>2856</v>
      </c>
      <c r="B2857" s="8" t="s">
        <v>6175</v>
      </c>
      <c r="C2857" s="8" t="s">
        <v>6176</v>
      </c>
      <c r="D2857" s="8" t="s">
        <v>6177</v>
      </c>
      <c r="E2857" s="8" t="s">
        <v>150</v>
      </c>
      <c r="F2857" s="8" t="s">
        <v>6178</v>
      </c>
    </row>
    <row r="2858" customHeight="1" spans="1:6">
      <c r="A2858" s="6">
        <v>2857</v>
      </c>
      <c r="B2858" s="8" t="s">
        <v>6175</v>
      </c>
      <c r="C2858" s="8" t="s">
        <v>6176</v>
      </c>
      <c r="D2858" s="8" t="s">
        <v>6177</v>
      </c>
      <c r="E2858" s="8" t="s">
        <v>150</v>
      </c>
      <c r="F2858" s="8" t="s">
        <v>6178</v>
      </c>
    </row>
    <row r="2859" customHeight="1" spans="1:6">
      <c r="A2859" s="6">
        <v>2858</v>
      </c>
      <c r="B2859" s="8" t="s">
        <v>6179</v>
      </c>
      <c r="C2859" s="8" t="s">
        <v>6180</v>
      </c>
      <c r="D2859" s="8" t="s">
        <v>6181</v>
      </c>
      <c r="E2859" s="8" t="s">
        <v>1189</v>
      </c>
      <c r="F2859" s="8" t="s">
        <v>6182</v>
      </c>
    </row>
    <row r="2860" customHeight="1" spans="1:6">
      <c r="A2860" s="6">
        <v>2859</v>
      </c>
      <c r="B2860" s="8" t="s">
        <v>6179</v>
      </c>
      <c r="C2860" s="8" t="s">
        <v>6180</v>
      </c>
      <c r="D2860" s="8" t="s">
        <v>6181</v>
      </c>
      <c r="E2860" s="8" t="s">
        <v>1189</v>
      </c>
      <c r="F2860" s="8" t="s">
        <v>6182</v>
      </c>
    </row>
    <row r="2861" customHeight="1" spans="1:6">
      <c r="A2861" s="6">
        <v>2860</v>
      </c>
      <c r="B2861" s="8" t="s">
        <v>6179</v>
      </c>
      <c r="C2861" s="8" t="s">
        <v>6180</v>
      </c>
      <c r="D2861" s="8" t="s">
        <v>6181</v>
      </c>
      <c r="E2861" s="8" t="s">
        <v>1189</v>
      </c>
      <c r="F2861" s="8" t="s">
        <v>6182</v>
      </c>
    </row>
    <row r="2862" customHeight="1" spans="1:6">
      <c r="A2862" s="6">
        <v>2861</v>
      </c>
      <c r="B2862" s="8" t="s">
        <v>6183</v>
      </c>
      <c r="C2862" s="8" t="s">
        <v>6184</v>
      </c>
      <c r="D2862" s="8" t="s">
        <v>6185</v>
      </c>
      <c r="E2862" s="8" t="s">
        <v>2358</v>
      </c>
      <c r="F2862" s="8" t="s">
        <v>6186</v>
      </c>
    </row>
    <row r="2863" customHeight="1" spans="1:6">
      <c r="A2863" s="6">
        <v>2862</v>
      </c>
      <c r="B2863" s="8" t="s">
        <v>6183</v>
      </c>
      <c r="C2863" s="8" t="s">
        <v>6184</v>
      </c>
      <c r="D2863" s="8" t="s">
        <v>6185</v>
      </c>
      <c r="E2863" s="8" t="s">
        <v>2358</v>
      </c>
      <c r="F2863" s="8" t="s">
        <v>6186</v>
      </c>
    </row>
    <row r="2864" customHeight="1" spans="1:6">
      <c r="A2864" s="6">
        <v>2863</v>
      </c>
      <c r="B2864" s="8" t="s">
        <v>6183</v>
      </c>
      <c r="C2864" s="8" t="s">
        <v>6184</v>
      </c>
      <c r="D2864" s="8" t="s">
        <v>6185</v>
      </c>
      <c r="E2864" s="8" t="s">
        <v>2358</v>
      </c>
      <c r="F2864" s="8" t="s">
        <v>6186</v>
      </c>
    </row>
    <row r="2865" customHeight="1" spans="1:6">
      <c r="A2865" s="6">
        <v>2864</v>
      </c>
      <c r="B2865" s="8" t="s">
        <v>6187</v>
      </c>
      <c r="C2865" s="8" t="s">
        <v>6188</v>
      </c>
      <c r="D2865" s="8" t="s">
        <v>6189</v>
      </c>
      <c r="E2865" s="8" t="s">
        <v>239</v>
      </c>
      <c r="F2865" s="8" t="s">
        <v>6190</v>
      </c>
    </row>
    <row r="2866" customHeight="1" spans="1:6">
      <c r="A2866" s="6">
        <v>2865</v>
      </c>
      <c r="B2866" s="8" t="s">
        <v>6187</v>
      </c>
      <c r="C2866" s="8" t="s">
        <v>6188</v>
      </c>
      <c r="D2866" s="8" t="s">
        <v>6189</v>
      </c>
      <c r="E2866" s="8" t="s">
        <v>239</v>
      </c>
      <c r="F2866" s="8" t="s">
        <v>6190</v>
      </c>
    </row>
    <row r="2867" customHeight="1" spans="1:6">
      <c r="A2867" s="6">
        <v>2866</v>
      </c>
      <c r="B2867" s="8" t="s">
        <v>6187</v>
      </c>
      <c r="C2867" s="8" t="s">
        <v>6188</v>
      </c>
      <c r="D2867" s="8" t="s">
        <v>6189</v>
      </c>
      <c r="E2867" s="8" t="s">
        <v>239</v>
      </c>
      <c r="F2867" s="8" t="s">
        <v>6190</v>
      </c>
    </row>
    <row r="2868" customHeight="1" spans="1:6">
      <c r="A2868" s="6">
        <v>2867</v>
      </c>
      <c r="B2868" s="8" t="s">
        <v>6191</v>
      </c>
      <c r="C2868" s="8" t="s">
        <v>6192</v>
      </c>
      <c r="D2868" s="8" t="s">
        <v>6193</v>
      </c>
      <c r="E2868" s="8" t="s">
        <v>530</v>
      </c>
      <c r="F2868" s="8" t="s">
        <v>6194</v>
      </c>
    </row>
    <row r="2869" customHeight="1" spans="1:6">
      <c r="A2869" s="6">
        <v>2868</v>
      </c>
      <c r="B2869" s="8" t="s">
        <v>6191</v>
      </c>
      <c r="C2869" s="8" t="s">
        <v>6192</v>
      </c>
      <c r="D2869" s="8" t="s">
        <v>6193</v>
      </c>
      <c r="E2869" s="8" t="s">
        <v>530</v>
      </c>
      <c r="F2869" s="8" t="s">
        <v>6194</v>
      </c>
    </row>
    <row r="2870" customHeight="1" spans="1:6">
      <c r="A2870" s="6">
        <v>2869</v>
      </c>
      <c r="B2870" s="8" t="s">
        <v>6191</v>
      </c>
      <c r="C2870" s="8" t="s">
        <v>6192</v>
      </c>
      <c r="D2870" s="8" t="s">
        <v>6193</v>
      </c>
      <c r="E2870" s="8" t="s">
        <v>530</v>
      </c>
      <c r="F2870" s="8" t="s">
        <v>6194</v>
      </c>
    </row>
    <row r="2871" customHeight="1" spans="1:6">
      <c r="A2871" s="6">
        <v>2870</v>
      </c>
      <c r="B2871" s="7" t="str">
        <f>"978-7-121-41884-6"</f>
        <v>978-7-121-41884-6</v>
      </c>
      <c r="C2871" s="7" t="str">
        <f>"报关实务"</f>
        <v>报关实务</v>
      </c>
      <c r="D2871" s="7" t="str">
        <f>"张克夫， 隋东旭主编"</f>
        <v>张克夫， 隋东旭主编</v>
      </c>
      <c r="E2871" s="7" t="str">
        <f>"电子工业出版社"</f>
        <v>电子工业出版社</v>
      </c>
      <c r="F2871" s="7" t="str">
        <f>"F752.5/99"</f>
        <v>F752.5/99</v>
      </c>
    </row>
    <row r="2872" customHeight="1" spans="1:6">
      <c r="A2872" s="6">
        <v>2871</v>
      </c>
      <c r="B2872" s="7" t="str">
        <f>"978-7-121-41884-6"</f>
        <v>978-7-121-41884-6</v>
      </c>
      <c r="C2872" s="7" t="str">
        <f>"报关实务"</f>
        <v>报关实务</v>
      </c>
      <c r="D2872" s="7" t="str">
        <f>"张克夫， 隋东旭主编"</f>
        <v>张克夫， 隋东旭主编</v>
      </c>
      <c r="E2872" s="7" t="str">
        <f>"电子工业出版社"</f>
        <v>电子工业出版社</v>
      </c>
      <c r="F2872" s="7" t="str">
        <f>"F752.5/99"</f>
        <v>F752.5/99</v>
      </c>
    </row>
    <row r="2873" customHeight="1" spans="1:6">
      <c r="A2873" s="6">
        <v>2872</v>
      </c>
      <c r="B2873" s="7" t="str">
        <f>"978-7-109-28621-4"</f>
        <v>978-7-109-28621-4</v>
      </c>
      <c r="C2873" s="7" t="str">
        <f>"农业贸易百问"</f>
        <v>农业贸易百问</v>
      </c>
      <c r="D2873" s="7" t="str">
        <f>"农业农村部农业贸易促进中心编"</f>
        <v>农业农村部农业贸易促进中心编</v>
      </c>
      <c r="E2873" s="7" t="str">
        <f>"中国农业出版社"</f>
        <v>中国农业出版社</v>
      </c>
      <c r="F2873" s="7" t="str">
        <f>"F752.652/15"</f>
        <v>F752.652/15</v>
      </c>
    </row>
    <row r="2874" customHeight="1" spans="1:6">
      <c r="A2874" s="6">
        <v>2873</v>
      </c>
      <c r="B2874" s="7" t="str">
        <f>"978-7-109-28621-4"</f>
        <v>978-7-109-28621-4</v>
      </c>
      <c r="C2874" s="7" t="str">
        <f>"农业贸易百问"</f>
        <v>农业贸易百问</v>
      </c>
      <c r="D2874" s="7" t="str">
        <f>"农业农村部农业贸易促进中心编"</f>
        <v>农业农村部农业贸易促进中心编</v>
      </c>
      <c r="E2874" s="7" t="str">
        <f>"中国农业出版社"</f>
        <v>中国农业出版社</v>
      </c>
      <c r="F2874" s="7" t="str">
        <f>"F752.652/15"</f>
        <v>F752.652/15</v>
      </c>
    </row>
    <row r="2875" customHeight="1" spans="1:6">
      <c r="A2875" s="6">
        <v>2874</v>
      </c>
      <c r="B2875" s="8" t="s">
        <v>6195</v>
      </c>
      <c r="C2875" s="8" t="s">
        <v>6196</v>
      </c>
      <c r="D2875" s="8" t="s">
        <v>6197</v>
      </c>
      <c r="E2875" s="8" t="s">
        <v>283</v>
      </c>
      <c r="F2875" s="8" t="s">
        <v>6198</v>
      </c>
    </row>
    <row r="2876" customHeight="1" spans="1:6">
      <c r="A2876" s="6">
        <v>2875</v>
      </c>
      <c r="B2876" s="8" t="s">
        <v>6195</v>
      </c>
      <c r="C2876" s="8" t="s">
        <v>6196</v>
      </c>
      <c r="D2876" s="8" t="s">
        <v>6197</v>
      </c>
      <c r="E2876" s="8" t="s">
        <v>283</v>
      </c>
      <c r="F2876" s="8" t="s">
        <v>6198</v>
      </c>
    </row>
    <row r="2877" customHeight="1" spans="1:6">
      <c r="A2877" s="6">
        <v>2876</v>
      </c>
      <c r="B2877" s="7" t="str">
        <f>"978-7-5136-6604-6"</f>
        <v>978-7-5136-6604-6</v>
      </c>
      <c r="C2877" s="7" t="str">
        <f>"“一带一路”倡议背景下中国对外贸易发展研究"</f>
        <v>“一带一路”倡议背景下中国对外贸易发展研究</v>
      </c>
      <c r="D2877" s="7" t="str">
        <f>"王微微著"</f>
        <v>王微微著</v>
      </c>
      <c r="E2877" s="7" t="str">
        <f>"中国经济出版社"</f>
        <v>中国经济出版社</v>
      </c>
      <c r="F2877" s="7" t="str">
        <f>"F752/156"</f>
        <v>F752/156</v>
      </c>
    </row>
    <row r="2878" customHeight="1" spans="1:6">
      <c r="A2878" s="6">
        <v>2877</v>
      </c>
      <c r="B2878" s="7" t="str">
        <f>"978-7-5136-6604-6"</f>
        <v>978-7-5136-6604-6</v>
      </c>
      <c r="C2878" s="7" t="str">
        <f>"“一带一路”倡议背景下中国对外贸易发展研究"</f>
        <v>“一带一路”倡议背景下中国对外贸易发展研究</v>
      </c>
      <c r="D2878" s="7" t="str">
        <f>"王微微著"</f>
        <v>王微微著</v>
      </c>
      <c r="E2878" s="7" t="str">
        <f>"中国经济出版社"</f>
        <v>中国经济出版社</v>
      </c>
      <c r="F2878" s="7" t="str">
        <f>"F752/156"</f>
        <v>F752/156</v>
      </c>
    </row>
    <row r="2879" customHeight="1" spans="1:6">
      <c r="A2879" s="6">
        <v>2878</v>
      </c>
      <c r="B2879" s="7" t="str">
        <f>"978-7-5426-7453-1"</f>
        <v>978-7-5426-7453-1</v>
      </c>
      <c r="C2879" s="7" t="str">
        <f>"贸易自由化、融资约束与中国外贸转型升级"</f>
        <v>贸易自由化、融资约束与中国外贸转型升级</v>
      </c>
      <c r="D2879" s="7" t="str">
        <f>"张洪胜著"</f>
        <v>张洪胜著</v>
      </c>
      <c r="E2879" s="7" t="str">
        <f>"上海三联书店"</f>
        <v>上海三联书店</v>
      </c>
      <c r="F2879" s="7" t="str">
        <f>"F752/157"</f>
        <v>F752/157</v>
      </c>
    </row>
    <row r="2880" customHeight="1" spans="1:6">
      <c r="A2880" s="6">
        <v>2879</v>
      </c>
      <c r="B2880" s="7" t="str">
        <f>"978-7-5426-7453-1"</f>
        <v>978-7-5426-7453-1</v>
      </c>
      <c r="C2880" s="7" t="str">
        <f>"贸易自由化、融资约束与中国外贸转型升级"</f>
        <v>贸易自由化、融资约束与中国外贸转型升级</v>
      </c>
      <c r="D2880" s="7" t="str">
        <f>"张洪胜著"</f>
        <v>张洪胜著</v>
      </c>
      <c r="E2880" s="7" t="str">
        <f>"上海三联书店"</f>
        <v>上海三联书店</v>
      </c>
      <c r="F2880" s="7" t="str">
        <f>"F752/157"</f>
        <v>F752/157</v>
      </c>
    </row>
    <row r="2881" customHeight="1" spans="1:6">
      <c r="A2881" s="6">
        <v>2880</v>
      </c>
      <c r="B2881" s="7" t="str">
        <f>"978-7-03-032096-4"</f>
        <v>978-7-03-032096-4</v>
      </c>
      <c r="C2881" s="7" t="str">
        <f>"中国对外贸易概论"</f>
        <v>中国对外贸易概论</v>
      </c>
      <c r="D2881" s="7" t="str">
        <f>"阎志军主编"</f>
        <v>阎志军主编</v>
      </c>
      <c r="E2881" s="7" t="str">
        <f>"科学出版社"</f>
        <v>科学出版社</v>
      </c>
      <c r="F2881" s="7" t="str">
        <f>"F752/158=2D"</f>
        <v>F752/158=2D</v>
      </c>
    </row>
    <row r="2882" customHeight="1" spans="1:6">
      <c r="A2882" s="6">
        <v>2881</v>
      </c>
      <c r="B2882" s="7" t="str">
        <f>"978-7-03-032096-4"</f>
        <v>978-7-03-032096-4</v>
      </c>
      <c r="C2882" s="7" t="str">
        <f>"中国对外贸易概论"</f>
        <v>中国对外贸易概论</v>
      </c>
      <c r="D2882" s="7" t="str">
        <f>"阎志军主编"</f>
        <v>阎志军主编</v>
      </c>
      <c r="E2882" s="7" t="str">
        <f>"科学出版社"</f>
        <v>科学出版社</v>
      </c>
      <c r="F2882" s="7" t="str">
        <f>"F752/158=2D"</f>
        <v>F752/158=2D</v>
      </c>
    </row>
    <row r="2883" customHeight="1" spans="1:6">
      <c r="A2883" s="6">
        <v>2882</v>
      </c>
      <c r="B2883" s="8" t="s">
        <v>6199</v>
      </c>
      <c r="C2883" s="8" t="s">
        <v>6200</v>
      </c>
      <c r="D2883" s="8" t="s">
        <v>6201</v>
      </c>
      <c r="E2883" s="8" t="s">
        <v>2284</v>
      </c>
      <c r="F2883" s="8" t="s">
        <v>6202</v>
      </c>
    </row>
    <row r="2884" customHeight="1" spans="1:6">
      <c r="A2884" s="6">
        <v>2883</v>
      </c>
      <c r="B2884" s="8" t="s">
        <v>6199</v>
      </c>
      <c r="C2884" s="8" t="s">
        <v>6200</v>
      </c>
      <c r="D2884" s="8" t="s">
        <v>6201</v>
      </c>
      <c r="E2884" s="8" t="s">
        <v>2284</v>
      </c>
      <c r="F2884" s="8" t="s">
        <v>6202</v>
      </c>
    </row>
    <row r="2885" customHeight="1" spans="1:6">
      <c r="A2885" s="6">
        <v>2884</v>
      </c>
      <c r="B2885" s="8" t="s">
        <v>6199</v>
      </c>
      <c r="C2885" s="8" t="s">
        <v>6200</v>
      </c>
      <c r="D2885" s="8" t="s">
        <v>6201</v>
      </c>
      <c r="E2885" s="8" t="s">
        <v>2284</v>
      </c>
      <c r="F2885" s="8" t="s">
        <v>6202</v>
      </c>
    </row>
    <row r="2886" customHeight="1" spans="1:6">
      <c r="A2886" s="6">
        <v>2885</v>
      </c>
      <c r="B2886" s="8" t="s">
        <v>6203</v>
      </c>
      <c r="C2886" s="8" t="s">
        <v>6204</v>
      </c>
      <c r="D2886" s="8" t="s">
        <v>6205</v>
      </c>
      <c r="E2886" s="8" t="s">
        <v>311</v>
      </c>
      <c r="F2886" s="8" t="s">
        <v>6206</v>
      </c>
    </row>
    <row r="2887" customHeight="1" spans="1:6">
      <c r="A2887" s="6">
        <v>2886</v>
      </c>
      <c r="B2887" s="8" t="s">
        <v>6203</v>
      </c>
      <c r="C2887" s="8" t="s">
        <v>6204</v>
      </c>
      <c r="D2887" s="8" t="s">
        <v>6205</v>
      </c>
      <c r="E2887" s="8" t="s">
        <v>311</v>
      </c>
      <c r="F2887" s="8" t="s">
        <v>6206</v>
      </c>
    </row>
    <row r="2888" customHeight="1" spans="1:6">
      <c r="A2888" s="6">
        <v>2887</v>
      </c>
      <c r="B2888" s="8" t="s">
        <v>6207</v>
      </c>
      <c r="C2888" s="8" t="s">
        <v>6208</v>
      </c>
      <c r="D2888" s="8" t="s">
        <v>6209</v>
      </c>
      <c r="E2888" s="8" t="s">
        <v>530</v>
      </c>
      <c r="F2888" s="8" t="s">
        <v>6210</v>
      </c>
    </row>
    <row r="2889" customHeight="1" spans="1:6">
      <c r="A2889" s="6">
        <v>2888</v>
      </c>
      <c r="B2889" s="8" t="s">
        <v>6207</v>
      </c>
      <c r="C2889" s="8" t="s">
        <v>6208</v>
      </c>
      <c r="D2889" s="8" t="s">
        <v>6209</v>
      </c>
      <c r="E2889" s="8" t="s">
        <v>530</v>
      </c>
      <c r="F2889" s="8" t="s">
        <v>6210</v>
      </c>
    </row>
    <row r="2890" customHeight="1" spans="1:6">
      <c r="A2890" s="6">
        <v>2889</v>
      </c>
      <c r="B2890" s="8" t="s">
        <v>6207</v>
      </c>
      <c r="C2890" s="8" t="s">
        <v>6208</v>
      </c>
      <c r="D2890" s="8" t="s">
        <v>6209</v>
      </c>
      <c r="E2890" s="8" t="s">
        <v>530</v>
      </c>
      <c r="F2890" s="8" t="s">
        <v>6210</v>
      </c>
    </row>
    <row r="2891" customHeight="1" spans="1:6">
      <c r="A2891" s="6">
        <v>2890</v>
      </c>
      <c r="B2891" s="8" t="s">
        <v>6211</v>
      </c>
      <c r="C2891" s="8" t="s">
        <v>6212</v>
      </c>
      <c r="D2891" s="8" t="s">
        <v>6213</v>
      </c>
      <c r="E2891" s="8" t="s">
        <v>2212</v>
      </c>
      <c r="F2891" s="8" t="s">
        <v>6214</v>
      </c>
    </row>
    <row r="2892" customHeight="1" spans="1:6">
      <c r="A2892" s="6">
        <v>2891</v>
      </c>
      <c r="B2892" s="8" t="s">
        <v>6211</v>
      </c>
      <c r="C2892" s="8" t="s">
        <v>6212</v>
      </c>
      <c r="D2892" s="8" t="s">
        <v>6213</v>
      </c>
      <c r="E2892" s="8" t="s">
        <v>2212</v>
      </c>
      <c r="F2892" s="8" t="s">
        <v>6214</v>
      </c>
    </row>
    <row r="2893" customHeight="1" spans="1:6">
      <c r="A2893" s="6">
        <v>2892</v>
      </c>
      <c r="B2893" s="8" t="s">
        <v>6215</v>
      </c>
      <c r="C2893" s="8" t="s">
        <v>6208</v>
      </c>
      <c r="D2893" s="8" t="s">
        <v>6216</v>
      </c>
      <c r="E2893" s="8" t="s">
        <v>256</v>
      </c>
      <c r="F2893" s="8" t="s">
        <v>6217</v>
      </c>
    </row>
    <row r="2894" customHeight="1" spans="1:6">
      <c r="A2894" s="6">
        <v>2893</v>
      </c>
      <c r="B2894" s="8" t="s">
        <v>6215</v>
      </c>
      <c r="C2894" s="8" t="s">
        <v>6208</v>
      </c>
      <c r="D2894" s="8" t="s">
        <v>6216</v>
      </c>
      <c r="E2894" s="8" t="s">
        <v>256</v>
      </c>
      <c r="F2894" s="8" t="s">
        <v>6217</v>
      </c>
    </row>
    <row r="2895" customHeight="1" spans="1:6">
      <c r="A2895" s="6">
        <v>2894</v>
      </c>
      <c r="B2895" s="8" t="s">
        <v>6218</v>
      </c>
      <c r="C2895" s="8" t="s">
        <v>6219</v>
      </c>
      <c r="D2895" s="8" t="s">
        <v>5442</v>
      </c>
      <c r="E2895" s="8" t="s">
        <v>4723</v>
      </c>
      <c r="F2895" s="8" t="s">
        <v>6220</v>
      </c>
    </row>
    <row r="2896" customHeight="1" spans="1:6">
      <c r="A2896" s="6">
        <v>2895</v>
      </c>
      <c r="B2896" s="8" t="s">
        <v>6218</v>
      </c>
      <c r="C2896" s="8" t="s">
        <v>6219</v>
      </c>
      <c r="D2896" s="8" t="s">
        <v>5442</v>
      </c>
      <c r="E2896" s="8" t="s">
        <v>4723</v>
      </c>
      <c r="F2896" s="8" t="s">
        <v>6220</v>
      </c>
    </row>
    <row r="2897" customHeight="1" spans="1:6">
      <c r="A2897" s="6">
        <v>2896</v>
      </c>
      <c r="B2897" s="8" t="s">
        <v>6221</v>
      </c>
      <c r="C2897" s="8" t="s">
        <v>6222</v>
      </c>
      <c r="D2897" s="8" t="s">
        <v>6223</v>
      </c>
      <c r="E2897" s="8" t="s">
        <v>530</v>
      </c>
      <c r="F2897" s="8" t="s">
        <v>6224</v>
      </c>
    </row>
    <row r="2898" customHeight="1" spans="1:6">
      <c r="A2898" s="6">
        <v>2897</v>
      </c>
      <c r="B2898" s="8" t="s">
        <v>6221</v>
      </c>
      <c r="C2898" s="8" t="s">
        <v>6222</v>
      </c>
      <c r="D2898" s="8" t="s">
        <v>6223</v>
      </c>
      <c r="E2898" s="8" t="s">
        <v>530</v>
      </c>
      <c r="F2898" s="8" t="s">
        <v>6224</v>
      </c>
    </row>
    <row r="2899" customHeight="1" spans="1:6">
      <c r="A2899" s="6">
        <v>2898</v>
      </c>
      <c r="B2899" s="8" t="s">
        <v>6221</v>
      </c>
      <c r="C2899" s="8" t="s">
        <v>6222</v>
      </c>
      <c r="D2899" s="8" t="s">
        <v>6223</v>
      </c>
      <c r="E2899" s="8" t="s">
        <v>530</v>
      </c>
      <c r="F2899" s="8" t="s">
        <v>6224</v>
      </c>
    </row>
    <row r="2900" customHeight="1" spans="1:6">
      <c r="A2900" s="6">
        <v>2899</v>
      </c>
      <c r="B2900" s="7" t="str">
        <f>"978-7-5429-6910-1"</f>
        <v>978-7-5429-6910-1</v>
      </c>
      <c r="C2900" s="7" t="str">
        <f>"国际税收实务与典型案例分析"</f>
        <v>国际税收实务与典型案例分析</v>
      </c>
      <c r="D2900" s="7" t="str">
        <f>"古成林编著"</f>
        <v>古成林编著</v>
      </c>
      <c r="E2900" s="7" t="str">
        <f>"立信会计出版社"</f>
        <v>立信会计出版社</v>
      </c>
      <c r="F2900" s="7" t="str">
        <f>"F810.42/110"</f>
        <v>F810.42/110</v>
      </c>
    </row>
    <row r="2901" customHeight="1" spans="1:6">
      <c r="A2901" s="6">
        <v>2900</v>
      </c>
      <c r="B2901" s="7" t="str">
        <f>"978-7-5429-6910-1"</f>
        <v>978-7-5429-6910-1</v>
      </c>
      <c r="C2901" s="7" t="str">
        <f>"国际税收实务与典型案例分析"</f>
        <v>国际税收实务与典型案例分析</v>
      </c>
      <c r="D2901" s="7" t="str">
        <f>"古成林编著"</f>
        <v>古成林编著</v>
      </c>
      <c r="E2901" s="7" t="str">
        <f>"立信会计出版社"</f>
        <v>立信会计出版社</v>
      </c>
      <c r="F2901" s="7" t="str">
        <f>"F810.42/110"</f>
        <v>F810.42/110</v>
      </c>
    </row>
    <row r="2902" customHeight="1" spans="1:6">
      <c r="A2902" s="6">
        <v>2901</v>
      </c>
      <c r="B2902" s="7" t="str">
        <f t="shared" ref="B2902:B2904" si="218">"978-7-5638-3244-6"</f>
        <v>978-7-5638-3244-6</v>
      </c>
      <c r="C2902" s="7" t="str">
        <f t="shared" ref="C2902:C2904" si="219">"税务筹划：理论·实务·案例·习题"</f>
        <v>税务筹划：理论·实务·案例·习题</v>
      </c>
      <c r="D2902" s="7" t="str">
        <f t="shared" ref="D2902:D2904" si="220">"盖地， 丁芸主编"</f>
        <v>盖地， 丁芸主编</v>
      </c>
      <c r="E2902" s="7" t="str">
        <f t="shared" ref="E2902:E2904" si="221">"首都经济贸易大学出版社"</f>
        <v>首都经济贸易大学出版社</v>
      </c>
      <c r="F2902" s="7" t="str">
        <f t="shared" ref="F2902:F2904" si="222">"F810.42/111=7D"</f>
        <v>F810.42/111=7D</v>
      </c>
    </row>
    <row r="2903" customHeight="1" spans="1:6">
      <c r="A2903" s="6">
        <v>2902</v>
      </c>
      <c r="B2903" s="7" t="str">
        <f t="shared" si="218"/>
        <v>978-7-5638-3244-6</v>
      </c>
      <c r="C2903" s="7" t="str">
        <f t="shared" si="219"/>
        <v>税务筹划：理论·实务·案例·习题</v>
      </c>
      <c r="D2903" s="7" t="str">
        <f t="shared" si="220"/>
        <v>盖地， 丁芸主编</v>
      </c>
      <c r="E2903" s="7" t="str">
        <f t="shared" si="221"/>
        <v>首都经济贸易大学出版社</v>
      </c>
      <c r="F2903" s="7" t="str">
        <f t="shared" si="222"/>
        <v>F810.42/111=7D</v>
      </c>
    </row>
    <row r="2904" customHeight="1" spans="1:6">
      <c r="A2904" s="6">
        <v>2903</v>
      </c>
      <c r="B2904" s="7" t="str">
        <f t="shared" si="218"/>
        <v>978-7-5638-3244-6</v>
      </c>
      <c r="C2904" s="7" t="str">
        <f t="shared" si="219"/>
        <v>税务筹划：理论·实务·案例·习题</v>
      </c>
      <c r="D2904" s="7" t="str">
        <f t="shared" si="220"/>
        <v>盖地， 丁芸主编</v>
      </c>
      <c r="E2904" s="7" t="str">
        <f t="shared" si="221"/>
        <v>首都经济贸易大学出版社</v>
      </c>
      <c r="F2904" s="7" t="str">
        <f t="shared" si="222"/>
        <v>F810.42/111=7D</v>
      </c>
    </row>
    <row r="2905" customHeight="1" spans="1:6">
      <c r="A2905" s="6">
        <v>2904</v>
      </c>
      <c r="B2905" s="7" t="str">
        <f>"978-7-300-26282-6"</f>
        <v>978-7-300-26282-6</v>
      </c>
      <c r="C2905" s="7" t="str">
        <f>"国际税收"</f>
        <v>国际税收</v>
      </c>
      <c r="D2905" s="7" t="str">
        <f>"朱青编著"</f>
        <v>朱青编著</v>
      </c>
      <c r="E2905" s="7" t="str">
        <f>"中国人民大学出版社"</f>
        <v>中国人民大学出版社</v>
      </c>
      <c r="F2905" s="7" t="str">
        <f>"F810.42/67=9D"</f>
        <v>F810.42/67=9D</v>
      </c>
    </row>
    <row r="2906" customHeight="1" spans="1:6">
      <c r="A2906" s="6">
        <v>2905</v>
      </c>
      <c r="B2906" s="7" t="str">
        <f>"978-7-300-26282-6"</f>
        <v>978-7-300-26282-6</v>
      </c>
      <c r="C2906" s="7" t="str">
        <f>"国际税收"</f>
        <v>国际税收</v>
      </c>
      <c r="D2906" s="7" t="str">
        <f>"朱青编著"</f>
        <v>朱青编著</v>
      </c>
      <c r="E2906" s="7" t="str">
        <f>"中国人民大学出版社"</f>
        <v>中国人民大学出版社</v>
      </c>
      <c r="F2906" s="7" t="str">
        <f>"F810.42/67=9D"</f>
        <v>F810.42/67=9D</v>
      </c>
    </row>
    <row r="2907" customHeight="1" spans="1:6">
      <c r="A2907" s="6">
        <v>2906</v>
      </c>
      <c r="B2907" s="8" t="s">
        <v>6225</v>
      </c>
      <c r="C2907" s="8" t="s">
        <v>6226</v>
      </c>
      <c r="D2907" s="8" t="s">
        <v>6227</v>
      </c>
      <c r="E2907" s="8" t="s">
        <v>2161</v>
      </c>
      <c r="F2907" s="8" t="s">
        <v>6228</v>
      </c>
    </row>
    <row r="2908" customHeight="1" spans="1:6">
      <c r="A2908" s="6">
        <v>2907</v>
      </c>
      <c r="B2908" s="8" t="s">
        <v>6225</v>
      </c>
      <c r="C2908" s="8" t="s">
        <v>6226</v>
      </c>
      <c r="D2908" s="8" t="s">
        <v>6227</v>
      </c>
      <c r="E2908" s="8" t="s">
        <v>2161</v>
      </c>
      <c r="F2908" s="8" t="s">
        <v>6228</v>
      </c>
    </row>
    <row r="2909" customHeight="1" spans="1:6">
      <c r="A2909" s="6">
        <v>2908</v>
      </c>
      <c r="B2909" s="8" t="s">
        <v>6225</v>
      </c>
      <c r="C2909" s="8" t="s">
        <v>6226</v>
      </c>
      <c r="D2909" s="8" t="s">
        <v>6227</v>
      </c>
      <c r="E2909" s="8" t="s">
        <v>2161</v>
      </c>
      <c r="F2909" s="8" t="s">
        <v>6228</v>
      </c>
    </row>
    <row r="2910" customHeight="1" spans="1:6">
      <c r="A2910" s="6">
        <v>2909</v>
      </c>
      <c r="B2910" s="8" t="s">
        <v>6229</v>
      </c>
      <c r="C2910" s="8" t="s">
        <v>6230</v>
      </c>
      <c r="D2910" s="8" t="s">
        <v>6231</v>
      </c>
      <c r="E2910" s="8" t="s">
        <v>216</v>
      </c>
      <c r="F2910" s="8" t="s">
        <v>6232</v>
      </c>
    </row>
    <row r="2911" customHeight="1" spans="1:6">
      <c r="A2911" s="6">
        <v>2910</v>
      </c>
      <c r="B2911" s="8" t="s">
        <v>6229</v>
      </c>
      <c r="C2911" s="8" t="s">
        <v>6230</v>
      </c>
      <c r="D2911" s="8" t="s">
        <v>6231</v>
      </c>
      <c r="E2911" s="8" t="s">
        <v>216</v>
      </c>
      <c r="F2911" s="8" t="s">
        <v>6232</v>
      </c>
    </row>
    <row r="2912" customHeight="1" spans="1:6">
      <c r="A2912" s="6">
        <v>2911</v>
      </c>
      <c r="B2912" s="8" t="s">
        <v>6233</v>
      </c>
      <c r="C2912" s="8" t="s">
        <v>6234</v>
      </c>
      <c r="D2912" s="8" t="s">
        <v>6231</v>
      </c>
      <c r="E2912" s="8" t="s">
        <v>216</v>
      </c>
      <c r="F2912" s="8" t="s">
        <v>6235</v>
      </c>
    </row>
    <row r="2913" customHeight="1" spans="1:6">
      <c r="A2913" s="6">
        <v>2912</v>
      </c>
      <c r="B2913" s="8" t="s">
        <v>6233</v>
      </c>
      <c r="C2913" s="8" t="s">
        <v>6234</v>
      </c>
      <c r="D2913" s="8" t="s">
        <v>6231</v>
      </c>
      <c r="E2913" s="8" t="s">
        <v>216</v>
      </c>
      <c r="F2913" s="8" t="s">
        <v>6235</v>
      </c>
    </row>
    <row r="2914" customHeight="1" spans="1:6">
      <c r="A2914" s="6">
        <v>2913</v>
      </c>
      <c r="B2914" s="8" t="s">
        <v>6236</v>
      </c>
      <c r="C2914" s="8" t="s">
        <v>6237</v>
      </c>
      <c r="D2914" s="8" t="s">
        <v>6231</v>
      </c>
      <c r="E2914" s="8" t="s">
        <v>216</v>
      </c>
      <c r="F2914" s="8" t="s">
        <v>6238</v>
      </c>
    </row>
    <row r="2915" customHeight="1" spans="1:6">
      <c r="A2915" s="6">
        <v>2914</v>
      </c>
      <c r="B2915" s="8" t="s">
        <v>6236</v>
      </c>
      <c r="C2915" s="8" t="s">
        <v>6237</v>
      </c>
      <c r="D2915" s="8" t="s">
        <v>6231</v>
      </c>
      <c r="E2915" s="8" t="s">
        <v>216</v>
      </c>
      <c r="F2915" s="8" t="s">
        <v>6238</v>
      </c>
    </row>
    <row r="2916" customHeight="1" spans="1:6">
      <c r="A2916" s="6">
        <v>2915</v>
      </c>
      <c r="B2916" s="8" t="s">
        <v>6239</v>
      </c>
      <c r="C2916" s="8" t="s">
        <v>6240</v>
      </c>
      <c r="D2916" s="8" t="s">
        <v>6241</v>
      </c>
      <c r="E2916" s="8" t="s">
        <v>2212</v>
      </c>
      <c r="F2916" s="8" t="s">
        <v>6242</v>
      </c>
    </row>
    <row r="2917" customHeight="1" spans="1:6">
      <c r="A2917" s="6">
        <v>2916</v>
      </c>
      <c r="B2917" s="8" t="s">
        <v>6239</v>
      </c>
      <c r="C2917" s="8" t="s">
        <v>6240</v>
      </c>
      <c r="D2917" s="8" t="s">
        <v>6241</v>
      </c>
      <c r="E2917" s="8" t="s">
        <v>2212</v>
      </c>
      <c r="F2917" s="8" t="s">
        <v>6242</v>
      </c>
    </row>
    <row r="2918" customHeight="1" spans="1:6">
      <c r="A2918" s="6">
        <v>2917</v>
      </c>
      <c r="B2918" s="8" t="s">
        <v>6243</v>
      </c>
      <c r="C2918" s="8" t="s">
        <v>6244</v>
      </c>
      <c r="D2918" s="8" t="s">
        <v>6245</v>
      </c>
      <c r="E2918" s="8" t="s">
        <v>2161</v>
      </c>
      <c r="F2918" s="8" t="s">
        <v>6246</v>
      </c>
    </row>
    <row r="2919" customHeight="1" spans="1:6">
      <c r="A2919" s="6">
        <v>2918</v>
      </c>
      <c r="B2919" s="8" t="s">
        <v>6243</v>
      </c>
      <c r="C2919" s="8" t="s">
        <v>6244</v>
      </c>
      <c r="D2919" s="8" t="s">
        <v>6245</v>
      </c>
      <c r="E2919" s="8" t="s">
        <v>2161</v>
      </c>
      <c r="F2919" s="8" t="s">
        <v>6246</v>
      </c>
    </row>
    <row r="2920" customHeight="1" spans="1:6">
      <c r="A2920" s="6">
        <v>2919</v>
      </c>
      <c r="B2920" s="8" t="s">
        <v>6247</v>
      </c>
      <c r="C2920" s="8" t="s">
        <v>6248</v>
      </c>
      <c r="D2920" s="8" t="s">
        <v>6249</v>
      </c>
      <c r="E2920" s="8" t="s">
        <v>256</v>
      </c>
      <c r="F2920" s="8" t="s">
        <v>6250</v>
      </c>
    </row>
    <row r="2921" customHeight="1" spans="1:6">
      <c r="A2921" s="6">
        <v>2920</v>
      </c>
      <c r="B2921" s="8" t="s">
        <v>6247</v>
      </c>
      <c r="C2921" s="8" t="s">
        <v>6248</v>
      </c>
      <c r="D2921" s="8" t="s">
        <v>6249</v>
      </c>
      <c r="E2921" s="8" t="s">
        <v>256</v>
      </c>
      <c r="F2921" s="8" t="s">
        <v>6250</v>
      </c>
    </row>
    <row r="2922" customHeight="1" spans="1:6">
      <c r="A2922" s="6">
        <v>2921</v>
      </c>
      <c r="B2922" s="8" t="s">
        <v>6251</v>
      </c>
      <c r="C2922" s="8" t="s">
        <v>6252</v>
      </c>
      <c r="D2922" s="8" t="s">
        <v>6231</v>
      </c>
      <c r="E2922" s="8" t="s">
        <v>216</v>
      </c>
      <c r="F2922" s="8" t="s">
        <v>6253</v>
      </c>
    </row>
    <row r="2923" customHeight="1" spans="1:6">
      <c r="A2923" s="6">
        <v>2922</v>
      </c>
      <c r="B2923" s="8" t="s">
        <v>6251</v>
      </c>
      <c r="C2923" s="8" t="s">
        <v>6252</v>
      </c>
      <c r="D2923" s="8" t="s">
        <v>6231</v>
      </c>
      <c r="E2923" s="8" t="s">
        <v>216</v>
      </c>
      <c r="F2923" s="8" t="s">
        <v>6253</v>
      </c>
    </row>
    <row r="2924" customHeight="1" spans="1:6">
      <c r="A2924" s="6">
        <v>2923</v>
      </c>
      <c r="B2924" s="8" t="s">
        <v>6254</v>
      </c>
      <c r="C2924" s="8" t="s">
        <v>6255</v>
      </c>
      <c r="D2924" s="8" t="s">
        <v>6231</v>
      </c>
      <c r="E2924" s="8" t="s">
        <v>216</v>
      </c>
      <c r="F2924" s="8" t="s">
        <v>6256</v>
      </c>
    </row>
    <row r="2925" customHeight="1" spans="1:6">
      <c r="A2925" s="6">
        <v>2924</v>
      </c>
      <c r="B2925" s="8" t="s">
        <v>6254</v>
      </c>
      <c r="C2925" s="8" t="s">
        <v>6255</v>
      </c>
      <c r="D2925" s="8" t="s">
        <v>6231</v>
      </c>
      <c r="E2925" s="8" t="s">
        <v>216</v>
      </c>
      <c r="F2925" s="8" t="s">
        <v>6256</v>
      </c>
    </row>
    <row r="2926" customHeight="1" spans="1:6">
      <c r="A2926" s="6">
        <v>2925</v>
      </c>
      <c r="B2926" s="8" t="s">
        <v>6257</v>
      </c>
      <c r="C2926" s="8" t="s">
        <v>6258</v>
      </c>
      <c r="D2926" s="8" t="s">
        <v>6259</v>
      </c>
      <c r="E2926" s="8" t="s">
        <v>2161</v>
      </c>
      <c r="F2926" s="8" t="s">
        <v>6260</v>
      </c>
    </row>
    <row r="2927" customHeight="1" spans="1:6">
      <c r="A2927" s="6">
        <v>2926</v>
      </c>
      <c r="B2927" s="8" t="s">
        <v>6257</v>
      </c>
      <c r="C2927" s="8" t="s">
        <v>6258</v>
      </c>
      <c r="D2927" s="8" t="s">
        <v>6259</v>
      </c>
      <c r="E2927" s="8" t="s">
        <v>2161</v>
      </c>
      <c r="F2927" s="8" t="s">
        <v>6260</v>
      </c>
    </row>
    <row r="2928" customHeight="1" spans="1:6">
      <c r="A2928" s="6">
        <v>2927</v>
      </c>
      <c r="B2928" s="8" t="s">
        <v>6261</v>
      </c>
      <c r="C2928" s="8" t="s">
        <v>6262</v>
      </c>
      <c r="D2928" s="8" t="s">
        <v>6263</v>
      </c>
      <c r="E2928" s="8" t="s">
        <v>2161</v>
      </c>
      <c r="F2928" s="8" t="s">
        <v>6264</v>
      </c>
    </row>
    <row r="2929" customHeight="1" spans="1:6">
      <c r="A2929" s="6">
        <v>2928</v>
      </c>
      <c r="B2929" s="7" t="str">
        <f>"978-7-5429-6801-2"</f>
        <v>978-7-5429-6801-2</v>
      </c>
      <c r="C2929" s="7" t="str">
        <f>"税务文书写作格式与范本"</f>
        <v>税务文书写作格式与范本</v>
      </c>
      <c r="D2929" s="7" t="str">
        <f>"翟继光， 陈铃主编"</f>
        <v>翟继光， 陈铃主编</v>
      </c>
      <c r="E2929" s="7" t="str">
        <f>"立信会计出版社"</f>
        <v>立信会计出版社</v>
      </c>
      <c r="F2929" s="7" t="str">
        <f>"F812.423/292"</f>
        <v>F812.423/292</v>
      </c>
    </row>
    <row r="2930" customHeight="1" spans="1:6">
      <c r="A2930" s="6">
        <v>2929</v>
      </c>
      <c r="B2930" s="7" t="str">
        <f>"978-7-5429-6801-2"</f>
        <v>978-7-5429-6801-2</v>
      </c>
      <c r="C2930" s="7" t="str">
        <f>"税务文书写作格式与范本"</f>
        <v>税务文书写作格式与范本</v>
      </c>
      <c r="D2930" s="7" t="str">
        <f>"翟继光， 陈铃主编"</f>
        <v>翟继光， 陈铃主编</v>
      </c>
      <c r="E2930" s="7" t="str">
        <f>"立信会计出版社"</f>
        <v>立信会计出版社</v>
      </c>
      <c r="F2930" s="7" t="str">
        <f>"F812.423/292"</f>
        <v>F812.423/292</v>
      </c>
    </row>
    <row r="2931" customHeight="1" spans="1:6">
      <c r="A2931" s="6">
        <v>2930</v>
      </c>
      <c r="B2931" s="8" t="s">
        <v>6265</v>
      </c>
      <c r="C2931" s="8" t="s">
        <v>6266</v>
      </c>
      <c r="D2931" s="8" t="s">
        <v>6267</v>
      </c>
      <c r="E2931" s="8" t="s">
        <v>216</v>
      </c>
      <c r="F2931" s="8" t="s">
        <v>6268</v>
      </c>
    </row>
    <row r="2932" customHeight="1" spans="1:6">
      <c r="A2932" s="6">
        <v>2931</v>
      </c>
      <c r="B2932" s="8" t="s">
        <v>6265</v>
      </c>
      <c r="C2932" s="8" t="s">
        <v>6266</v>
      </c>
      <c r="D2932" s="8" t="s">
        <v>6267</v>
      </c>
      <c r="E2932" s="8" t="s">
        <v>216</v>
      </c>
      <c r="F2932" s="8" t="s">
        <v>6268</v>
      </c>
    </row>
    <row r="2933" customHeight="1" spans="1:6">
      <c r="A2933" s="6">
        <v>2932</v>
      </c>
      <c r="B2933" s="8" t="s">
        <v>6265</v>
      </c>
      <c r="C2933" s="8" t="s">
        <v>6266</v>
      </c>
      <c r="D2933" s="8" t="s">
        <v>6267</v>
      </c>
      <c r="E2933" s="8" t="s">
        <v>216</v>
      </c>
      <c r="F2933" s="8" t="s">
        <v>6268</v>
      </c>
    </row>
    <row r="2934" customHeight="1" spans="1:6">
      <c r="A2934" s="6">
        <v>2933</v>
      </c>
      <c r="B2934" s="8" t="s">
        <v>6269</v>
      </c>
      <c r="C2934" s="8" t="s">
        <v>6266</v>
      </c>
      <c r="D2934" s="8" t="s">
        <v>6270</v>
      </c>
      <c r="E2934" s="8" t="s">
        <v>530</v>
      </c>
      <c r="F2934" s="8" t="s">
        <v>6271</v>
      </c>
    </row>
    <row r="2935" customHeight="1" spans="1:6">
      <c r="A2935" s="6">
        <v>2934</v>
      </c>
      <c r="B2935" s="8" t="s">
        <v>6269</v>
      </c>
      <c r="C2935" s="8" t="s">
        <v>6266</v>
      </c>
      <c r="D2935" s="8" t="s">
        <v>6270</v>
      </c>
      <c r="E2935" s="8" t="s">
        <v>530</v>
      </c>
      <c r="F2935" s="8" t="s">
        <v>6271</v>
      </c>
    </row>
    <row r="2936" customHeight="1" spans="1:6">
      <c r="A2936" s="6">
        <v>2935</v>
      </c>
      <c r="B2936" s="8" t="s">
        <v>6269</v>
      </c>
      <c r="C2936" s="8" t="s">
        <v>6266</v>
      </c>
      <c r="D2936" s="8" t="s">
        <v>6270</v>
      </c>
      <c r="E2936" s="8" t="s">
        <v>530</v>
      </c>
      <c r="F2936" s="8" t="s">
        <v>6271</v>
      </c>
    </row>
    <row r="2937" customHeight="1" spans="1:6">
      <c r="A2937" s="6">
        <v>2936</v>
      </c>
      <c r="B2937" s="8" t="s">
        <v>6272</v>
      </c>
      <c r="C2937" s="8" t="s">
        <v>6273</v>
      </c>
      <c r="D2937" s="8" t="s">
        <v>6263</v>
      </c>
      <c r="E2937" s="8" t="s">
        <v>2161</v>
      </c>
      <c r="F2937" s="8" t="s">
        <v>6274</v>
      </c>
    </row>
    <row r="2938" customHeight="1" spans="1:6">
      <c r="A2938" s="6">
        <v>2937</v>
      </c>
      <c r="B2938" s="8" t="s">
        <v>6272</v>
      </c>
      <c r="C2938" s="8" t="s">
        <v>6273</v>
      </c>
      <c r="D2938" s="8" t="s">
        <v>6263</v>
      </c>
      <c r="E2938" s="8" t="s">
        <v>2161</v>
      </c>
      <c r="F2938" s="8" t="s">
        <v>6274</v>
      </c>
    </row>
    <row r="2939" customHeight="1" spans="1:6">
      <c r="A2939" s="6">
        <v>2938</v>
      </c>
      <c r="B2939" s="8" t="s">
        <v>6275</v>
      </c>
      <c r="C2939" s="8" t="s">
        <v>6276</v>
      </c>
      <c r="D2939" s="8" t="s">
        <v>6263</v>
      </c>
      <c r="E2939" s="8" t="s">
        <v>2161</v>
      </c>
      <c r="F2939" s="8" t="s">
        <v>6277</v>
      </c>
    </row>
    <row r="2940" customHeight="1" spans="1:6">
      <c r="A2940" s="6">
        <v>2939</v>
      </c>
      <c r="B2940" s="8" t="s">
        <v>6275</v>
      </c>
      <c r="C2940" s="8" t="s">
        <v>6276</v>
      </c>
      <c r="D2940" s="8" t="s">
        <v>6263</v>
      </c>
      <c r="E2940" s="8" t="s">
        <v>2161</v>
      </c>
      <c r="F2940" s="8" t="s">
        <v>6277</v>
      </c>
    </row>
    <row r="2941" customHeight="1" spans="1:6">
      <c r="A2941" s="6">
        <v>2940</v>
      </c>
      <c r="B2941" s="8" t="s">
        <v>6278</v>
      </c>
      <c r="C2941" s="8" t="s">
        <v>6279</v>
      </c>
      <c r="D2941" s="8" t="s">
        <v>6280</v>
      </c>
      <c r="E2941" s="8" t="s">
        <v>2566</v>
      </c>
      <c r="F2941" s="8" t="s">
        <v>6281</v>
      </c>
    </row>
    <row r="2942" customHeight="1" spans="1:6">
      <c r="A2942" s="6">
        <v>2941</v>
      </c>
      <c r="B2942" s="8" t="s">
        <v>6278</v>
      </c>
      <c r="C2942" s="8" t="s">
        <v>6279</v>
      </c>
      <c r="D2942" s="8" t="s">
        <v>6280</v>
      </c>
      <c r="E2942" s="8" t="s">
        <v>2566</v>
      </c>
      <c r="F2942" s="8" t="s">
        <v>6281</v>
      </c>
    </row>
    <row r="2943" customHeight="1" spans="1:6">
      <c r="A2943" s="6">
        <v>2942</v>
      </c>
      <c r="B2943" s="8" t="s">
        <v>6278</v>
      </c>
      <c r="C2943" s="8" t="s">
        <v>6279</v>
      </c>
      <c r="D2943" s="8" t="s">
        <v>6280</v>
      </c>
      <c r="E2943" s="8" t="s">
        <v>2566</v>
      </c>
      <c r="F2943" s="8" t="s">
        <v>6281</v>
      </c>
    </row>
    <row r="2944" customHeight="1" spans="1:6">
      <c r="A2944" s="6">
        <v>2943</v>
      </c>
      <c r="B2944" s="8" t="s">
        <v>6282</v>
      </c>
      <c r="C2944" s="8" t="s">
        <v>6283</v>
      </c>
      <c r="D2944" s="8" t="s">
        <v>6284</v>
      </c>
      <c r="E2944" s="8" t="s">
        <v>6285</v>
      </c>
      <c r="F2944" s="8" t="s">
        <v>6286</v>
      </c>
    </row>
    <row r="2945" customHeight="1" spans="1:6">
      <c r="A2945" s="6">
        <v>2944</v>
      </c>
      <c r="B2945" s="8" t="s">
        <v>6287</v>
      </c>
      <c r="C2945" s="8" t="s">
        <v>6288</v>
      </c>
      <c r="D2945" s="8" t="s">
        <v>6289</v>
      </c>
      <c r="E2945" s="8" t="s">
        <v>256</v>
      </c>
      <c r="F2945" s="8" t="s">
        <v>6290</v>
      </c>
    </row>
    <row r="2946" customHeight="1" spans="1:6">
      <c r="A2946" s="6">
        <v>2945</v>
      </c>
      <c r="B2946" s="8" t="s">
        <v>6287</v>
      </c>
      <c r="C2946" s="8" t="s">
        <v>6288</v>
      </c>
      <c r="D2946" s="8" t="s">
        <v>6289</v>
      </c>
      <c r="E2946" s="8" t="s">
        <v>256</v>
      </c>
      <c r="F2946" s="8" t="s">
        <v>6290</v>
      </c>
    </row>
    <row r="2947" customHeight="1" spans="1:6">
      <c r="A2947" s="6">
        <v>2946</v>
      </c>
      <c r="B2947" s="8" t="s">
        <v>6287</v>
      </c>
      <c r="C2947" s="8" t="s">
        <v>6288</v>
      </c>
      <c r="D2947" s="8" t="s">
        <v>6289</v>
      </c>
      <c r="E2947" s="8" t="s">
        <v>256</v>
      </c>
      <c r="F2947" s="8" t="s">
        <v>6290</v>
      </c>
    </row>
    <row r="2948" customHeight="1" spans="1:6">
      <c r="A2948" s="6">
        <v>2947</v>
      </c>
      <c r="B2948" s="8" t="s">
        <v>6291</v>
      </c>
      <c r="C2948" s="8" t="s">
        <v>6292</v>
      </c>
      <c r="D2948" s="8" t="s">
        <v>6293</v>
      </c>
      <c r="E2948" s="8" t="s">
        <v>2566</v>
      </c>
      <c r="F2948" s="8" t="s">
        <v>6294</v>
      </c>
    </row>
    <row r="2949" customHeight="1" spans="1:6">
      <c r="A2949" s="6">
        <v>2948</v>
      </c>
      <c r="B2949" s="8" t="s">
        <v>6291</v>
      </c>
      <c r="C2949" s="8" t="s">
        <v>6292</v>
      </c>
      <c r="D2949" s="8" t="s">
        <v>6293</v>
      </c>
      <c r="E2949" s="8" t="s">
        <v>2566</v>
      </c>
      <c r="F2949" s="8" t="s">
        <v>6294</v>
      </c>
    </row>
    <row r="2950" customHeight="1" spans="1:6">
      <c r="A2950" s="6">
        <v>2949</v>
      </c>
      <c r="B2950" s="8" t="s">
        <v>6295</v>
      </c>
      <c r="C2950" s="8" t="s">
        <v>6296</v>
      </c>
      <c r="D2950" s="8" t="s">
        <v>6297</v>
      </c>
      <c r="E2950" s="8" t="s">
        <v>275</v>
      </c>
      <c r="F2950" s="8" t="s">
        <v>6298</v>
      </c>
    </row>
    <row r="2951" customHeight="1" spans="1:6">
      <c r="A2951" s="6">
        <v>2950</v>
      </c>
      <c r="B2951" s="8" t="s">
        <v>6295</v>
      </c>
      <c r="C2951" s="8" t="s">
        <v>6296</v>
      </c>
      <c r="D2951" s="8" t="s">
        <v>6297</v>
      </c>
      <c r="E2951" s="8" t="s">
        <v>275</v>
      </c>
      <c r="F2951" s="8" t="s">
        <v>6298</v>
      </c>
    </row>
    <row r="2952" customHeight="1" spans="1:6">
      <c r="A2952" s="6">
        <v>2951</v>
      </c>
      <c r="B2952" s="8" t="s">
        <v>6295</v>
      </c>
      <c r="C2952" s="8" t="s">
        <v>6296</v>
      </c>
      <c r="D2952" s="8" t="s">
        <v>6297</v>
      </c>
      <c r="E2952" s="8" t="s">
        <v>275</v>
      </c>
      <c r="F2952" s="8" t="s">
        <v>6298</v>
      </c>
    </row>
    <row r="2953" customHeight="1" spans="1:6">
      <c r="A2953" s="6">
        <v>2952</v>
      </c>
      <c r="B2953" s="8" t="s">
        <v>6299</v>
      </c>
      <c r="C2953" s="8" t="s">
        <v>6300</v>
      </c>
      <c r="D2953" s="8" t="s">
        <v>6301</v>
      </c>
      <c r="E2953" s="8" t="s">
        <v>576</v>
      </c>
      <c r="F2953" s="8" t="s">
        <v>6302</v>
      </c>
    </row>
    <row r="2954" customHeight="1" spans="1:6">
      <c r="A2954" s="6">
        <v>2953</v>
      </c>
      <c r="B2954" s="8" t="s">
        <v>6299</v>
      </c>
      <c r="C2954" s="8" t="s">
        <v>6300</v>
      </c>
      <c r="D2954" s="8" t="s">
        <v>6301</v>
      </c>
      <c r="E2954" s="8" t="s">
        <v>576</v>
      </c>
      <c r="F2954" s="8" t="s">
        <v>6302</v>
      </c>
    </row>
    <row r="2955" customHeight="1" spans="1:6">
      <c r="A2955" s="6">
        <v>2954</v>
      </c>
      <c r="B2955" s="8" t="s">
        <v>6299</v>
      </c>
      <c r="C2955" s="8" t="s">
        <v>6300</v>
      </c>
      <c r="D2955" s="8" t="s">
        <v>6301</v>
      </c>
      <c r="E2955" s="8" t="s">
        <v>576</v>
      </c>
      <c r="F2955" s="8" t="s">
        <v>6302</v>
      </c>
    </row>
    <row r="2956" customHeight="1" spans="1:6">
      <c r="A2956" s="6">
        <v>2955</v>
      </c>
      <c r="B2956" s="8" t="s">
        <v>6303</v>
      </c>
      <c r="C2956" s="8" t="s">
        <v>6304</v>
      </c>
      <c r="D2956" s="8" t="s">
        <v>6305</v>
      </c>
      <c r="E2956" s="8" t="s">
        <v>311</v>
      </c>
      <c r="F2956" s="8" t="s">
        <v>6306</v>
      </c>
    </row>
    <row r="2957" customHeight="1" spans="1:6">
      <c r="A2957" s="6">
        <v>2956</v>
      </c>
      <c r="B2957" s="8" t="s">
        <v>6303</v>
      </c>
      <c r="C2957" s="8" t="s">
        <v>6304</v>
      </c>
      <c r="D2957" s="8" t="s">
        <v>6305</v>
      </c>
      <c r="E2957" s="8" t="s">
        <v>311</v>
      </c>
      <c r="F2957" s="8" t="s">
        <v>6306</v>
      </c>
    </row>
    <row r="2958" customHeight="1" spans="1:6">
      <c r="A2958" s="6">
        <v>2957</v>
      </c>
      <c r="B2958" s="8" t="s">
        <v>6307</v>
      </c>
      <c r="C2958" s="8" t="s">
        <v>6308</v>
      </c>
      <c r="D2958" s="8" t="s">
        <v>6309</v>
      </c>
      <c r="E2958" s="8" t="s">
        <v>2186</v>
      </c>
      <c r="F2958" s="8" t="s">
        <v>6310</v>
      </c>
    </row>
    <row r="2959" customHeight="1" spans="1:6">
      <c r="A2959" s="6">
        <v>2958</v>
      </c>
      <c r="B2959" s="8" t="s">
        <v>6307</v>
      </c>
      <c r="C2959" s="8" t="s">
        <v>6308</v>
      </c>
      <c r="D2959" s="8" t="s">
        <v>6309</v>
      </c>
      <c r="E2959" s="8" t="s">
        <v>2186</v>
      </c>
      <c r="F2959" s="8" t="s">
        <v>6310</v>
      </c>
    </row>
    <row r="2960" customHeight="1" spans="1:6">
      <c r="A2960" s="6">
        <v>2959</v>
      </c>
      <c r="B2960" s="7" t="str">
        <f>"978-7-5432-2084-3"</f>
        <v>978-7-5432-2084-3</v>
      </c>
      <c r="C2960" s="7" t="str">
        <f>"国际货币与金融体系改革研究"</f>
        <v>国际货币与金融体系改革研究</v>
      </c>
      <c r="D2960" s="7" t="str">
        <f>"潘英丽著"</f>
        <v>潘英丽著</v>
      </c>
      <c r="E2960" s="7" t="str">
        <f>"上海人民出版社"</f>
        <v>上海人民出版社</v>
      </c>
      <c r="F2960" s="7" t="str">
        <f>"F821.1/23"</f>
        <v>F821.1/23</v>
      </c>
    </row>
    <row r="2961" customHeight="1" spans="1:6">
      <c r="A2961" s="6">
        <v>2960</v>
      </c>
      <c r="B2961" s="7" t="str">
        <f>"978-7-5432-2084-3"</f>
        <v>978-7-5432-2084-3</v>
      </c>
      <c r="C2961" s="7" t="str">
        <f>"国际货币与金融体系改革研究"</f>
        <v>国际货币与金融体系改革研究</v>
      </c>
      <c r="D2961" s="7" t="str">
        <f>"潘英丽著"</f>
        <v>潘英丽著</v>
      </c>
      <c r="E2961" s="7" t="str">
        <f>"上海人民出版社"</f>
        <v>上海人民出版社</v>
      </c>
      <c r="F2961" s="7" t="str">
        <f>"F821.1/23"</f>
        <v>F821.1/23</v>
      </c>
    </row>
    <row r="2962" customHeight="1" spans="1:6">
      <c r="A2962" s="6">
        <v>2961</v>
      </c>
      <c r="B2962" s="8" t="s">
        <v>6311</v>
      </c>
      <c r="C2962" s="8" t="s">
        <v>6312</v>
      </c>
      <c r="D2962" s="8" t="s">
        <v>6313</v>
      </c>
      <c r="E2962" s="8" t="s">
        <v>226</v>
      </c>
      <c r="F2962" s="8" t="s">
        <v>6314</v>
      </c>
    </row>
    <row r="2963" customHeight="1" spans="1:6">
      <c r="A2963" s="6">
        <v>2962</v>
      </c>
      <c r="B2963" s="8" t="s">
        <v>6311</v>
      </c>
      <c r="C2963" s="8" t="s">
        <v>6312</v>
      </c>
      <c r="D2963" s="8" t="s">
        <v>6313</v>
      </c>
      <c r="E2963" s="8" t="s">
        <v>226</v>
      </c>
      <c r="F2963" s="8" t="s">
        <v>6314</v>
      </c>
    </row>
    <row r="2964" customHeight="1" spans="1:6">
      <c r="A2964" s="6">
        <v>2963</v>
      </c>
      <c r="B2964" s="8" t="s">
        <v>6315</v>
      </c>
      <c r="C2964" s="8" t="s">
        <v>6316</v>
      </c>
      <c r="D2964" s="8" t="s">
        <v>6317</v>
      </c>
      <c r="E2964" s="8" t="s">
        <v>311</v>
      </c>
      <c r="F2964" s="8" t="s">
        <v>6318</v>
      </c>
    </row>
    <row r="2965" customHeight="1" spans="1:6">
      <c r="A2965" s="6">
        <v>2964</v>
      </c>
      <c r="B2965" s="8" t="s">
        <v>6315</v>
      </c>
      <c r="C2965" s="8" t="s">
        <v>6316</v>
      </c>
      <c r="D2965" s="8" t="s">
        <v>6317</v>
      </c>
      <c r="E2965" s="8" t="s">
        <v>311</v>
      </c>
      <c r="F2965" s="8" t="s">
        <v>6318</v>
      </c>
    </row>
    <row r="2966" customHeight="1" spans="1:6">
      <c r="A2966" s="6">
        <v>2965</v>
      </c>
      <c r="B2966" s="8" t="s">
        <v>6319</v>
      </c>
      <c r="C2966" s="8" t="s">
        <v>6320</v>
      </c>
      <c r="D2966" s="8" t="s">
        <v>6321</v>
      </c>
      <c r="E2966" s="8" t="s">
        <v>6322</v>
      </c>
      <c r="F2966" s="8" t="s">
        <v>6323</v>
      </c>
    </row>
    <row r="2967" customHeight="1" spans="1:6">
      <c r="A2967" s="6">
        <v>2966</v>
      </c>
      <c r="B2967" s="8" t="s">
        <v>6319</v>
      </c>
      <c r="C2967" s="8" t="s">
        <v>6320</v>
      </c>
      <c r="D2967" s="8" t="s">
        <v>6321</v>
      </c>
      <c r="E2967" s="8" t="s">
        <v>6322</v>
      </c>
      <c r="F2967" s="8" t="s">
        <v>6323</v>
      </c>
    </row>
    <row r="2968" customHeight="1" spans="1:6">
      <c r="A2968" s="6">
        <v>2967</v>
      </c>
      <c r="B2968" s="8" t="s">
        <v>6324</v>
      </c>
      <c r="C2968" s="8" t="s">
        <v>6325</v>
      </c>
      <c r="D2968" s="8" t="s">
        <v>6326</v>
      </c>
      <c r="E2968" s="8" t="s">
        <v>425</v>
      </c>
      <c r="F2968" s="8" t="s">
        <v>6327</v>
      </c>
    </row>
    <row r="2969" customHeight="1" spans="1:6">
      <c r="A2969" s="6">
        <v>2968</v>
      </c>
      <c r="B2969" s="8" t="s">
        <v>6324</v>
      </c>
      <c r="C2969" s="8" t="s">
        <v>6325</v>
      </c>
      <c r="D2969" s="8" t="s">
        <v>6326</v>
      </c>
      <c r="E2969" s="8" t="s">
        <v>425</v>
      </c>
      <c r="F2969" s="8" t="s">
        <v>6327</v>
      </c>
    </row>
    <row r="2970" customHeight="1" spans="1:6">
      <c r="A2970" s="6">
        <v>2969</v>
      </c>
      <c r="B2970" s="8" t="s">
        <v>6328</v>
      </c>
      <c r="C2970" s="8" t="s">
        <v>6329</v>
      </c>
      <c r="D2970" s="8" t="s">
        <v>6330</v>
      </c>
      <c r="E2970" s="8" t="s">
        <v>350</v>
      </c>
      <c r="F2970" s="8" t="s">
        <v>6331</v>
      </c>
    </row>
    <row r="2971" customHeight="1" spans="1:6">
      <c r="A2971" s="6">
        <v>2970</v>
      </c>
      <c r="B2971" s="8" t="s">
        <v>6328</v>
      </c>
      <c r="C2971" s="8" t="s">
        <v>6329</v>
      </c>
      <c r="D2971" s="8" t="s">
        <v>6330</v>
      </c>
      <c r="E2971" s="8" t="s">
        <v>350</v>
      </c>
      <c r="F2971" s="8" t="s">
        <v>6331</v>
      </c>
    </row>
    <row r="2972" customHeight="1" spans="1:6">
      <c r="A2972" s="6">
        <v>2971</v>
      </c>
      <c r="B2972" s="8" t="s">
        <v>6328</v>
      </c>
      <c r="C2972" s="8" t="s">
        <v>6329</v>
      </c>
      <c r="D2972" s="8" t="s">
        <v>6330</v>
      </c>
      <c r="E2972" s="8" t="s">
        <v>350</v>
      </c>
      <c r="F2972" s="8" t="s">
        <v>6331</v>
      </c>
    </row>
    <row r="2973" customHeight="1" spans="1:6">
      <c r="A2973" s="6">
        <v>2972</v>
      </c>
      <c r="B2973" s="8" t="s">
        <v>6332</v>
      </c>
      <c r="C2973" s="8" t="s">
        <v>6333</v>
      </c>
      <c r="D2973" s="8" t="s">
        <v>6334</v>
      </c>
      <c r="E2973" s="8" t="s">
        <v>2337</v>
      </c>
      <c r="F2973" s="8" t="s">
        <v>6335</v>
      </c>
    </row>
    <row r="2974" customHeight="1" spans="1:6">
      <c r="A2974" s="6">
        <v>2973</v>
      </c>
      <c r="B2974" s="8" t="s">
        <v>6332</v>
      </c>
      <c r="C2974" s="8" t="s">
        <v>6333</v>
      </c>
      <c r="D2974" s="8" t="s">
        <v>6334</v>
      </c>
      <c r="E2974" s="8" t="s">
        <v>2337</v>
      </c>
      <c r="F2974" s="8" t="s">
        <v>6335</v>
      </c>
    </row>
    <row r="2975" customHeight="1" spans="1:6">
      <c r="A2975" s="6">
        <v>2974</v>
      </c>
      <c r="B2975" s="8" t="s">
        <v>6336</v>
      </c>
      <c r="C2975" s="8" t="s">
        <v>6337</v>
      </c>
      <c r="D2975" s="8" t="s">
        <v>6338</v>
      </c>
      <c r="E2975" s="8" t="s">
        <v>283</v>
      </c>
      <c r="F2975" s="8" t="s">
        <v>6339</v>
      </c>
    </row>
    <row r="2976" customHeight="1" spans="1:6">
      <c r="A2976" s="6">
        <v>2975</v>
      </c>
      <c r="B2976" s="8" t="s">
        <v>6336</v>
      </c>
      <c r="C2976" s="8" t="s">
        <v>6337</v>
      </c>
      <c r="D2976" s="8" t="s">
        <v>6338</v>
      </c>
      <c r="E2976" s="8" t="s">
        <v>283</v>
      </c>
      <c r="F2976" s="8" t="s">
        <v>6339</v>
      </c>
    </row>
    <row r="2977" customHeight="1" spans="1:6">
      <c r="A2977" s="6">
        <v>2976</v>
      </c>
      <c r="B2977" s="8" t="s">
        <v>6340</v>
      </c>
      <c r="C2977" s="8" t="s">
        <v>6341</v>
      </c>
      <c r="D2977" s="8" t="s">
        <v>6342</v>
      </c>
      <c r="E2977" s="8" t="s">
        <v>3146</v>
      </c>
      <c r="F2977" s="8" t="s">
        <v>6343</v>
      </c>
    </row>
    <row r="2978" customHeight="1" spans="1:6">
      <c r="A2978" s="6">
        <v>2977</v>
      </c>
      <c r="B2978" s="8" t="s">
        <v>6340</v>
      </c>
      <c r="C2978" s="8" t="s">
        <v>6341</v>
      </c>
      <c r="D2978" s="8" t="s">
        <v>6342</v>
      </c>
      <c r="E2978" s="8" t="s">
        <v>3146</v>
      </c>
      <c r="F2978" s="8" t="s">
        <v>6343</v>
      </c>
    </row>
    <row r="2979" customHeight="1" spans="1:6">
      <c r="A2979" s="6">
        <v>2978</v>
      </c>
      <c r="B2979" s="8" t="s">
        <v>6340</v>
      </c>
      <c r="C2979" s="8" t="s">
        <v>6341</v>
      </c>
      <c r="D2979" s="8" t="s">
        <v>6342</v>
      </c>
      <c r="E2979" s="8" t="s">
        <v>3146</v>
      </c>
      <c r="F2979" s="8" t="s">
        <v>6343</v>
      </c>
    </row>
    <row r="2980" customHeight="1" spans="1:6">
      <c r="A2980" s="6">
        <v>2979</v>
      </c>
      <c r="B2980" s="8" t="s">
        <v>6344</v>
      </c>
      <c r="C2980" s="8" t="s">
        <v>6345</v>
      </c>
      <c r="D2980" s="8" t="s">
        <v>6346</v>
      </c>
      <c r="E2980" s="8" t="s">
        <v>256</v>
      </c>
      <c r="F2980" s="8" t="s">
        <v>6347</v>
      </c>
    </row>
    <row r="2981" customHeight="1" spans="1:6">
      <c r="A2981" s="6">
        <v>2980</v>
      </c>
      <c r="B2981" s="8" t="s">
        <v>6344</v>
      </c>
      <c r="C2981" s="8" t="s">
        <v>6345</v>
      </c>
      <c r="D2981" s="8" t="s">
        <v>6346</v>
      </c>
      <c r="E2981" s="8" t="s">
        <v>256</v>
      </c>
      <c r="F2981" s="8" t="s">
        <v>6347</v>
      </c>
    </row>
    <row r="2982" customHeight="1" spans="1:6">
      <c r="A2982" s="6">
        <v>2981</v>
      </c>
      <c r="B2982" s="8" t="s">
        <v>6344</v>
      </c>
      <c r="C2982" s="8" t="s">
        <v>6345</v>
      </c>
      <c r="D2982" s="8" t="s">
        <v>6346</v>
      </c>
      <c r="E2982" s="8" t="s">
        <v>256</v>
      </c>
      <c r="F2982" s="8" t="s">
        <v>6347</v>
      </c>
    </row>
    <row r="2983" customHeight="1" spans="1:6">
      <c r="A2983" s="6">
        <v>2982</v>
      </c>
      <c r="B2983" s="8" t="s">
        <v>6348</v>
      </c>
      <c r="C2983" s="8" t="s">
        <v>6349</v>
      </c>
      <c r="D2983" s="8" t="s">
        <v>6350</v>
      </c>
      <c r="E2983" s="8" t="s">
        <v>256</v>
      </c>
      <c r="F2983" s="8" t="s">
        <v>6351</v>
      </c>
    </row>
    <row r="2984" customHeight="1" spans="1:6">
      <c r="A2984" s="6">
        <v>2983</v>
      </c>
      <c r="B2984" s="8" t="s">
        <v>6348</v>
      </c>
      <c r="C2984" s="8" t="s">
        <v>6349</v>
      </c>
      <c r="D2984" s="8" t="s">
        <v>6350</v>
      </c>
      <c r="E2984" s="8" t="s">
        <v>256</v>
      </c>
      <c r="F2984" s="8" t="s">
        <v>6351</v>
      </c>
    </row>
    <row r="2985" customHeight="1" spans="1:6">
      <c r="A2985" s="6">
        <v>2984</v>
      </c>
      <c r="B2985" s="8" t="s">
        <v>6352</v>
      </c>
      <c r="C2985" s="8" t="s">
        <v>6353</v>
      </c>
      <c r="D2985" s="8" t="s">
        <v>6354</v>
      </c>
      <c r="E2985" s="8" t="s">
        <v>270</v>
      </c>
      <c r="F2985" s="8" t="s">
        <v>6355</v>
      </c>
    </row>
    <row r="2986" customHeight="1" spans="1:6">
      <c r="A2986" s="6">
        <v>2985</v>
      </c>
      <c r="B2986" s="8" t="s">
        <v>6352</v>
      </c>
      <c r="C2986" s="8" t="s">
        <v>6353</v>
      </c>
      <c r="D2986" s="8" t="s">
        <v>6354</v>
      </c>
      <c r="E2986" s="8" t="s">
        <v>270</v>
      </c>
      <c r="F2986" s="8" t="s">
        <v>6355</v>
      </c>
    </row>
    <row r="2987" customHeight="1" spans="1:6">
      <c r="A2987" s="6">
        <v>2986</v>
      </c>
      <c r="B2987" s="8" t="s">
        <v>6352</v>
      </c>
      <c r="C2987" s="8" t="s">
        <v>6353</v>
      </c>
      <c r="D2987" s="8" t="s">
        <v>6354</v>
      </c>
      <c r="E2987" s="8" t="s">
        <v>270</v>
      </c>
      <c r="F2987" s="8" t="s">
        <v>6355</v>
      </c>
    </row>
    <row r="2988" customHeight="1" spans="1:6">
      <c r="A2988" s="6">
        <v>2987</v>
      </c>
      <c r="B2988" s="8" t="s">
        <v>6356</v>
      </c>
      <c r="C2988" s="8" t="s">
        <v>6357</v>
      </c>
      <c r="D2988" s="8" t="s">
        <v>6358</v>
      </c>
      <c r="E2988" s="8" t="s">
        <v>530</v>
      </c>
      <c r="F2988" s="8" t="s">
        <v>6359</v>
      </c>
    </row>
    <row r="2989" customHeight="1" spans="1:6">
      <c r="A2989" s="6">
        <v>2988</v>
      </c>
      <c r="B2989" s="8" t="s">
        <v>6356</v>
      </c>
      <c r="C2989" s="8" t="s">
        <v>6357</v>
      </c>
      <c r="D2989" s="8" t="s">
        <v>6358</v>
      </c>
      <c r="E2989" s="8" t="s">
        <v>530</v>
      </c>
      <c r="F2989" s="8" t="s">
        <v>6359</v>
      </c>
    </row>
    <row r="2990" customHeight="1" spans="1:6">
      <c r="A2990" s="6">
        <v>2989</v>
      </c>
      <c r="B2990" s="8" t="s">
        <v>6356</v>
      </c>
      <c r="C2990" s="8" t="s">
        <v>6357</v>
      </c>
      <c r="D2990" s="8" t="s">
        <v>6358</v>
      </c>
      <c r="E2990" s="8" t="s">
        <v>530</v>
      </c>
      <c r="F2990" s="8" t="s">
        <v>6359</v>
      </c>
    </row>
    <row r="2991" customHeight="1" spans="1:6">
      <c r="A2991" s="6">
        <v>2990</v>
      </c>
      <c r="B2991" s="8" t="s">
        <v>6360</v>
      </c>
      <c r="C2991" s="8" t="s">
        <v>6361</v>
      </c>
      <c r="D2991" s="8" t="s">
        <v>6362</v>
      </c>
      <c r="E2991" s="8" t="s">
        <v>256</v>
      </c>
      <c r="F2991" s="8" t="s">
        <v>6363</v>
      </c>
    </row>
    <row r="2992" customHeight="1" spans="1:6">
      <c r="A2992" s="6">
        <v>2991</v>
      </c>
      <c r="B2992" s="8" t="s">
        <v>6360</v>
      </c>
      <c r="C2992" s="8" t="s">
        <v>6361</v>
      </c>
      <c r="D2992" s="8" t="s">
        <v>6362</v>
      </c>
      <c r="E2992" s="8" t="s">
        <v>256</v>
      </c>
      <c r="F2992" s="8" t="s">
        <v>6363</v>
      </c>
    </row>
    <row r="2993" customHeight="1" spans="1:6">
      <c r="A2993" s="6">
        <v>2992</v>
      </c>
      <c r="B2993" s="8" t="s">
        <v>6364</v>
      </c>
      <c r="C2993" s="8" t="s">
        <v>6365</v>
      </c>
      <c r="D2993" s="8" t="s">
        <v>6366</v>
      </c>
      <c r="E2993" s="8" t="s">
        <v>256</v>
      </c>
      <c r="F2993" s="8" t="s">
        <v>6367</v>
      </c>
    </row>
    <row r="2994" customHeight="1" spans="1:6">
      <c r="A2994" s="6">
        <v>2993</v>
      </c>
      <c r="B2994" s="8" t="s">
        <v>6364</v>
      </c>
      <c r="C2994" s="8" t="s">
        <v>6365</v>
      </c>
      <c r="D2994" s="8" t="s">
        <v>6366</v>
      </c>
      <c r="E2994" s="8" t="s">
        <v>256</v>
      </c>
      <c r="F2994" s="8" t="s">
        <v>6367</v>
      </c>
    </row>
    <row r="2995" customHeight="1" spans="1:6">
      <c r="A2995" s="6">
        <v>2994</v>
      </c>
      <c r="B2995" s="8" t="s">
        <v>6368</v>
      </c>
      <c r="C2995" s="8" t="s">
        <v>6369</v>
      </c>
      <c r="D2995" s="8" t="s">
        <v>6370</v>
      </c>
      <c r="E2995" s="8" t="s">
        <v>530</v>
      </c>
      <c r="F2995" s="8" t="s">
        <v>6371</v>
      </c>
    </row>
    <row r="2996" customHeight="1" spans="1:6">
      <c r="A2996" s="6">
        <v>2995</v>
      </c>
      <c r="B2996" s="8" t="s">
        <v>6368</v>
      </c>
      <c r="C2996" s="8" t="s">
        <v>6369</v>
      </c>
      <c r="D2996" s="8" t="s">
        <v>6370</v>
      </c>
      <c r="E2996" s="8" t="s">
        <v>530</v>
      </c>
      <c r="F2996" s="8" t="s">
        <v>6371</v>
      </c>
    </row>
    <row r="2997" customHeight="1" spans="1:6">
      <c r="A2997" s="6">
        <v>2996</v>
      </c>
      <c r="B2997" s="8" t="s">
        <v>6368</v>
      </c>
      <c r="C2997" s="8" t="s">
        <v>6369</v>
      </c>
      <c r="D2997" s="8" t="s">
        <v>6370</v>
      </c>
      <c r="E2997" s="8" t="s">
        <v>530</v>
      </c>
      <c r="F2997" s="8" t="s">
        <v>6371</v>
      </c>
    </row>
    <row r="2998" customHeight="1" spans="1:6">
      <c r="A2998" s="6">
        <v>2997</v>
      </c>
      <c r="B2998" s="8" t="s">
        <v>6372</v>
      </c>
      <c r="C2998" s="8" t="s">
        <v>6373</v>
      </c>
      <c r="D2998" s="8" t="s">
        <v>6374</v>
      </c>
      <c r="E2998" s="8" t="s">
        <v>256</v>
      </c>
      <c r="F2998" s="8" t="s">
        <v>6375</v>
      </c>
    </row>
    <row r="2999" customHeight="1" spans="1:6">
      <c r="A2999" s="6">
        <v>2998</v>
      </c>
      <c r="B2999" s="8" t="s">
        <v>6372</v>
      </c>
      <c r="C2999" s="8" t="s">
        <v>6373</v>
      </c>
      <c r="D2999" s="8" t="s">
        <v>6374</v>
      </c>
      <c r="E2999" s="8" t="s">
        <v>256</v>
      </c>
      <c r="F2999" s="8" t="s">
        <v>6375</v>
      </c>
    </row>
    <row r="3000" customHeight="1" spans="1:6">
      <c r="A3000" s="6">
        <v>2999</v>
      </c>
      <c r="B3000" s="8" t="s">
        <v>6376</v>
      </c>
      <c r="C3000" s="8" t="s">
        <v>6377</v>
      </c>
      <c r="D3000" s="8" t="s">
        <v>6378</v>
      </c>
      <c r="E3000" s="8" t="s">
        <v>256</v>
      </c>
      <c r="F3000" s="8" t="s">
        <v>6379</v>
      </c>
    </row>
    <row r="3001" customHeight="1" spans="1:6">
      <c r="A3001" s="6">
        <v>3000</v>
      </c>
      <c r="B3001" s="8" t="s">
        <v>6376</v>
      </c>
      <c r="C3001" s="8" t="s">
        <v>6377</v>
      </c>
      <c r="D3001" s="8" t="s">
        <v>6378</v>
      </c>
      <c r="E3001" s="8" t="s">
        <v>256</v>
      </c>
      <c r="F3001" s="8" t="s">
        <v>6379</v>
      </c>
    </row>
    <row r="3002" customHeight="1" spans="1:6">
      <c r="A3002" s="6">
        <v>3001</v>
      </c>
      <c r="B3002" s="7" t="str">
        <f>"978-7-309-10949-8"</f>
        <v>978-7-309-10949-8</v>
      </c>
      <c r="C3002" s="7" t="str">
        <f>"中级投资学"</f>
        <v>中级投资学</v>
      </c>
      <c r="D3002" s="7" t="str">
        <f>"杨晔， 杨大楷主编"</f>
        <v>杨晔， 杨大楷主编</v>
      </c>
      <c r="E3002" s="7" t="str">
        <f>"复旦大学出版社"</f>
        <v>复旦大学出版社</v>
      </c>
      <c r="F3002" s="7" t="str">
        <f>"F830.59/946"</f>
        <v>F830.59/946</v>
      </c>
    </row>
    <row r="3003" customHeight="1" spans="1:6">
      <c r="A3003" s="6">
        <v>3002</v>
      </c>
      <c r="B3003" s="7" t="str">
        <f>"978-7-309-10949-8"</f>
        <v>978-7-309-10949-8</v>
      </c>
      <c r="C3003" s="7" t="str">
        <f>"中级投资学"</f>
        <v>中级投资学</v>
      </c>
      <c r="D3003" s="7" t="str">
        <f>"杨晔， 杨大楷主编"</f>
        <v>杨晔， 杨大楷主编</v>
      </c>
      <c r="E3003" s="7" t="str">
        <f>"复旦大学出版社"</f>
        <v>复旦大学出版社</v>
      </c>
      <c r="F3003" s="7" t="str">
        <f>"F830.59/946"</f>
        <v>F830.59/946</v>
      </c>
    </row>
    <row r="3004" customHeight="1" spans="1:6">
      <c r="A3004" s="6">
        <v>3003</v>
      </c>
      <c r="B3004" s="7" t="str">
        <f>"978-7-302-40238-1"</f>
        <v>978-7-302-40238-1</v>
      </c>
      <c r="C3004" s="7" t="str">
        <f>"个人理财"</f>
        <v>个人理财</v>
      </c>
      <c r="D3004" s="7" t="str">
        <f>"柴效武编著"</f>
        <v>柴效武编著</v>
      </c>
      <c r="E3004" s="7" t="str">
        <f>"清华大学出版社"</f>
        <v>清华大学出版社</v>
      </c>
      <c r="F3004" s="7" t="str">
        <f>"F830.59/947=2D"</f>
        <v>F830.59/947=2D</v>
      </c>
    </row>
    <row r="3005" customHeight="1" spans="1:6">
      <c r="A3005" s="6">
        <v>3004</v>
      </c>
      <c r="B3005" s="7" t="str">
        <f>"978-7-302-40238-1"</f>
        <v>978-7-302-40238-1</v>
      </c>
      <c r="C3005" s="7" t="str">
        <f>"个人理财"</f>
        <v>个人理财</v>
      </c>
      <c r="D3005" s="7" t="str">
        <f>"柴效武编著"</f>
        <v>柴效武编著</v>
      </c>
      <c r="E3005" s="7" t="str">
        <f>"清华大学出版社"</f>
        <v>清华大学出版社</v>
      </c>
      <c r="F3005" s="7" t="str">
        <f>"F830.59/947=2D"</f>
        <v>F830.59/947=2D</v>
      </c>
    </row>
    <row r="3006" customHeight="1" spans="1:6">
      <c r="A3006" s="6">
        <v>3005</v>
      </c>
      <c r="B3006" s="7" t="str">
        <f>"978-7-111-68944-7"</f>
        <v>978-7-111-68944-7</v>
      </c>
      <c r="C3006" s="7" t="str">
        <f>"风险投资简史"</f>
        <v>风险投资简史</v>
      </c>
      <c r="D3006" s="7" t="str">
        <f>"龚咏泉， 郭勤贵著"</f>
        <v>龚咏泉， 郭勤贵著</v>
      </c>
      <c r="E3006" s="7" t="str">
        <f>"机械工业出版社"</f>
        <v>机械工业出版社</v>
      </c>
      <c r="F3006" s="7" t="str">
        <f>"F830.59/948"</f>
        <v>F830.59/948</v>
      </c>
    </row>
    <row r="3007" customHeight="1" spans="1:6">
      <c r="A3007" s="6">
        <v>3006</v>
      </c>
      <c r="B3007" s="7" t="str">
        <f>"978-7-111-68944-7"</f>
        <v>978-7-111-68944-7</v>
      </c>
      <c r="C3007" s="7" t="str">
        <f>"风险投资简史"</f>
        <v>风险投资简史</v>
      </c>
      <c r="D3007" s="7" t="str">
        <f>"龚咏泉， 郭勤贵著"</f>
        <v>龚咏泉， 郭勤贵著</v>
      </c>
      <c r="E3007" s="7" t="str">
        <f>"机械工业出版社"</f>
        <v>机械工业出版社</v>
      </c>
      <c r="F3007" s="7" t="str">
        <f>"F830.59/948"</f>
        <v>F830.59/948</v>
      </c>
    </row>
    <row r="3008" customHeight="1" spans="1:6">
      <c r="A3008" s="6">
        <v>3007</v>
      </c>
      <c r="B3008" s="8" t="s">
        <v>6380</v>
      </c>
      <c r="C3008" s="8" t="s">
        <v>6381</v>
      </c>
      <c r="D3008" s="8" t="s">
        <v>6382</v>
      </c>
      <c r="E3008" s="8" t="s">
        <v>710</v>
      </c>
      <c r="F3008" s="8" t="s">
        <v>6383</v>
      </c>
    </row>
    <row r="3009" customHeight="1" spans="1:6">
      <c r="A3009" s="6">
        <v>3008</v>
      </c>
      <c r="B3009" s="8" t="s">
        <v>6380</v>
      </c>
      <c r="C3009" s="8" t="s">
        <v>6381</v>
      </c>
      <c r="D3009" s="8" t="s">
        <v>6382</v>
      </c>
      <c r="E3009" s="8" t="s">
        <v>710</v>
      </c>
      <c r="F3009" s="8" t="s">
        <v>6383</v>
      </c>
    </row>
    <row r="3010" customHeight="1" spans="1:6">
      <c r="A3010" s="6">
        <v>3009</v>
      </c>
      <c r="B3010" s="8" t="s">
        <v>6384</v>
      </c>
      <c r="C3010" s="8" t="s">
        <v>6385</v>
      </c>
      <c r="D3010" s="8" t="s">
        <v>6386</v>
      </c>
      <c r="E3010" s="8" t="s">
        <v>311</v>
      </c>
      <c r="F3010" s="8" t="s">
        <v>6387</v>
      </c>
    </row>
    <row r="3011" customHeight="1" spans="1:6">
      <c r="A3011" s="6">
        <v>3010</v>
      </c>
      <c r="B3011" s="8" t="s">
        <v>6384</v>
      </c>
      <c r="C3011" s="8" t="s">
        <v>6385</v>
      </c>
      <c r="D3011" s="8" t="s">
        <v>6386</v>
      </c>
      <c r="E3011" s="8" t="s">
        <v>311</v>
      </c>
      <c r="F3011" s="8" t="s">
        <v>6387</v>
      </c>
    </row>
    <row r="3012" customHeight="1" spans="1:6">
      <c r="A3012" s="6">
        <v>3011</v>
      </c>
      <c r="B3012" s="8" t="s">
        <v>6388</v>
      </c>
      <c r="C3012" s="8" t="s">
        <v>6389</v>
      </c>
      <c r="D3012" s="8" t="s">
        <v>6390</v>
      </c>
      <c r="E3012" s="8" t="s">
        <v>311</v>
      </c>
      <c r="F3012" s="8" t="s">
        <v>6391</v>
      </c>
    </row>
    <row r="3013" customHeight="1" spans="1:6">
      <c r="A3013" s="6">
        <v>3012</v>
      </c>
      <c r="B3013" s="8" t="s">
        <v>6388</v>
      </c>
      <c r="C3013" s="8" t="s">
        <v>6389</v>
      </c>
      <c r="D3013" s="8" t="s">
        <v>6390</v>
      </c>
      <c r="E3013" s="8" t="s">
        <v>311</v>
      </c>
      <c r="F3013" s="8" t="s">
        <v>6391</v>
      </c>
    </row>
    <row r="3014" customHeight="1" spans="1:6">
      <c r="A3014" s="6">
        <v>3013</v>
      </c>
      <c r="B3014" s="8" t="s">
        <v>6392</v>
      </c>
      <c r="C3014" s="8" t="s">
        <v>6393</v>
      </c>
      <c r="D3014" s="8" t="s">
        <v>6394</v>
      </c>
      <c r="E3014" s="8" t="s">
        <v>311</v>
      </c>
      <c r="F3014" s="8" t="s">
        <v>6395</v>
      </c>
    </row>
    <row r="3015" customHeight="1" spans="1:6">
      <c r="A3015" s="6">
        <v>3014</v>
      </c>
      <c r="B3015" s="8" t="s">
        <v>6392</v>
      </c>
      <c r="C3015" s="8" t="s">
        <v>6393</v>
      </c>
      <c r="D3015" s="8" t="s">
        <v>6394</v>
      </c>
      <c r="E3015" s="8" t="s">
        <v>311</v>
      </c>
      <c r="F3015" s="8" t="s">
        <v>6395</v>
      </c>
    </row>
    <row r="3016" customHeight="1" spans="1:6">
      <c r="A3016" s="6">
        <v>3015</v>
      </c>
      <c r="B3016" s="8" t="s">
        <v>6396</v>
      </c>
      <c r="C3016" s="8" t="s">
        <v>6397</v>
      </c>
      <c r="D3016" s="8" t="s">
        <v>6398</v>
      </c>
      <c r="E3016" s="8" t="s">
        <v>256</v>
      </c>
      <c r="F3016" s="8" t="s">
        <v>6399</v>
      </c>
    </row>
    <row r="3017" customHeight="1" spans="1:6">
      <c r="A3017" s="6">
        <v>3016</v>
      </c>
      <c r="B3017" s="8" t="s">
        <v>6396</v>
      </c>
      <c r="C3017" s="8" t="s">
        <v>6397</v>
      </c>
      <c r="D3017" s="8" t="s">
        <v>6398</v>
      </c>
      <c r="E3017" s="8" t="s">
        <v>256</v>
      </c>
      <c r="F3017" s="8" t="s">
        <v>6399</v>
      </c>
    </row>
    <row r="3018" customHeight="1" spans="1:6">
      <c r="A3018" s="6">
        <v>3017</v>
      </c>
      <c r="B3018" s="8" t="s">
        <v>6400</v>
      </c>
      <c r="C3018" s="8" t="s">
        <v>6401</v>
      </c>
      <c r="D3018" s="8" t="s">
        <v>6402</v>
      </c>
      <c r="E3018" s="8" t="s">
        <v>189</v>
      </c>
      <c r="F3018" s="8" t="s">
        <v>6403</v>
      </c>
    </row>
    <row r="3019" customHeight="1" spans="1:6">
      <c r="A3019" s="6">
        <v>3018</v>
      </c>
      <c r="B3019" s="8" t="s">
        <v>6400</v>
      </c>
      <c r="C3019" s="8" t="s">
        <v>6401</v>
      </c>
      <c r="D3019" s="8" t="s">
        <v>6402</v>
      </c>
      <c r="E3019" s="8" t="s">
        <v>189</v>
      </c>
      <c r="F3019" s="8" t="s">
        <v>6403</v>
      </c>
    </row>
    <row r="3020" customHeight="1" spans="1:6">
      <c r="A3020" s="6">
        <v>3019</v>
      </c>
      <c r="B3020" s="8" t="s">
        <v>6404</v>
      </c>
      <c r="C3020" s="8" t="s">
        <v>6405</v>
      </c>
      <c r="D3020" s="8" t="s">
        <v>6406</v>
      </c>
      <c r="E3020" s="8" t="s">
        <v>197</v>
      </c>
      <c r="F3020" s="8" t="s">
        <v>6407</v>
      </c>
    </row>
    <row r="3021" customHeight="1" spans="1:6">
      <c r="A3021" s="6">
        <v>3020</v>
      </c>
      <c r="B3021" s="8" t="s">
        <v>6404</v>
      </c>
      <c r="C3021" s="8" t="s">
        <v>6405</v>
      </c>
      <c r="D3021" s="8" t="s">
        <v>6406</v>
      </c>
      <c r="E3021" s="8" t="s">
        <v>197</v>
      </c>
      <c r="F3021" s="8" t="s">
        <v>6407</v>
      </c>
    </row>
    <row r="3022" customHeight="1" spans="1:6">
      <c r="A3022" s="6">
        <v>3021</v>
      </c>
      <c r="B3022" s="8" t="s">
        <v>568</v>
      </c>
      <c r="C3022" s="8" t="s">
        <v>6408</v>
      </c>
      <c r="D3022" s="8" t="s">
        <v>570</v>
      </c>
      <c r="E3022" s="8" t="s">
        <v>571</v>
      </c>
      <c r="F3022" s="8" t="s">
        <v>6409</v>
      </c>
    </row>
    <row r="3023" customHeight="1" spans="1:6">
      <c r="A3023" s="6">
        <v>3022</v>
      </c>
      <c r="B3023" s="8" t="s">
        <v>568</v>
      </c>
      <c r="C3023" s="8" t="s">
        <v>6408</v>
      </c>
      <c r="D3023" s="8" t="s">
        <v>570</v>
      </c>
      <c r="E3023" s="8" t="s">
        <v>571</v>
      </c>
      <c r="F3023" s="8" t="s">
        <v>6409</v>
      </c>
    </row>
    <row r="3024" customHeight="1" spans="1:6">
      <c r="A3024" s="6">
        <v>3023</v>
      </c>
      <c r="B3024" s="8" t="s">
        <v>6410</v>
      </c>
      <c r="C3024" s="8" t="s">
        <v>6411</v>
      </c>
      <c r="D3024" s="8" t="s">
        <v>6412</v>
      </c>
      <c r="E3024" s="8" t="s">
        <v>311</v>
      </c>
      <c r="F3024" s="8" t="s">
        <v>6413</v>
      </c>
    </row>
    <row r="3025" customHeight="1" spans="1:6">
      <c r="A3025" s="6">
        <v>3024</v>
      </c>
      <c r="B3025" s="8" t="s">
        <v>6410</v>
      </c>
      <c r="C3025" s="8" t="s">
        <v>6411</v>
      </c>
      <c r="D3025" s="8" t="s">
        <v>6412</v>
      </c>
      <c r="E3025" s="8" t="s">
        <v>311</v>
      </c>
      <c r="F3025" s="8" t="s">
        <v>6413</v>
      </c>
    </row>
    <row r="3026" customHeight="1" spans="1:6">
      <c r="A3026" s="6">
        <v>3025</v>
      </c>
      <c r="B3026" s="8" t="s">
        <v>6414</v>
      </c>
      <c r="C3026" s="8" t="s">
        <v>6415</v>
      </c>
      <c r="D3026" s="8" t="s">
        <v>6416</v>
      </c>
      <c r="E3026" s="8" t="s">
        <v>571</v>
      </c>
      <c r="F3026" s="8" t="s">
        <v>6417</v>
      </c>
    </row>
    <row r="3027" customHeight="1" spans="1:6">
      <c r="A3027" s="6">
        <v>3026</v>
      </c>
      <c r="B3027" s="8" t="s">
        <v>6414</v>
      </c>
      <c r="C3027" s="8" t="s">
        <v>6415</v>
      </c>
      <c r="D3027" s="8" t="s">
        <v>6416</v>
      </c>
      <c r="E3027" s="8" t="s">
        <v>571</v>
      </c>
      <c r="F3027" s="8" t="s">
        <v>6417</v>
      </c>
    </row>
    <row r="3028" customHeight="1" spans="1:6">
      <c r="A3028" s="6">
        <v>3027</v>
      </c>
      <c r="B3028" s="7" t="str">
        <f>"978-7-5220-0762-5"</f>
        <v>978-7-5220-0762-5</v>
      </c>
      <c r="C3028" s="7" t="str">
        <f>"移动支付安全与实践．2020"</f>
        <v>移动支付安全与实践．2020</v>
      </c>
      <c r="D3028" s="7" t="str">
        <f>"中国支付清算协会编著"</f>
        <v>中国支付清算协会编著</v>
      </c>
      <c r="E3028" s="7" t="str">
        <f>"中国金融出版社"</f>
        <v>中国金融出版社</v>
      </c>
      <c r="F3028" s="7" t="str">
        <f>"F830.73/101/2020"</f>
        <v>F830.73/101/2020</v>
      </c>
    </row>
    <row r="3029" customHeight="1" spans="1:6">
      <c r="A3029" s="6">
        <v>3028</v>
      </c>
      <c r="B3029" s="7" t="str">
        <f>"978-7-5220-0762-5"</f>
        <v>978-7-5220-0762-5</v>
      </c>
      <c r="C3029" s="7" t="str">
        <f>"移动支付安全与实践．2020"</f>
        <v>移动支付安全与实践．2020</v>
      </c>
      <c r="D3029" s="7" t="str">
        <f>"中国支付清算协会编著"</f>
        <v>中国支付清算协会编著</v>
      </c>
      <c r="E3029" s="7" t="str">
        <f>"中国金融出版社"</f>
        <v>中国金融出版社</v>
      </c>
      <c r="F3029" s="7" t="str">
        <f>"F830.73/101/2020"</f>
        <v>F830.73/101/2020</v>
      </c>
    </row>
    <row r="3030" customHeight="1" spans="1:6">
      <c r="A3030" s="6">
        <v>3029</v>
      </c>
      <c r="B3030" s="8" t="s">
        <v>6418</v>
      </c>
      <c r="C3030" s="8" t="s">
        <v>6419</v>
      </c>
      <c r="D3030" s="8" t="s">
        <v>6420</v>
      </c>
      <c r="E3030" s="8" t="s">
        <v>530</v>
      </c>
      <c r="F3030" s="8" t="s">
        <v>6421</v>
      </c>
    </row>
    <row r="3031" customHeight="1" spans="1:6">
      <c r="A3031" s="6">
        <v>3030</v>
      </c>
      <c r="B3031" s="8" t="s">
        <v>6418</v>
      </c>
      <c r="C3031" s="8" t="s">
        <v>6419</v>
      </c>
      <c r="D3031" s="8" t="s">
        <v>6420</v>
      </c>
      <c r="E3031" s="8" t="s">
        <v>530</v>
      </c>
      <c r="F3031" s="8" t="s">
        <v>6421</v>
      </c>
    </row>
    <row r="3032" customHeight="1" spans="1:6">
      <c r="A3032" s="6">
        <v>3031</v>
      </c>
      <c r="B3032" s="8" t="s">
        <v>6418</v>
      </c>
      <c r="C3032" s="8" t="s">
        <v>6419</v>
      </c>
      <c r="D3032" s="8" t="s">
        <v>6420</v>
      </c>
      <c r="E3032" s="8" t="s">
        <v>530</v>
      </c>
      <c r="F3032" s="8" t="s">
        <v>6421</v>
      </c>
    </row>
    <row r="3033" customHeight="1" spans="1:6">
      <c r="A3033" s="6">
        <v>3032</v>
      </c>
      <c r="B3033" s="8" t="s">
        <v>6422</v>
      </c>
      <c r="C3033" s="8" t="s">
        <v>6423</v>
      </c>
      <c r="D3033" s="8" t="s">
        <v>6424</v>
      </c>
      <c r="E3033" s="8" t="s">
        <v>2566</v>
      </c>
      <c r="F3033" s="8" t="s">
        <v>6425</v>
      </c>
    </row>
    <row r="3034" customHeight="1" spans="1:6">
      <c r="A3034" s="6">
        <v>3033</v>
      </c>
      <c r="B3034" s="8" t="s">
        <v>6422</v>
      </c>
      <c r="C3034" s="8" t="s">
        <v>6423</v>
      </c>
      <c r="D3034" s="8" t="s">
        <v>6424</v>
      </c>
      <c r="E3034" s="8" t="s">
        <v>2566</v>
      </c>
      <c r="F3034" s="8" t="s">
        <v>6425</v>
      </c>
    </row>
    <row r="3035" customHeight="1" spans="1:6">
      <c r="A3035" s="6">
        <v>3034</v>
      </c>
      <c r="B3035" s="7" t="str">
        <f>"978-7-113-28129-8"</f>
        <v>978-7-113-28129-8</v>
      </c>
      <c r="C3035" s="7" t="str">
        <f>"趋势+时机：股市买卖点实操图解"</f>
        <v>趋势+时机：股市买卖点实操图解</v>
      </c>
      <c r="D3035" s="7" t="str">
        <f>"桂阳编著"</f>
        <v>桂阳编著</v>
      </c>
      <c r="E3035" s="7" t="str">
        <f>"中国铁道出版社有限公司"</f>
        <v>中国铁道出版社有限公司</v>
      </c>
      <c r="F3035" s="7" t="str">
        <f>"F830.91/1603"</f>
        <v>F830.91/1603</v>
      </c>
    </row>
    <row r="3036" customHeight="1" spans="1:6">
      <c r="A3036" s="6">
        <v>3035</v>
      </c>
      <c r="B3036" s="7" t="str">
        <f>"978-7-113-28129-8"</f>
        <v>978-7-113-28129-8</v>
      </c>
      <c r="C3036" s="7" t="str">
        <f>"趋势+时机：股市买卖点实操图解"</f>
        <v>趋势+时机：股市买卖点实操图解</v>
      </c>
      <c r="D3036" s="7" t="str">
        <f>"桂阳编著"</f>
        <v>桂阳编著</v>
      </c>
      <c r="E3036" s="7" t="str">
        <f>"中国铁道出版社有限公司"</f>
        <v>中国铁道出版社有限公司</v>
      </c>
      <c r="F3036" s="7" t="str">
        <f>"F830.91/1603"</f>
        <v>F830.91/1603</v>
      </c>
    </row>
    <row r="3037" customHeight="1" spans="1:6">
      <c r="A3037" s="6">
        <v>3036</v>
      </c>
      <c r="B3037" s="8" t="s">
        <v>6426</v>
      </c>
      <c r="C3037" s="8" t="s">
        <v>6427</v>
      </c>
      <c r="D3037" s="8" t="s">
        <v>6428</v>
      </c>
      <c r="E3037" s="8" t="s">
        <v>2212</v>
      </c>
      <c r="F3037" s="8" t="s">
        <v>6429</v>
      </c>
    </row>
    <row r="3038" customHeight="1" spans="1:6">
      <c r="A3038" s="6">
        <v>3037</v>
      </c>
      <c r="B3038" s="8" t="s">
        <v>6426</v>
      </c>
      <c r="C3038" s="8" t="s">
        <v>6427</v>
      </c>
      <c r="D3038" s="8" t="s">
        <v>6428</v>
      </c>
      <c r="E3038" s="8" t="s">
        <v>2212</v>
      </c>
      <c r="F3038" s="8" t="s">
        <v>6429</v>
      </c>
    </row>
    <row r="3039" customHeight="1" spans="1:6">
      <c r="A3039" s="6">
        <v>3038</v>
      </c>
      <c r="B3039" s="8" t="s">
        <v>6430</v>
      </c>
      <c r="C3039" s="8" t="s">
        <v>6431</v>
      </c>
      <c r="D3039" s="8" t="s">
        <v>6432</v>
      </c>
      <c r="E3039" s="8" t="s">
        <v>256</v>
      </c>
      <c r="F3039" s="8" t="s">
        <v>6433</v>
      </c>
    </row>
    <row r="3040" customHeight="1" spans="1:6">
      <c r="A3040" s="6">
        <v>3039</v>
      </c>
      <c r="B3040" s="8" t="s">
        <v>6430</v>
      </c>
      <c r="C3040" s="8" t="s">
        <v>6431</v>
      </c>
      <c r="D3040" s="8" t="s">
        <v>6432</v>
      </c>
      <c r="E3040" s="8" t="s">
        <v>256</v>
      </c>
      <c r="F3040" s="8" t="s">
        <v>6433</v>
      </c>
    </row>
    <row r="3041" customHeight="1" spans="1:6">
      <c r="A3041" s="6">
        <v>3040</v>
      </c>
      <c r="B3041" s="8" t="s">
        <v>6434</v>
      </c>
      <c r="C3041" s="8" t="s">
        <v>6435</v>
      </c>
      <c r="D3041" s="8" t="s">
        <v>6436</v>
      </c>
      <c r="E3041" s="8" t="s">
        <v>710</v>
      </c>
      <c r="F3041" s="8" t="s">
        <v>6437</v>
      </c>
    </row>
    <row r="3042" customHeight="1" spans="1:6">
      <c r="A3042" s="6">
        <v>3041</v>
      </c>
      <c r="B3042" s="8" t="s">
        <v>6434</v>
      </c>
      <c r="C3042" s="8" t="s">
        <v>6435</v>
      </c>
      <c r="D3042" s="8" t="s">
        <v>6436</v>
      </c>
      <c r="E3042" s="8" t="s">
        <v>710</v>
      </c>
      <c r="F3042" s="8" t="s">
        <v>6437</v>
      </c>
    </row>
    <row r="3043" customHeight="1" spans="1:6">
      <c r="A3043" s="6">
        <v>3042</v>
      </c>
      <c r="B3043" s="8" t="s">
        <v>6438</v>
      </c>
      <c r="C3043" s="8" t="s">
        <v>6439</v>
      </c>
      <c r="D3043" s="8" t="s">
        <v>6440</v>
      </c>
      <c r="E3043" s="8" t="s">
        <v>311</v>
      </c>
      <c r="F3043" s="8" t="s">
        <v>6441</v>
      </c>
    </row>
    <row r="3044" customHeight="1" spans="1:6">
      <c r="A3044" s="6">
        <v>3043</v>
      </c>
      <c r="B3044" s="8" t="s">
        <v>6438</v>
      </c>
      <c r="C3044" s="8" t="s">
        <v>6439</v>
      </c>
      <c r="D3044" s="8" t="s">
        <v>6440</v>
      </c>
      <c r="E3044" s="8" t="s">
        <v>311</v>
      </c>
      <c r="F3044" s="8" t="s">
        <v>6441</v>
      </c>
    </row>
    <row r="3045" customHeight="1" spans="1:6">
      <c r="A3045" s="6">
        <v>3044</v>
      </c>
      <c r="B3045" s="8" t="s">
        <v>6442</v>
      </c>
      <c r="C3045" s="8" t="s">
        <v>6443</v>
      </c>
      <c r="D3045" s="8" t="s">
        <v>6444</v>
      </c>
      <c r="E3045" s="8" t="s">
        <v>890</v>
      </c>
      <c r="F3045" s="8" t="s">
        <v>6445</v>
      </c>
    </row>
    <row r="3046" customHeight="1" spans="1:6">
      <c r="A3046" s="6">
        <v>3045</v>
      </c>
      <c r="B3046" s="8" t="s">
        <v>6442</v>
      </c>
      <c r="C3046" s="8" t="s">
        <v>6443</v>
      </c>
      <c r="D3046" s="8" t="s">
        <v>6444</v>
      </c>
      <c r="E3046" s="8" t="s">
        <v>890</v>
      </c>
      <c r="F3046" s="8" t="s">
        <v>6445</v>
      </c>
    </row>
    <row r="3047" customHeight="1" spans="1:6">
      <c r="A3047" s="6">
        <v>3046</v>
      </c>
      <c r="B3047" s="8" t="s">
        <v>6442</v>
      </c>
      <c r="C3047" s="8" t="s">
        <v>6443</v>
      </c>
      <c r="D3047" s="8" t="s">
        <v>6444</v>
      </c>
      <c r="E3047" s="8" t="s">
        <v>890</v>
      </c>
      <c r="F3047" s="8" t="s">
        <v>6445</v>
      </c>
    </row>
    <row r="3048" customHeight="1" spans="1:6">
      <c r="A3048" s="6">
        <v>3047</v>
      </c>
      <c r="B3048" s="8" t="s">
        <v>6446</v>
      </c>
      <c r="C3048" s="8" t="s">
        <v>6447</v>
      </c>
      <c r="D3048" s="8" t="s">
        <v>6448</v>
      </c>
      <c r="E3048" s="8" t="s">
        <v>311</v>
      </c>
      <c r="F3048" s="8" t="s">
        <v>6449</v>
      </c>
    </row>
    <row r="3049" customHeight="1" spans="1:6">
      <c r="A3049" s="6">
        <v>3048</v>
      </c>
      <c r="B3049" s="8" t="s">
        <v>6446</v>
      </c>
      <c r="C3049" s="8" t="s">
        <v>6447</v>
      </c>
      <c r="D3049" s="8" t="s">
        <v>6448</v>
      </c>
      <c r="E3049" s="8" t="s">
        <v>311</v>
      </c>
      <c r="F3049" s="8" t="s">
        <v>6449</v>
      </c>
    </row>
    <row r="3050" customHeight="1" spans="1:6">
      <c r="A3050" s="6">
        <v>3049</v>
      </c>
      <c r="B3050" s="8" t="s">
        <v>6450</v>
      </c>
      <c r="C3050" s="8" t="s">
        <v>6451</v>
      </c>
      <c r="D3050" s="8" t="s">
        <v>6452</v>
      </c>
      <c r="E3050" s="8" t="s">
        <v>256</v>
      </c>
      <c r="F3050" s="8" t="s">
        <v>6453</v>
      </c>
    </row>
    <row r="3051" customHeight="1" spans="1:6">
      <c r="A3051" s="6">
        <v>3050</v>
      </c>
      <c r="B3051" s="8" t="s">
        <v>6450</v>
      </c>
      <c r="C3051" s="8" t="s">
        <v>6451</v>
      </c>
      <c r="D3051" s="8" t="s">
        <v>6452</v>
      </c>
      <c r="E3051" s="8" t="s">
        <v>256</v>
      </c>
      <c r="F3051" s="8" t="s">
        <v>6453</v>
      </c>
    </row>
    <row r="3052" customHeight="1" spans="1:6">
      <c r="A3052" s="6">
        <v>3051</v>
      </c>
      <c r="B3052" s="8" t="s">
        <v>6450</v>
      </c>
      <c r="C3052" s="8" t="s">
        <v>6451</v>
      </c>
      <c r="D3052" s="8" t="s">
        <v>6452</v>
      </c>
      <c r="E3052" s="8" t="s">
        <v>256</v>
      </c>
      <c r="F3052" s="8" t="s">
        <v>6453</v>
      </c>
    </row>
    <row r="3053" customHeight="1" spans="1:6">
      <c r="A3053" s="6">
        <v>3052</v>
      </c>
      <c r="B3053" s="7" t="str">
        <f>"978-7-302-53864-6"</f>
        <v>978-7-302-53864-6</v>
      </c>
      <c r="C3053" s="7" t="str">
        <f>"股票大数据挖掘实战．股票分析篇"</f>
        <v>股票大数据挖掘实战．股票分析篇</v>
      </c>
      <c r="D3053" s="7" t="str">
        <f>"洪志令， 吴梅红编著"</f>
        <v>洪志令， 吴梅红编著</v>
      </c>
      <c r="E3053" s="7" t="str">
        <f>"清华大学出版社"</f>
        <v>清华大学出版社</v>
      </c>
      <c r="F3053" s="7" t="str">
        <f>"F830.91-39/18"</f>
        <v>F830.91-39/18</v>
      </c>
    </row>
    <row r="3054" customHeight="1" spans="1:6">
      <c r="A3054" s="6">
        <v>3053</v>
      </c>
      <c r="B3054" s="7" t="str">
        <f>"978-7-302-53864-6"</f>
        <v>978-7-302-53864-6</v>
      </c>
      <c r="C3054" s="7" t="str">
        <f>"股票大数据挖掘实战．股票分析篇"</f>
        <v>股票大数据挖掘实战．股票分析篇</v>
      </c>
      <c r="D3054" s="7" t="str">
        <f>"洪志令， 吴梅红编著"</f>
        <v>洪志令， 吴梅红编著</v>
      </c>
      <c r="E3054" s="7" t="str">
        <f>"清华大学出版社"</f>
        <v>清华大学出版社</v>
      </c>
      <c r="F3054" s="7" t="str">
        <f>"F830.91-39/18"</f>
        <v>F830.91-39/18</v>
      </c>
    </row>
    <row r="3055" customHeight="1" spans="1:6">
      <c r="A3055" s="6">
        <v>3054</v>
      </c>
      <c r="B3055" s="7" t="str">
        <f t="shared" ref="B3055:B3058" si="223">"978-7-300-24227-9"</f>
        <v>978-7-300-24227-9</v>
      </c>
      <c r="C3055" s="7" t="str">
        <f>"固定收益证券手册．上册"</f>
        <v>固定收益证券手册．上册</v>
      </c>
      <c r="D3055" s="7" t="str">
        <f t="shared" ref="D3055:D3058" si="224">"弗兰克·J. 法博齐(Frank J. Fabozzi)编著；范舟 ... 等译"</f>
        <v>弗兰克·J. 法博齐(Frank J. Fabozzi)编著；范舟 ... 等译</v>
      </c>
      <c r="E3055" s="7" t="str">
        <f t="shared" ref="E3055:E3058" si="225">"中国人民大学出版社"</f>
        <v>中国人民大学出版社</v>
      </c>
      <c r="F3055" s="7" t="str">
        <f>"F830.91-62/3/1"</f>
        <v>F830.91-62/3/1</v>
      </c>
    </row>
    <row r="3056" customHeight="1" spans="1:6">
      <c r="A3056" s="6">
        <v>3055</v>
      </c>
      <c r="B3056" s="7" t="str">
        <f t="shared" si="223"/>
        <v>978-7-300-24227-9</v>
      </c>
      <c r="C3056" s="7" t="str">
        <f>"固定收益证券手册．上册"</f>
        <v>固定收益证券手册．上册</v>
      </c>
      <c r="D3056" s="7" t="str">
        <f t="shared" si="224"/>
        <v>弗兰克·J. 法博齐(Frank J. Fabozzi)编著；范舟 ... 等译</v>
      </c>
      <c r="E3056" s="7" t="str">
        <f t="shared" si="225"/>
        <v>中国人民大学出版社</v>
      </c>
      <c r="F3056" s="7" t="str">
        <f>"F830.91-62/3/1"</f>
        <v>F830.91-62/3/1</v>
      </c>
    </row>
    <row r="3057" customHeight="1" spans="1:6">
      <c r="A3057" s="6">
        <v>3056</v>
      </c>
      <c r="B3057" s="7" t="str">
        <f t="shared" si="223"/>
        <v>978-7-300-24227-9</v>
      </c>
      <c r="C3057" s="7" t="str">
        <f>"固定收益证券手册．下册"</f>
        <v>固定收益证券手册．下册</v>
      </c>
      <c r="D3057" s="7" t="str">
        <f t="shared" si="224"/>
        <v>弗兰克·J. 法博齐(Frank J. Fabozzi)编著；范舟 ... 等译</v>
      </c>
      <c r="E3057" s="7" t="str">
        <f t="shared" si="225"/>
        <v>中国人民大学出版社</v>
      </c>
      <c r="F3057" s="7" t="str">
        <f>"F830.91-62/3/2"</f>
        <v>F830.91-62/3/2</v>
      </c>
    </row>
    <row r="3058" customHeight="1" spans="1:6">
      <c r="A3058" s="6">
        <v>3057</v>
      </c>
      <c r="B3058" s="7" t="str">
        <f t="shared" si="223"/>
        <v>978-7-300-24227-9</v>
      </c>
      <c r="C3058" s="7" t="str">
        <f>"固定收益证券手册．下册"</f>
        <v>固定收益证券手册．下册</v>
      </c>
      <c r="D3058" s="7" t="str">
        <f t="shared" si="224"/>
        <v>弗兰克·J. 法博齐(Frank J. Fabozzi)编著；范舟 ... 等译</v>
      </c>
      <c r="E3058" s="7" t="str">
        <f t="shared" si="225"/>
        <v>中国人民大学出版社</v>
      </c>
      <c r="F3058" s="7" t="str">
        <f>"F830.91-62/3/2"</f>
        <v>F830.91-62/3/2</v>
      </c>
    </row>
    <row r="3059" customHeight="1" spans="1:6">
      <c r="A3059" s="6">
        <v>3058</v>
      </c>
      <c r="B3059" s="8" t="s">
        <v>6454</v>
      </c>
      <c r="C3059" s="8" t="s">
        <v>6455</v>
      </c>
      <c r="D3059" s="8" t="s">
        <v>6456</v>
      </c>
      <c r="E3059" s="8" t="s">
        <v>311</v>
      </c>
      <c r="F3059" s="8" t="s">
        <v>6457</v>
      </c>
    </row>
    <row r="3060" customHeight="1" spans="1:6">
      <c r="A3060" s="6">
        <v>3059</v>
      </c>
      <c r="B3060" s="8" t="s">
        <v>6454</v>
      </c>
      <c r="C3060" s="8" t="s">
        <v>6455</v>
      </c>
      <c r="D3060" s="8" t="s">
        <v>6456</v>
      </c>
      <c r="E3060" s="8" t="s">
        <v>311</v>
      </c>
      <c r="F3060" s="8" t="s">
        <v>6457</v>
      </c>
    </row>
    <row r="3061" customHeight="1" spans="1:6">
      <c r="A3061" s="6">
        <v>3060</v>
      </c>
      <c r="B3061" s="8" t="s">
        <v>6454</v>
      </c>
      <c r="C3061" s="8" t="s">
        <v>6458</v>
      </c>
      <c r="D3061" s="8" t="s">
        <v>6456</v>
      </c>
      <c r="E3061" s="8" t="s">
        <v>311</v>
      </c>
      <c r="F3061" s="8" t="s">
        <v>6459</v>
      </c>
    </row>
    <row r="3062" customHeight="1" spans="1:6">
      <c r="A3062" s="6">
        <v>3061</v>
      </c>
      <c r="B3062" s="8" t="s">
        <v>6454</v>
      </c>
      <c r="C3062" s="8" t="s">
        <v>6458</v>
      </c>
      <c r="D3062" s="8" t="s">
        <v>6456</v>
      </c>
      <c r="E3062" s="8" t="s">
        <v>311</v>
      </c>
      <c r="F3062" s="8" t="s">
        <v>6459</v>
      </c>
    </row>
    <row r="3063" customHeight="1" spans="1:6">
      <c r="A3063" s="6">
        <v>3062</v>
      </c>
      <c r="B3063" s="8" t="s">
        <v>6460</v>
      </c>
      <c r="C3063" s="8" t="s">
        <v>6461</v>
      </c>
      <c r="D3063" s="8" t="s">
        <v>6462</v>
      </c>
      <c r="E3063" s="8" t="s">
        <v>311</v>
      </c>
      <c r="F3063" s="8" t="s">
        <v>6463</v>
      </c>
    </row>
    <row r="3064" customHeight="1" spans="1:6">
      <c r="A3064" s="6">
        <v>3063</v>
      </c>
      <c r="B3064" s="8" t="s">
        <v>6460</v>
      </c>
      <c r="C3064" s="8" t="s">
        <v>6461</v>
      </c>
      <c r="D3064" s="8" t="s">
        <v>6462</v>
      </c>
      <c r="E3064" s="8" t="s">
        <v>311</v>
      </c>
      <c r="F3064" s="8" t="s">
        <v>6463</v>
      </c>
    </row>
    <row r="3065" customHeight="1" spans="1:6">
      <c r="A3065" s="6">
        <v>3064</v>
      </c>
      <c r="B3065" s="8" t="s">
        <v>6464</v>
      </c>
      <c r="C3065" s="8" t="s">
        <v>6465</v>
      </c>
      <c r="D3065" s="8" t="s">
        <v>6466</v>
      </c>
      <c r="E3065" s="8" t="s">
        <v>311</v>
      </c>
      <c r="F3065" s="8" t="s">
        <v>6467</v>
      </c>
    </row>
    <row r="3066" customHeight="1" spans="1:6">
      <c r="A3066" s="6">
        <v>3065</v>
      </c>
      <c r="B3066" s="8" t="s">
        <v>6464</v>
      </c>
      <c r="C3066" s="8" t="s">
        <v>6465</v>
      </c>
      <c r="D3066" s="8" t="s">
        <v>6466</v>
      </c>
      <c r="E3066" s="8" t="s">
        <v>311</v>
      </c>
      <c r="F3066" s="8" t="s">
        <v>6467</v>
      </c>
    </row>
    <row r="3067" customHeight="1" spans="1:6">
      <c r="A3067" s="6">
        <v>3066</v>
      </c>
      <c r="B3067" s="8" t="s">
        <v>6464</v>
      </c>
      <c r="C3067" s="8" t="s">
        <v>6468</v>
      </c>
      <c r="D3067" s="8" t="s">
        <v>6466</v>
      </c>
      <c r="E3067" s="8" t="s">
        <v>311</v>
      </c>
      <c r="F3067" s="8" t="s">
        <v>6469</v>
      </c>
    </row>
    <row r="3068" customHeight="1" spans="1:6">
      <c r="A3068" s="6">
        <v>3067</v>
      </c>
      <c r="B3068" s="8" t="s">
        <v>6464</v>
      </c>
      <c r="C3068" s="8" t="s">
        <v>6468</v>
      </c>
      <c r="D3068" s="8" t="s">
        <v>6466</v>
      </c>
      <c r="E3068" s="8" t="s">
        <v>311</v>
      </c>
      <c r="F3068" s="8" t="s">
        <v>6469</v>
      </c>
    </row>
    <row r="3069" customHeight="1" spans="1:6">
      <c r="A3069" s="6">
        <v>3068</v>
      </c>
      <c r="B3069" s="7" t="str">
        <f>"978-7-111-58966-2"</f>
        <v>978-7-111-58966-2</v>
      </c>
      <c r="C3069" s="7" t="str">
        <f>"期权波动率与定价：高级交易策略与技巧：advanced trading strategies and techniques"</f>
        <v>期权波动率与定价：高级交易策略与技巧：advanced trading strategies and techniques</v>
      </c>
      <c r="D3069" s="7" t="str">
        <f>"(美) 谢尔登·纳坦恩伯格著Sheldon Natenberg；大连商品交易所译"</f>
        <v>(美) 谢尔登·纳坦恩伯格著Sheldon Natenberg；大连商品交易所译</v>
      </c>
      <c r="E3069" s="7" t="str">
        <f>"机械工业出版社"</f>
        <v>机械工业出版社</v>
      </c>
      <c r="F3069" s="7" t="str">
        <f>"F830.93/30"</f>
        <v>F830.93/30</v>
      </c>
    </row>
    <row r="3070" customHeight="1" spans="1:6">
      <c r="A3070" s="6">
        <v>3069</v>
      </c>
      <c r="B3070" s="7" t="str">
        <f>"978-7-111-58966-2"</f>
        <v>978-7-111-58966-2</v>
      </c>
      <c r="C3070" s="7" t="str">
        <f>"期权波动率与定价：高级交易策略与技巧：advanced trading strategies and techniques"</f>
        <v>期权波动率与定价：高级交易策略与技巧：advanced trading strategies and techniques</v>
      </c>
      <c r="D3070" s="7" t="str">
        <f>"(美) 谢尔登·纳坦恩伯格著Sheldon Natenberg；大连商品交易所译"</f>
        <v>(美) 谢尔登·纳坦恩伯格著Sheldon Natenberg；大连商品交易所译</v>
      </c>
      <c r="E3070" s="7" t="str">
        <f>"机械工业出版社"</f>
        <v>机械工业出版社</v>
      </c>
      <c r="F3070" s="7" t="str">
        <f>"F830.93/30"</f>
        <v>F830.93/30</v>
      </c>
    </row>
    <row r="3071" customHeight="1" spans="1:6">
      <c r="A3071" s="6">
        <v>3070</v>
      </c>
      <c r="B3071" s="7" t="str">
        <f>"978-7-5217-2545-2"</f>
        <v>978-7-5217-2545-2</v>
      </c>
      <c r="C3071" s="7" t="str">
        <f>"金融科技知识图谱"</f>
        <v>金融科技知识图谱</v>
      </c>
      <c r="D3071" s="7" t="str">
        <f>"金融科技理论与应用研究小组著"</f>
        <v>金融科技理论与应用研究小组著</v>
      </c>
      <c r="E3071" s="7" t="str">
        <f t="shared" ref="E3071:E3076" si="226">"中信出版集团股份有限公司"</f>
        <v>中信出版集团股份有限公司</v>
      </c>
      <c r="F3071" s="7" t="str">
        <f>"F830/552"</f>
        <v>F830/552</v>
      </c>
    </row>
    <row r="3072" customHeight="1" spans="1:6">
      <c r="A3072" s="6">
        <v>3071</v>
      </c>
      <c r="B3072" s="7" t="str">
        <f>"978-7-5217-2545-2"</f>
        <v>978-7-5217-2545-2</v>
      </c>
      <c r="C3072" s="7" t="str">
        <f>"金融科技知识图谱"</f>
        <v>金融科技知识图谱</v>
      </c>
      <c r="D3072" s="7" t="str">
        <f>"金融科技理论与应用研究小组著"</f>
        <v>金融科技理论与应用研究小组著</v>
      </c>
      <c r="E3072" s="7" t="str">
        <f t="shared" si="226"/>
        <v>中信出版集团股份有限公司</v>
      </c>
      <c r="F3072" s="7" t="str">
        <f>"F830/552"</f>
        <v>F830/552</v>
      </c>
    </row>
    <row r="3073" customHeight="1" spans="1:6">
      <c r="A3073" s="6">
        <v>3072</v>
      </c>
      <c r="B3073" s="7" t="str">
        <f>"978-7-302-03003-4"</f>
        <v>978-7-302-03003-4</v>
      </c>
      <c r="C3073" s="7" t="str">
        <f>"金融工程"</f>
        <v>金融工程</v>
      </c>
      <c r="D3073" s="7" t="str">
        <f>"(美)约翰·马歇尔， (美)维普尔·班赛尔著；宋逢明， 朱宝宪， 张陶伟译"</f>
        <v>(美)约翰·马歇尔， (美)维普尔·班赛尔著；宋逢明， 朱宝宪， 张陶伟译</v>
      </c>
      <c r="E3073" s="7" t="str">
        <f>"清华大学出版社"</f>
        <v>清华大学出版社</v>
      </c>
      <c r="F3073" s="7" t="str">
        <f>"F830/553"</f>
        <v>F830/553</v>
      </c>
    </row>
    <row r="3074" customHeight="1" spans="1:6">
      <c r="A3074" s="6">
        <v>3073</v>
      </c>
      <c r="B3074" s="7" t="str">
        <f>"978-7-302-03003-4"</f>
        <v>978-7-302-03003-4</v>
      </c>
      <c r="C3074" s="7" t="str">
        <f>"金融工程"</f>
        <v>金融工程</v>
      </c>
      <c r="D3074" s="7" t="str">
        <f>"(美)约翰·马歇尔， (美)维普尔·班赛尔著；宋逢明， 朱宝宪， 张陶伟译"</f>
        <v>(美)约翰·马歇尔， (美)维普尔·班赛尔著；宋逢明， 朱宝宪， 张陶伟译</v>
      </c>
      <c r="E3074" s="7" t="str">
        <f>"清华大学出版社"</f>
        <v>清华大学出版社</v>
      </c>
      <c r="F3074" s="7" t="str">
        <f>"F830/553"</f>
        <v>F830/553</v>
      </c>
    </row>
    <row r="3075" customHeight="1" spans="1:6">
      <c r="A3075" s="6">
        <v>3074</v>
      </c>
      <c r="B3075" s="7" t="str">
        <f>"978-7-5217-2928-3"</f>
        <v>978-7-5217-2928-3</v>
      </c>
      <c r="C3075" s="7" t="str">
        <f>"金融创新的真相"</f>
        <v>金融创新的真相</v>
      </c>
      <c r="D3075" s="7" t="str">
        <f>"(英) 阿纳斯塔西娅·内斯维索娃， 罗内·帕兰著Anastasia Nesvetailova， Ronen Palan；何文忠， 刘蜜蜜， 林雪松译"</f>
        <v>(英) 阿纳斯塔西娅·内斯维索娃， 罗内·帕兰著Anastasia Nesvetailova， Ronen Palan；何文忠， 刘蜜蜜， 林雪松译</v>
      </c>
      <c r="E3075" s="7" t="str">
        <f t="shared" si="226"/>
        <v>中信出版集团股份有限公司</v>
      </c>
      <c r="F3075" s="7" t="str">
        <f>"F830/554"</f>
        <v>F830/554</v>
      </c>
    </row>
    <row r="3076" customHeight="1" spans="1:6">
      <c r="A3076" s="6">
        <v>3075</v>
      </c>
      <c r="B3076" s="7" t="str">
        <f>"978-7-5217-2928-3"</f>
        <v>978-7-5217-2928-3</v>
      </c>
      <c r="C3076" s="7" t="str">
        <f>"金融创新的真相"</f>
        <v>金融创新的真相</v>
      </c>
      <c r="D3076" s="7" t="str">
        <f>"(英) 阿纳斯塔西娅·内斯维索娃， 罗内·帕兰著Anastasia Nesvetailova， Ronen Palan；何文忠， 刘蜜蜜， 林雪松译"</f>
        <v>(英) 阿纳斯塔西娅·内斯维索娃， 罗内·帕兰著Anastasia Nesvetailova， Ronen Palan；何文忠， 刘蜜蜜， 林雪松译</v>
      </c>
      <c r="E3076" s="7" t="str">
        <f t="shared" si="226"/>
        <v>中信出版集团股份有限公司</v>
      </c>
      <c r="F3076" s="7" t="str">
        <f>"F830/554"</f>
        <v>F830/554</v>
      </c>
    </row>
    <row r="3077" customHeight="1" spans="1:6">
      <c r="A3077" s="6">
        <v>3076</v>
      </c>
      <c r="B3077" s="8" t="s">
        <v>6470</v>
      </c>
      <c r="C3077" s="8" t="s">
        <v>6471</v>
      </c>
      <c r="D3077" s="8" t="s">
        <v>6472</v>
      </c>
      <c r="E3077" s="8" t="s">
        <v>530</v>
      </c>
      <c r="F3077" s="8" t="s">
        <v>6473</v>
      </c>
    </row>
    <row r="3078" customHeight="1" spans="1:6">
      <c r="A3078" s="6">
        <v>3077</v>
      </c>
      <c r="B3078" s="8" t="s">
        <v>6470</v>
      </c>
      <c r="C3078" s="8" t="s">
        <v>6471</v>
      </c>
      <c r="D3078" s="8" t="s">
        <v>6472</v>
      </c>
      <c r="E3078" s="8" t="s">
        <v>530</v>
      </c>
      <c r="F3078" s="8" t="s">
        <v>6473</v>
      </c>
    </row>
    <row r="3079" customHeight="1" spans="1:6">
      <c r="A3079" s="6">
        <v>3078</v>
      </c>
      <c r="B3079" s="8" t="s">
        <v>6470</v>
      </c>
      <c r="C3079" s="8" t="s">
        <v>6471</v>
      </c>
      <c r="D3079" s="8" t="s">
        <v>6472</v>
      </c>
      <c r="E3079" s="8" t="s">
        <v>530</v>
      </c>
      <c r="F3079" s="8" t="s">
        <v>6473</v>
      </c>
    </row>
    <row r="3080" customHeight="1" spans="1:6">
      <c r="A3080" s="6">
        <v>3079</v>
      </c>
      <c r="B3080" s="8" t="s">
        <v>6474</v>
      </c>
      <c r="C3080" s="8" t="s">
        <v>6475</v>
      </c>
      <c r="D3080" s="8" t="s">
        <v>6476</v>
      </c>
      <c r="E3080" s="8" t="s">
        <v>2418</v>
      </c>
      <c r="F3080" s="8" t="s">
        <v>6477</v>
      </c>
    </row>
    <row r="3081" customHeight="1" spans="1:6">
      <c r="A3081" s="6">
        <v>3080</v>
      </c>
      <c r="B3081" s="8" t="s">
        <v>6474</v>
      </c>
      <c r="C3081" s="8" t="s">
        <v>6475</v>
      </c>
      <c r="D3081" s="8" t="s">
        <v>6476</v>
      </c>
      <c r="E3081" s="8" t="s">
        <v>2418</v>
      </c>
      <c r="F3081" s="8" t="s">
        <v>6477</v>
      </c>
    </row>
    <row r="3082" customHeight="1" spans="1:6">
      <c r="A3082" s="6">
        <v>3081</v>
      </c>
      <c r="B3082" s="8" t="s">
        <v>6474</v>
      </c>
      <c r="C3082" s="8" t="s">
        <v>6475</v>
      </c>
      <c r="D3082" s="8" t="s">
        <v>6476</v>
      </c>
      <c r="E3082" s="8" t="s">
        <v>2418</v>
      </c>
      <c r="F3082" s="8" t="s">
        <v>6477</v>
      </c>
    </row>
    <row r="3083" customHeight="1" spans="1:6">
      <c r="A3083" s="6">
        <v>3082</v>
      </c>
      <c r="B3083" s="8" t="s">
        <v>6478</v>
      </c>
      <c r="C3083" s="8" t="s">
        <v>6479</v>
      </c>
      <c r="D3083" s="8" t="s">
        <v>6480</v>
      </c>
      <c r="E3083" s="8" t="s">
        <v>530</v>
      </c>
      <c r="F3083" s="8" t="s">
        <v>6481</v>
      </c>
    </row>
    <row r="3084" customHeight="1" spans="1:6">
      <c r="A3084" s="6">
        <v>3083</v>
      </c>
      <c r="B3084" s="8" t="s">
        <v>6478</v>
      </c>
      <c r="C3084" s="8" t="s">
        <v>6479</v>
      </c>
      <c r="D3084" s="8" t="s">
        <v>6480</v>
      </c>
      <c r="E3084" s="8" t="s">
        <v>530</v>
      </c>
      <c r="F3084" s="8" t="s">
        <v>6481</v>
      </c>
    </row>
    <row r="3085" customHeight="1" spans="1:6">
      <c r="A3085" s="6">
        <v>3084</v>
      </c>
      <c r="B3085" s="8" t="s">
        <v>6478</v>
      </c>
      <c r="C3085" s="8" t="s">
        <v>6479</v>
      </c>
      <c r="D3085" s="8" t="s">
        <v>6480</v>
      </c>
      <c r="E3085" s="8" t="s">
        <v>530</v>
      </c>
      <c r="F3085" s="8" t="s">
        <v>6481</v>
      </c>
    </row>
    <row r="3086" customHeight="1" spans="1:6">
      <c r="A3086" s="6">
        <v>3085</v>
      </c>
      <c r="B3086" s="8" t="s">
        <v>6482</v>
      </c>
      <c r="C3086" s="8" t="s">
        <v>6483</v>
      </c>
      <c r="D3086" s="8" t="s">
        <v>6484</v>
      </c>
      <c r="E3086" s="8" t="s">
        <v>311</v>
      </c>
      <c r="F3086" s="8" t="s">
        <v>6485</v>
      </c>
    </row>
    <row r="3087" customHeight="1" spans="1:6">
      <c r="A3087" s="6">
        <v>3086</v>
      </c>
      <c r="B3087" s="8" t="s">
        <v>6486</v>
      </c>
      <c r="C3087" s="8" t="s">
        <v>6487</v>
      </c>
      <c r="D3087" s="8" t="s">
        <v>6488</v>
      </c>
      <c r="E3087" s="8" t="s">
        <v>615</v>
      </c>
      <c r="F3087" s="8" t="s">
        <v>6489</v>
      </c>
    </row>
    <row r="3088" customHeight="1" spans="1:6">
      <c r="A3088" s="6">
        <v>3087</v>
      </c>
      <c r="B3088" s="8" t="s">
        <v>6486</v>
      </c>
      <c r="C3088" s="8" t="s">
        <v>6487</v>
      </c>
      <c r="D3088" s="8" t="s">
        <v>6488</v>
      </c>
      <c r="E3088" s="8" t="s">
        <v>615</v>
      </c>
      <c r="F3088" s="8" t="s">
        <v>6489</v>
      </c>
    </row>
    <row r="3089" customHeight="1" spans="1:6">
      <c r="A3089" s="6">
        <v>3088</v>
      </c>
      <c r="B3089" s="8" t="s">
        <v>6486</v>
      </c>
      <c r="C3089" s="8" t="s">
        <v>6487</v>
      </c>
      <c r="D3089" s="8" t="s">
        <v>6488</v>
      </c>
      <c r="E3089" s="8" t="s">
        <v>615</v>
      </c>
      <c r="F3089" s="8" t="s">
        <v>6489</v>
      </c>
    </row>
    <row r="3090" customHeight="1" spans="1:6">
      <c r="A3090" s="6">
        <v>3089</v>
      </c>
      <c r="B3090" s="8" t="s">
        <v>568</v>
      </c>
      <c r="C3090" s="8" t="s">
        <v>6490</v>
      </c>
      <c r="D3090" s="8" t="s">
        <v>570</v>
      </c>
      <c r="E3090" s="8" t="s">
        <v>571</v>
      </c>
      <c r="F3090" s="8" t="s">
        <v>6491</v>
      </c>
    </row>
    <row r="3091" customHeight="1" spans="1:6">
      <c r="A3091" s="6">
        <v>3090</v>
      </c>
      <c r="B3091" s="8" t="s">
        <v>568</v>
      </c>
      <c r="C3091" s="8" t="s">
        <v>6490</v>
      </c>
      <c r="D3091" s="8" t="s">
        <v>570</v>
      </c>
      <c r="E3091" s="8" t="s">
        <v>571</v>
      </c>
      <c r="F3091" s="8" t="s">
        <v>6491</v>
      </c>
    </row>
    <row r="3092" customHeight="1" spans="1:6">
      <c r="A3092" s="6">
        <v>3091</v>
      </c>
      <c r="B3092" s="7" t="str">
        <f>"978-7-5722-1392-2"</f>
        <v>978-7-5722-1392-2</v>
      </c>
      <c r="C3092" s="7" t="str">
        <f>"金融前沿的20种思考"</f>
        <v>金融前沿的20种思考</v>
      </c>
      <c r="D3092" s="7" t="str">
        <f>"巴曙松主编"</f>
        <v>巴曙松主编</v>
      </c>
      <c r="E3092" s="7" t="str">
        <f>"浙江教育出版社"</f>
        <v>浙江教育出版社</v>
      </c>
      <c r="F3092" s="7" t="str">
        <f>"F830-53/6"</f>
        <v>F830-53/6</v>
      </c>
    </row>
    <row r="3093" customHeight="1" spans="1:6">
      <c r="A3093" s="6">
        <v>3092</v>
      </c>
      <c r="B3093" s="7" t="str">
        <f>"978-7-5722-1392-2"</f>
        <v>978-7-5722-1392-2</v>
      </c>
      <c r="C3093" s="7" t="str">
        <f>"金融前沿的20种思考"</f>
        <v>金融前沿的20种思考</v>
      </c>
      <c r="D3093" s="7" t="str">
        <f>"巴曙松主编"</f>
        <v>巴曙松主编</v>
      </c>
      <c r="E3093" s="7" t="str">
        <f>"浙江教育出版社"</f>
        <v>浙江教育出版社</v>
      </c>
      <c r="F3093" s="7" t="str">
        <f>"F830-53/6"</f>
        <v>F830-53/6</v>
      </c>
    </row>
    <row r="3094" customHeight="1" spans="1:6">
      <c r="A3094" s="6">
        <v>3093</v>
      </c>
      <c r="B3094" s="8" t="s">
        <v>6492</v>
      </c>
      <c r="C3094" s="8" t="s">
        <v>6493</v>
      </c>
      <c r="D3094" s="8" t="s">
        <v>6494</v>
      </c>
      <c r="E3094" s="8" t="s">
        <v>2212</v>
      </c>
      <c r="F3094" s="8" t="s">
        <v>6495</v>
      </c>
    </row>
    <row r="3095" customHeight="1" spans="1:6">
      <c r="A3095" s="6">
        <v>3094</v>
      </c>
      <c r="B3095" s="8" t="s">
        <v>6492</v>
      </c>
      <c r="C3095" s="8" t="s">
        <v>6493</v>
      </c>
      <c r="D3095" s="8" t="s">
        <v>6494</v>
      </c>
      <c r="E3095" s="8" t="s">
        <v>2212</v>
      </c>
      <c r="F3095" s="8" t="s">
        <v>6495</v>
      </c>
    </row>
    <row r="3096" customHeight="1" spans="1:6">
      <c r="A3096" s="6">
        <v>3095</v>
      </c>
      <c r="B3096" s="8" t="s">
        <v>6496</v>
      </c>
      <c r="C3096" s="8" t="s">
        <v>6497</v>
      </c>
      <c r="D3096" s="8" t="s">
        <v>6498</v>
      </c>
      <c r="E3096" s="8" t="s">
        <v>283</v>
      </c>
      <c r="F3096" s="8" t="s">
        <v>6499</v>
      </c>
    </row>
    <row r="3097" customHeight="1" spans="1:6">
      <c r="A3097" s="6">
        <v>3096</v>
      </c>
      <c r="B3097" s="8" t="s">
        <v>6496</v>
      </c>
      <c r="C3097" s="8" t="s">
        <v>6497</v>
      </c>
      <c r="D3097" s="8" t="s">
        <v>6498</v>
      </c>
      <c r="E3097" s="8" t="s">
        <v>283</v>
      </c>
      <c r="F3097" s="8" t="s">
        <v>6499</v>
      </c>
    </row>
    <row r="3098" customHeight="1" spans="1:6">
      <c r="A3098" s="6">
        <v>3097</v>
      </c>
      <c r="B3098" s="8" t="s">
        <v>6496</v>
      </c>
      <c r="C3098" s="8" t="s">
        <v>6497</v>
      </c>
      <c r="D3098" s="8" t="s">
        <v>6498</v>
      </c>
      <c r="E3098" s="8" t="s">
        <v>283</v>
      </c>
      <c r="F3098" s="8" t="s">
        <v>6499</v>
      </c>
    </row>
    <row r="3099" customHeight="1" spans="1:6">
      <c r="A3099" s="6">
        <v>3098</v>
      </c>
      <c r="B3099" s="8" t="s">
        <v>6500</v>
      </c>
      <c r="C3099" s="8" t="s">
        <v>6501</v>
      </c>
      <c r="D3099" s="8" t="s">
        <v>6502</v>
      </c>
      <c r="E3099" s="8" t="s">
        <v>2212</v>
      </c>
      <c r="F3099" s="8" t="s">
        <v>6503</v>
      </c>
    </row>
    <row r="3100" customHeight="1" spans="1:6">
      <c r="A3100" s="6">
        <v>3099</v>
      </c>
      <c r="B3100" s="8" t="s">
        <v>6500</v>
      </c>
      <c r="C3100" s="8" t="s">
        <v>6501</v>
      </c>
      <c r="D3100" s="8" t="s">
        <v>6502</v>
      </c>
      <c r="E3100" s="8" t="s">
        <v>2212</v>
      </c>
      <c r="F3100" s="8" t="s">
        <v>6503</v>
      </c>
    </row>
    <row r="3101" customHeight="1" spans="1:6">
      <c r="A3101" s="6">
        <v>3100</v>
      </c>
      <c r="B3101" s="8" t="s">
        <v>6504</v>
      </c>
      <c r="C3101" s="8" t="s">
        <v>6505</v>
      </c>
      <c r="D3101" s="8" t="s">
        <v>6506</v>
      </c>
      <c r="E3101" s="8" t="s">
        <v>189</v>
      </c>
      <c r="F3101" s="8" t="s">
        <v>6507</v>
      </c>
    </row>
    <row r="3102" customHeight="1" spans="1:6">
      <c r="A3102" s="6">
        <v>3101</v>
      </c>
      <c r="B3102" s="8" t="s">
        <v>6504</v>
      </c>
      <c r="C3102" s="8" t="s">
        <v>6505</v>
      </c>
      <c r="D3102" s="8" t="s">
        <v>6506</v>
      </c>
      <c r="E3102" s="8" t="s">
        <v>189</v>
      </c>
      <c r="F3102" s="8" t="s">
        <v>6507</v>
      </c>
    </row>
    <row r="3103" customHeight="1" spans="1:6">
      <c r="A3103" s="6">
        <v>3102</v>
      </c>
      <c r="B3103" s="8" t="s">
        <v>6504</v>
      </c>
      <c r="C3103" s="8" t="s">
        <v>6505</v>
      </c>
      <c r="D3103" s="8" t="s">
        <v>6506</v>
      </c>
      <c r="E3103" s="8" t="s">
        <v>189</v>
      </c>
      <c r="F3103" s="8" t="s">
        <v>6507</v>
      </c>
    </row>
    <row r="3104" customHeight="1" spans="1:6">
      <c r="A3104" s="6">
        <v>3103</v>
      </c>
      <c r="B3104" s="8" t="s">
        <v>6508</v>
      </c>
      <c r="C3104" s="8" t="s">
        <v>6509</v>
      </c>
      <c r="D3104" s="8" t="s">
        <v>6510</v>
      </c>
      <c r="E3104" s="8" t="s">
        <v>256</v>
      </c>
      <c r="F3104" s="8" t="s">
        <v>6511</v>
      </c>
    </row>
    <row r="3105" customHeight="1" spans="1:6">
      <c r="A3105" s="6">
        <v>3104</v>
      </c>
      <c r="B3105" s="8" t="s">
        <v>6508</v>
      </c>
      <c r="C3105" s="8" t="s">
        <v>6509</v>
      </c>
      <c r="D3105" s="8" t="s">
        <v>6510</v>
      </c>
      <c r="E3105" s="8" t="s">
        <v>256</v>
      </c>
      <c r="F3105" s="8" t="s">
        <v>6511</v>
      </c>
    </row>
    <row r="3106" customHeight="1" spans="1:6">
      <c r="A3106" s="6">
        <v>3105</v>
      </c>
      <c r="B3106" s="8" t="s">
        <v>6512</v>
      </c>
      <c r="C3106" s="8" t="s">
        <v>6509</v>
      </c>
      <c r="D3106" s="8" t="s">
        <v>6513</v>
      </c>
      <c r="E3106" s="8" t="s">
        <v>890</v>
      </c>
      <c r="F3106" s="8" t="s">
        <v>6514</v>
      </c>
    </row>
    <row r="3107" customHeight="1" spans="1:6">
      <c r="A3107" s="6">
        <v>3106</v>
      </c>
      <c r="B3107" s="8" t="s">
        <v>6512</v>
      </c>
      <c r="C3107" s="8" t="s">
        <v>6509</v>
      </c>
      <c r="D3107" s="8" t="s">
        <v>6513</v>
      </c>
      <c r="E3107" s="8" t="s">
        <v>890</v>
      </c>
      <c r="F3107" s="8" t="s">
        <v>6514</v>
      </c>
    </row>
    <row r="3108" customHeight="1" spans="1:6">
      <c r="A3108" s="6">
        <v>3107</v>
      </c>
      <c r="B3108" s="8" t="s">
        <v>6512</v>
      </c>
      <c r="C3108" s="8" t="s">
        <v>6509</v>
      </c>
      <c r="D3108" s="8" t="s">
        <v>6513</v>
      </c>
      <c r="E3108" s="8" t="s">
        <v>890</v>
      </c>
      <c r="F3108" s="8" t="s">
        <v>6514</v>
      </c>
    </row>
    <row r="3109" customHeight="1" spans="1:6">
      <c r="A3109" s="6">
        <v>3108</v>
      </c>
      <c r="B3109" s="8" t="s">
        <v>6515</v>
      </c>
      <c r="C3109" s="8" t="s">
        <v>6516</v>
      </c>
      <c r="D3109" s="8" t="s">
        <v>6517</v>
      </c>
      <c r="E3109" s="8" t="s">
        <v>571</v>
      </c>
      <c r="F3109" s="8" t="s">
        <v>6518</v>
      </c>
    </row>
    <row r="3110" customHeight="1" spans="1:6">
      <c r="A3110" s="6">
        <v>3109</v>
      </c>
      <c r="B3110" s="8" t="s">
        <v>6515</v>
      </c>
      <c r="C3110" s="8" t="s">
        <v>6516</v>
      </c>
      <c r="D3110" s="8" t="s">
        <v>6517</v>
      </c>
      <c r="E3110" s="8" t="s">
        <v>571</v>
      </c>
      <c r="F3110" s="8" t="s">
        <v>6518</v>
      </c>
    </row>
    <row r="3111" customHeight="1" spans="1:6">
      <c r="A3111" s="6">
        <v>3110</v>
      </c>
      <c r="B3111" s="8" t="s">
        <v>6519</v>
      </c>
      <c r="C3111" s="8" t="s">
        <v>6520</v>
      </c>
      <c r="D3111" s="8" t="s">
        <v>6521</v>
      </c>
      <c r="E3111" s="8" t="s">
        <v>810</v>
      </c>
      <c r="F3111" s="8" t="s">
        <v>6522</v>
      </c>
    </row>
    <row r="3112" customHeight="1" spans="1:6">
      <c r="A3112" s="6">
        <v>3111</v>
      </c>
      <c r="B3112" s="8" t="s">
        <v>6519</v>
      </c>
      <c r="C3112" s="8" t="s">
        <v>6520</v>
      </c>
      <c r="D3112" s="8" t="s">
        <v>6521</v>
      </c>
      <c r="E3112" s="8" t="s">
        <v>810</v>
      </c>
      <c r="F3112" s="8" t="s">
        <v>6522</v>
      </c>
    </row>
    <row r="3113" customHeight="1" spans="1:6">
      <c r="A3113" s="6">
        <v>3112</v>
      </c>
      <c r="B3113" s="8" t="s">
        <v>6519</v>
      </c>
      <c r="C3113" s="8" t="s">
        <v>6520</v>
      </c>
      <c r="D3113" s="8" t="s">
        <v>6521</v>
      </c>
      <c r="E3113" s="8" t="s">
        <v>810</v>
      </c>
      <c r="F3113" s="8" t="s">
        <v>6522</v>
      </c>
    </row>
    <row r="3114" customHeight="1" spans="1:6">
      <c r="A3114" s="6">
        <v>3113</v>
      </c>
      <c r="B3114" s="8" t="s">
        <v>6523</v>
      </c>
      <c r="C3114" s="8" t="s">
        <v>6516</v>
      </c>
      <c r="D3114" s="8" t="s">
        <v>6524</v>
      </c>
      <c r="E3114" s="8" t="s">
        <v>311</v>
      </c>
      <c r="F3114" s="8" t="s">
        <v>6525</v>
      </c>
    </row>
    <row r="3115" customHeight="1" spans="1:6">
      <c r="A3115" s="6">
        <v>3114</v>
      </c>
      <c r="B3115" s="8" t="s">
        <v>6523</v>
      </c>
      <c r="C3115" s="8" t="s">
        <v>6516</v>
      </c>
      <c r="D3115" s="8" t="s">
        <v>6524</v>
      </c>
      <c r="E3115" s="8" t="s">
        <v>311</v>
      </c>
      <c r="F3115" s="8" t="s">
        <v>6525</v>
      </c>
    </row>
    <row r="3116" customHeight="1" spans="1:6">
      <c r="A3116" s="6">
        <v>3115</v>
      </c>
      <c r="B3116" s="8" t="s">
        <v>6526</v>
      </c>
      <c r="C3116" s="8" t="s">
        <v>6527</v>
      </c>
      <c r="D3116" s="8" t="s">
        <v>6528</v>
      </c>
      <c r="E3116" s="8" t="s">
        <v>270</v>
      </c>
      <c r="F3116" s="8" t="s">
        <v>6529</v>
      </c>
    </row>
    <row r="3117" customHeight="1" spans="1:6">
      <c r="A3117" s="6">
        <v>3116</v>
      </c>
      <c r="B3117" s="8" t="s">
        <v>6526</v>
      </c>
      <c r="C3117" s="8" t="s">
        <v>6527</v>
      </c>
      <c r="D3117" s="8" t="s">
        <v>6528</v>
      </c>
      <c r="E3117" s="8" t="s">
        <v>270</v>
      </c>
      <c r="F3117" s="8" t="s">
        <v>6529</v>
      </c>
    </row>
    <row r="3118" customHeight="1" spans="1:6">
      <c r="A3118" s="6">
        <v>3117</v>
      </c>
      <c r="B3118" s="7" t="str">
        <f>"978-7-121-41425-1"</f>
        <v>978-7-121-41425-1</v>
      </c>
      <c r="C3118" s="7" t="str">
        <f>"金融级IT架构：数字银行的云原生架构解密"</f>
        <v>金融级IT架构：数字银行的云原生架构解密</v>
      </c>
      <c r="D3118" s="7" t="str">
        <f>"网商银行技术编委会主编"</f>
        <v>网商银行技术编委会主编</v>
      </c>
      <c r="E3118" s="7" t="str">
        <f>"电子工业出版社"</f>
        <v>电子工业出版社</v>
      </c>
      <c r="F3118" s="7" t="str">
        <f>"F832.29/17"</f>
        <v>F832.29/17</v>
      </c>
    </row>
    <row r="3119" customHeight="1" spans="1:6">
      <c r="A3119" s="6">
        <v>3118</v>
      </c>
      <c r="B3119" s="7" t="str">
        <f>"978-7-121-41425-1"</f>
        <v>978-7-121-41425-1</v>
      </c>
      <c r="C3119" s="7" t="str">
        <f>"金融级IT架构：数字银行的云原生架构解密"</f>
        <v>金融级IT架构：数字银行的云原生架构解密</v>
      </c>
      <c r="D3119" s="7" t="str">
        <f>"网商银行技术编委会主编"</f>
        <v>网商银行技术编委会主编</v>
      </c>
      <c r="E3119" s="7" t="str">
        <f>"电子工业出版社"</f>
        <v>电子工业出版社</v>
      </c>
      <c r="F3119" s="7" t="str">
        <f>"F832.29/17"</f>
        <v>F832.29/17</v>
      </c>
    </row>
    <row r="3120" customHeight="1" spans="1:6">
      <c r="A3120" s="6">
        <v>3119</v>
      </c>
      <c r="B3120" s="7" t="str">
        <f>"978-7-111-69019-1"</f>
        <v>978-7-111-69019-1</v>
      </c>
      <c r="C3120" s="7" t="str">
        <f>"场景金融：金融科技时代的银行服务变革"</f>
        <v>场景金融：金融科技时代的银行服务变革</v>
      </c>
      <c r="D3120" s="7" t="str">
        <f>"杨哲， 黄迈著"</f>
        <v>杨哲， 黄迈著</v>
      </c>
      <c r="E3120" s="7" t="str">
        <f>"机械工业出版社"</f>
        <v>机械工业出版社</v>
      </c>
      <c r="F3120" s="7" t="str">
        <f>"F832.33/141"</f>
        <v>F832.33/141</v>
      </c>
    </row>
    <row r="3121" customHeight="1" spans="1:6">
      <c r="A3121" s="6">
        <v>3120</v>
      </c>
      <c r="B3121" s="7" t="str">
        <f>"978-7-111-69019-1"</f>
        <v>978-7-111-69019-1</v>
      </c>
      <c r="C3121" s="7" t="str">
        <f>"场景金融：金融科技时代的银行服务变革"</f>
        <v>场景金融：金融科技时代的银行服务变革</v>
      </c>
      <c r="D3121" s="7" t="str">
        <f>"杨哲， 黄迈著"</f>
        <v>杨哲， 黄迈著</v>
      </c>
      <c r="E3121" s="7" t="str">
        <f>"机械工业出版社"</f>
        <v>机械工业出版社</v>
      </c>
      <c r="F3121" s="7" t="str">
        <f>"F832.33/141"</f>
        <v>F832.33/141</v>
      </c>
    </row>
    <row r="3122" customHeight="1" spans="1:6">
      <c r="A3122" s="6">
        <v>3121</v>
      </c>
      <c r="B3122" s="8" t="s">
        <v>6530</v>
      </c>
      <c r="C3122" s="8" t="s">
        <v>6531</v>
      </c>
      <c r="D3122" s="8" t="s">
        <v>6532</v>
      </c>
      <c r="E3122" s="8" t="s">
        <v>239</v>
      </c>
      <c r="F3122" s="8" t="s">
        <v>6533</v>
      </c>
    </row>
    <row r="3123" customHeight="1" spans="1:6">
      <c r="A3123" s="6">
        <v>3122</v>
      </c>
      <c r="B3123" s="8" t="s">
        <v>6530</v>
      </c>
      <c r="C3123" s="8" t="s">
        <v>6531</v>
      </c>
      <c r="D3123" s="8" t="s">
        <v>6532</v>
      </c>
      <c r="E3123" s="8" t="s">
        <v>239</v>
      </c>
      <c r="F3123" s="8" t="s">
        <v>6533</v>
      </c>
    </row>
    <row r="3124" customHeight="1" spans="1:6">
      <c r="A3124" s="6">
        <v>3123</v>
      </c>
      <c r="B3124" s="8" t="s">
        <v>6530</v>
      </c>
      <c r="C3124" s="8" t="s">
        <v>6531</v>
      </c>
      <c r="D3124" s="8" t="s">
        <v>6532</v>
      </c>
      <c r="E3124" s="8" t="s">
        <v>239</v>
      </c>
      <c r="F3124" s="8" t="s">
        <v>6533</v>
      </c>
    </row>
    <row r="3125" customHeight="1" spans="1:6">
      <c r="A3125" s="6">
        <v>3124</v>
      </c>
      <c r="B3125" s="8" t="s">
        <v>6534</v>
      </c>
      <c r="C3125" s="8" t="s">
        <v>6535</v>
      </c>
      <c r="D3125" s="8" t="s">
        <v>6536</v>
      </c>
      <c r="E3125" s="8" t="s">
        <v>48</v>
      </c>
      <c r="F3125" s="8" t="s">
        <v>6537</v>
      </c>
    </row>
    <row r="3126" customHeight="1" spans="1:6">
      <c r="A3126" s="6">
        <v>3125</v>
      </c>
      <c r="B3126" s="8" t="s">
        <v>6534</v>
      </c>
      <c r="C3126" s="8" t="s">
        <v>6535</v>
      </c>
      <c r="D3126" s="8" t="s">
        <v>6536</v>
      </c>
      <c r="E3126" s="8" t="s">
        <v>48</v>
      </c>
      <c r="F3126" s="8" t="s">
        <v>6537</v>
      </c>
    </row>
    <row r="3127" customHeight="1" spans="1:6">
      <c r="A3127" s="6">
        <v>3126</v>
      </c>
      <c r="B3127" s="8" t="s">
        <v>6538</v>
      </c>
      <c r="C3127" s="8" t="s">
        <v>6539</v>
      </c>
      <c r="D3127" s="8" t="s">
        <v>6540</v>
      </c>
      <c r="E3127" s="8" t="s">
        <v>216</v>
      </c>
      <c r="F3127" s="8" t="s">
        <v>6541</v>
      </c>
    </row>
    <row r="3128" customHeight="1" spans="1:6">
      <c r="A3128" s="6">
        <v>3127</v>
      </c>
      <c r="B3128" s="8" t="s">
        <v>6538</v>
      </c>
      <c r="C3128" s="8" t="s">
        <v>6539</v>
      </c>
      <c r="D3128" s="8" t="s">
        <v>6540</v>
      </c>
      <c r="E3128" s="8" t="s">
        <v>216</v>
      </c>
      <c r="F3128" s="8" t="s">
        <v>6541</v>
      </c>
    </row>
    <row r="3129" customHeight="1" spans="1:6">
      <c r="A3129" s="6">
        <v>3128</v>
      </c>
      <c r="B3129" s="8" t="s">
        <v>6542</v>
      </c>
      <c r="C3129" s="8" t="s">
        <v>6543</v>
      </c>
      <c r="D3129" s="8" t="s">
        <v>6544</v>
      </c>
      <c r="E3129" s="8" t="s">
        <v>1796</v>
      </c>
      <c r="F3129" s="8" t="s">
        <v>6545</v>
      </c>
    </row>
    <row r="3130" customHeight="1" spans="1:6">
      <c r="A3130" s="6">
        <v>3129</v>
      </c>
      <c r="B3130" s="8" t="s">
        <v>6542</v>
      </c>
      <c r="C3130" s="8" t="s">
        <v>6543</v>
      </c>
      <c r="D3130" s="8" t="s">
        <v>6544</v>
      </c>
      <c r="E3130" s="8" t="s">
        <v>1796</v>
      </c>
      <c r="F3130" s="8" t="s">
        <v>6545</v>
      </c>
    </row>
    <row r="3131" customHeight="1" spans="1:6">
      <c r="A3131" s="6">
        <v>3130</v>
      </c>
      <c r="B3131" s="8" t="s">
        <v>6542</v>
      </c>
      <c r="C3131" s="8" t="s">
        <v>6543</v>
      </c>
      <c r="D3131" s="8" t="s">
        <v>6544</v>
      </c>
      <c r="E3131" s="8" t="s">
        <v>1796</v>
      </c>
      <c r="F3131" s="8" t="s">
        <v>6545</v>
      </c>
    </row>
    <row r="3132" customHeight="1" spans="1:6">
      <c r="A3132" s="6">
        <v>3131</v>
      </c>
      <c r="B3132" s="8" t="s">
        <v>6546</v>
      </c>
      <c r="C3132" s="8" t="s">
        <v>6547</v>
      </c>
      <c r="D3132" s="8" t="s">
        <v>6548</v>
      </c>
      <c r="E3132" s="8" t="s">
        <v>256</v>
      </c>
      <c r="F3132" s="8" t="s">
        <v>6549</v>
      </c>
    </row>
    <row r="3133" customHeight="1" spans="1:6">
      <c r="A3133" s="6">
        <v>3132</v>
      </c>
      <c r="B3133" s="8" t="s">
        <v>6546</v>
      </c>
      <c r="C3133" s="8" t="s">
        <v>6547</v>
      </c>
      <c r="D3133" s="8" t="s">
        <v>6548</v>
      </c>
      <c r="E3133" s="8" t="s">
        <v>256</v>
      </c>
      <c r="F3133" s="8" t="s">
        <v>6549</v>
      </c>
    </row>
    <row r="3134" customHeight="1" spans="1:6">
      <c r="A3134" s="6">
        <v>3133</v>
      </c>
      <c r="B3134" s="8" t="s">
        <v>6550</v>
      </c>
      <c r="C3134" s="8" t="s">
        <v>6551</v>
      </c>
      <c r="D3134" s="8" t="s">
        <v>6552</v>
      </c>
      <c r="E3134" s="8" t="s">
        <v>415</v>
      </c>
      <c r="F3134" s="8" t="s">
        <v>6553</v>
      </c>
    </row>
    <row r="3135" customHeight="1" spans="1:6">
      <c r="A3135" s="6">
        <v>3134</v>
      </c>
      <c r="B3135" s="8" t="s">
        <v>6550</v>
      </c>
      <c r="C3135" s="8" t="s">
        <v>6551</v>
      </c>
      <c r="D3135" s="8" t="s">
        <v>6552</v>
      </c>
      <c r="E3135" s="8" t="s">
        <v>415</v>
      </c>
      <c r="F3135" s="8" t="s">
        <v>6553</v>
      </c>
    </row>
    <row r="3136" customHeight="1" spans="1:6">
      <c r="A3136" s="6">
        <v>3135</v>
      </c>
      <c r="B3136" s="8" t="s">
        <v>6554</v>
      </c>
      <c r="C3136" s="8" t="s">
        <v>6555</v>
      </c>
      <c r="D3136" s="8" t="s">
        <v>1892</v>
      </c>
      <c r="E3136" s="8" t="s">
        <v>5076</v>
      </c>
      <c r="F3136" s="8" t="s">
        <v>6556</v>
      </c>
    </row>
    <row r="3137" customHeight="1" spans="1:6">
      <c r="A3137" s="6">
        <v>3136</v>
      </c>
      <c r="B3137" s="8" t="s">
        <v>6554</v>
      </c>
      <c r="C3137" s="8" t="s">
        <v>6555</v>
      </c>
      <c r="D3137" s="8" t="s">
        <v>1892</v>
      </c>
      <c r="E3137" s="8" t="s">
        <v>5076</v>
      </c>
      <c r="F3137" s="8" t="s">
        <v>6556</v>
      </c>
    </row>
    <row r="3138" customHeight="1" spans="1:6">
      <c r="A3138" s="6">
        <v>3137</v>
      </c>
      <c r="B3138" s="8" t="s">
        <v>6557</v>
      </c>
      <c r="C3138" s="8" t="s">
        <v>6558</v>
      </c>
      <c r="D3138" s="8" t="s">
        <v>6559</v>
      </c>
      <c r="E3138" s="8" t="s">
        <v>256</v>
      </c>
      <c r="F3138" s="8" t="s">
        <v>6560</v>
      </c>
    </row>
    <row r="3139" customHeight="1" spans="1:6">
      <c r="A3139" s="6">
        <v>3138</v>
      </c>
      <c r="B3139" s="8" t="s">
        <v>6557</v>
      </c>
      <c r="C3139" s="8" t="s">
        <v>6558</v>
      </c>
      <c r="D3139" s="8" t="s">
        <v>6559</v>
      </c>
      <c r="E3139" s="8" t="s">
        <v>256</v>
      </c>
      <c r="F3139" s="8" t="s">
        <v>6560</v>
      </c>
    </row>
    <row r="3140" customHeight="1" spans="1:6">
      <c r="A3140" s="6">
        <v>3139</v>
      </c>
      <c r="B3140" s="8" t="s">
        <v>6557</v>
      </c>
      <c r="C3140" s="8" t="s">
        <v>6558</v>
      </c>
      <c r="D3140" s="8" t="s">
        <v>6559</v>
      </c>
      <c r="E3140" s="8" t="s">
        <v>256</v>
      </c>
      <c r="F3140" s="8" t="s">
        <v>6560</v>
      </c>
    </row>
    <row r="3141" customHeight="1" spans="1:6">
      <c r="A3141" s="6">
        <v>3140</v>
      </c>
      <c r="B3141" s="8" t="s">
        <v>6561</v>
      </c>
      <c r="C3141" s="8" t="s">
        <v>6562</v>
      </c>
      <c r="D3141" s="8" t="s">
        <v>6563</v>
      </c>
      <c r="E3141" s="8" t="s">
        <v>311</v>
      </c>
      <c r="F3141" s="8" t="s">
        <v>6564</v>
      </c>
    </row>
    <row r="3142" customHeight="1" spans="1:6">
      <c r="A3142" s="6">
        <v>3141</v>
      </c>
      <c r="B3142" s="8" t="s">
        <v>6561</v>
      </c>
      <c r="C3142" s="8" t="s">
        <v>6562</v>
      </c>
      <c r="D3142" s="8" t="s">
        <v>6563</v>
      </c>
      <c r="E3142" s="8" t="s">
        <v>311</v>
      </c>
      <c r="F3142" s="8" t="s">
        <v>6564</v>
      </c>
    </row>
    <row r="3143" customHeight="1" spans="1:6">
      <c r="A3143" s="6">
        <v>3142</v>
      </c>
      <c r="B3143" s="8" t="s">
        <v>6565</v>
      </c>
      <c r="C3143" s="8" t="s">
        <v>6566</v>
      </c>
      <c r="D3143" s="8" t="s">
        <v>6567</v>
      </c>
      <c r="E3143" s="8" t="s">
        <v>1667</v>
      </c>
      <c r="F3143" s="8" t="s">
        <v>6568</v>
      </c>
    </row>
    <row r="3144" customHeight="1" spans="1:6">
      <c r="A3144" s="6">
        <v>3143</v>
      </c>
      <c r="B3144" s="8" t="s">
        <v>6565</v>
      </c>
      <c r="C3144" s="8" t="s">
        <v>6566</v>
      </c>
      <c r="D3144" s="8" t="s">
        <v>6567</v>
      </c>
      <c r="E3144" s="8" t="s">
        <v>1667</v>
      </c>
      <c r="F3144" s="8" t="s">
        <v>6568</v>
      </c>
    </row>
    <row r="3145" customHeight="1" spans="1:6">
      <c r="A3145" s="6">
        <v>3144</v>
      </c>
      <c r="B3145" s="8" t="s">
        <v>6569</v>
      </c>
      <c r="C3145" s="8" t="s">
        <v>6570</v>
      </c>
      <c r="D3145" s="8" t="s">
        <v>6571</v>
      </c>
      <c r="E3145" s="8" t="s">
        <v>311</v>
      </c>
      <c r="F3145" s="8" t="s">
        <v>6572</v>
      </c>
    </row>
    <row r="3146" customHeight="1" spans="1:6">
      <c r="A3146" s="6">
        <v>3145</v>
      </c>
      <c r="B3146" s="8" t="s">
        <v>6569</v>
      </c>
      <c r="C3146" s="8" t="s">
        <v>6570</v>
      </c>
      <c r="D3146" s="8" t="s">
        <v>6571</v>
      </c>
      <c r="E3146" s="8" t="s">
        <v>311</v>
      </c>
      <c r="F3146" s="8" t="s">
        <v>6572</v>
      </c>
    </row>
    <row r="3147" customHeight="1" spans="1:6">
      <c r="A3147" s="6">
        <v>3146</v>
      </c>
      <c r="B3147" s="7" t="str">
        <f>"978-7-113-28080-2"</f>
        <v>978-7-113-28080-2</v>
      </c>
      <c r="C3147" s="7" t="str">
        <f>"保险理财从新手到高手"</f>
        <v>保险理财从新手到高手</v>
      </c>
      <c r="D3147" s="7" t="str">
        <f>"罗春秋编著"</f>
        <v>罗春秋编著</v>
      </c>
      <c r="E3147" s="7" t="str">
        <f>"中国铁道出版社有限公司"</f>
        <v>中国铁道出版社有限公司</v>
      </c>
      <c r="F3147" s="7" t="str">
        <f>"F84/45"</f>
        <v>F84/45</v>
      </c>
    </row>
    <row r="3148" customHeight="1" spans="1:6">
      <c r="A3148" s="6">
        <v>3147</v>
      </c>
      <c r="B3148" s="7" t="str">
        <f>"978-7-113-28080-2"</f>
        <v>978-7-113-28080-2</v>
      </c>
      <c r="C3148" s="7" t="str">
        <f>"保险理财从新手到高手"</f>
        <v>保险理财从新手到高手</v>
      </c>
      <c r="D3148" s="7" t="str">
        <f>"罗春秋编著"</f>
        <v>罗春秋编著</v>
      </c>
      <c r="E3148" s="7" t="str">
        <f>"中国铁道出版社有限公司"</f>
        <v>中国铁道出版社有限公司</v>
      </c>
      <c r="F3148" s="7" t="str">
        <f>"F84/45"</f>
        <v>F84/45</v>
      </c>
    </row>
    <row r="3149" customHeight="1" spans="1:6">
      <c r="A3149" s="6">
        <v>3148</v>
      </c>
      <c r="B3149" s="8" t="s">
        <v>6573</v>
      </c>
      <c r="C3149" s="8" t="s">
        <v>6574</v>
      </c>
      <c r="D3149" s="8" t="s">
        <v>6575</v>
      </c>
      <c r="E3149" s="8" t="s">
        <v>415</v>
      </c>
      <c r="F3149" s="8" t="s">
        <v>6576</v>
      </c>
    </row>
    <row r="3150" customHeight="1" spans="1:6">
      <c r="A3150" s="6">
        <v>3149</v>
      </c>
      <c r="B3150" s="8" t="s">
        <v>6573</v>
      </c>
      <c r="C3150" s="8" t="s">
        <v>6574</v>
      </c>
      <c r="D3150" s="8" t="s">
        <v>6575</v>
      </c>
      <c r="E3150" s="8" t="s">
        <v>415</v>
      </c>
      <c r="F3150" s="8" t="s">
        <v>6576</v>
      </c>
    </row>
    <row r="3151" customHeight="1" spans="1:6">
      <c r="A3151" s="6">
        <v>3150</v>
      </c>
      <c r="B3151" s="8" t="s">
        <v>6577</v>
      </c>
      <c r="C3151" s="8" t="s">
        <v>6578</v>
      </c>
      <c r="D3151" s="8" t="s">
        <v>6579</v>
      </c>
      <c r="E3151" s="8" t="s">
        <v>283</v>
      </c>
      <c r="F3151" s="8" t="s">
        <v>6580</v>
      </c>
    </row>
    <row r="3152" customHeight="1" spans="1:6">
      <c r="A3152" s="6">
        <v>3151</v>
      </c>
      <c r="B3152" s="8" t="s">
        <v>6577</v>
      </c>
      <c r="C3152" s="8" t="s">
        <v>6578</v>
      </c>
      <c r="D3152" s="8" t="s">
        <v>6579</v>
      </c>
      <c r="E3152" s="8" t="s">
        <v>283</v>
      </c>
      <c r="F3152" s="8" t="s">
        <v>6580</v>
      </c>
    </row>
    <row r="3153" customHeight="1" spans="1:6">
      <c r="A3153" s="6">
        <v>3152</v>
      </c>
      <c r="B3153" s="8" t="s">
        <v>6581</v>
      </c>
      <c r="C3153" s="8" t="s">
        <v>6582</v>
      </c>
      <c r="D3153" s="8" t="s">
        <v>6583</v>
      </c>
      <c r="E3153" s="8" t="s">
        <v>890</v>
      </c>
      <c r="F3153" s="8" t="s">
        <v>6584</v>
      </c>
    </row>
    <row r="3154" customHeight="1" spans="1:6">
      <c r="A3154" s="6">
        <v>3153</v>
      </c>
      <c r="B3154" s="8" t="s">
        <v>6581</v>
      </c>
      <c r="C3154" s="8" t="s">
        <v>6582</v>
      </c>
      <c r="D3154" s="8" t="s">
        <v>6583</v>
      </c>
      <c r="E3154" s="8" t="s">
        <v>890</v>
      </c>
      <c r="F3154" s="8" t="s">
        <v>6584</v>
      </c>
    </row>
    <row r="3155" customHeight="1" spans="1:6">
      <c r="A3155" s="6">
        <v>3154</v>
      </c>
      <c r="B3155" s="8" t="s">
        <v>6581</v>
      </c>
      <c r="C3155" s="8" t="s">
        <v>6582</v>
      </c>
      <c r="D3155" s="8" t="s">
        <v>6583</v>
      </c>
      <c r="E3155" s="8" t="s">
        <v>890</v>
      </c>
      <c r="F3155" s="8" t="s">
        <v>6584</v>
      </c>
    </row>
    <row r="3156" customHeight="1" spans="1:6">
      <c r="A3156" s="6">
        <v>3155</v>
      </c>
      <c r="B3156" s="8" t="s">
        <v>6585</v>
      </c>
      <c r="C3156" s="8" t="s">
        <v>6586</v>
      </c>
      <c r="D3156" s="8" t="s">
        <v>6587</v>
      </c>
      <c r="E3156" s="8" t="s">
        <v>710</v>
      </c>
      <c r="F3156" s="8" t="s">
        <v>6588</v>
      </c>
    </row>
    <row r="3157" customHeight="1" spans="1:6">
      <c r="A3157" s="6">
        <v>3156</v>
      </c>
      <c r="B3157" s="8" t="s">
        <v>6585</v>
      </c>
      <c r="C3157" s="8" t="s">
        <v>6586</v>
      </c>
      <c r="D3157" s="8" t="s">
        <v>6587</v>
      </c>
      <c r="E3157" s="8" t="s">
        <v>710</v>
      </c>
      <c r="F3157" s="8" t="s">
        <v>6588</v>
      </c>
    </row>
    <row r="3158" customHeight="1" spans="1:6">
      <c r="A3158" s="6">
        <v>3157</v>
      </c>
      <c r="B3158" s="8" t="s">
        <v>6589</v>
      </c>
      <c r="C3158" s="8" t="s">
        <v>6590</v>
      </c>
      <c r="D3158" s="8" t="s">
        <v>6591</v>
      </c>
      <c r="E3158" s="8" t="s">
        <v>311</v>
      </c>
      <c r="F3158" s="8" t="s">
        <v>6592</v>
      </c>
    </row>
    <row r="3159" customHeight="1" spans="1:6">
      <c r="A3159" s="6">
        <v>3158</v>
      </c>
      <c r="B3159" s="8" t="s">
        <v>6589</v>
      </c>
      <c r="C3159" s="8" t="s">
        <v>6590</v>
      </c>
      <c r="D3159" s="8" t="s">
        <v>6591</v>
      </c>
      <c r="E3159" s="8" t="s">
        <v>311</v>
      </c>
      <c r="F3159" s="8" t="s">
        <v>6592</v>
      </c>
    </row>
    <row r="3160" customHeight="1" spans="1:6">
      <c r="A3160" s="6">
        <v>3159</v>
      </c>
      <c r="B3160" s="8" t="s">
        <v>6589</v>
      </c>
      <c r="C3160" s="8" t="s">
        <v>6590</v>
      </c>
      <c r="D3160" s="8" t="s">
        <v>6591</v>
      </c>
      <c r="E3160" s="8" t="s">
        <v>311</v>
      </c>
      <c r="F3160" s="8" t="s">
        <v>6592</v>
      </c>
    </row>
    <row r="3161" customHeight="1" spans="1:6">
      <c r="A3161" s="6">
        <v>3160</v>
      </c>
      <c r="B3161" s="8" t="s">
        <v>6593</v>
      </c>
      <c r="C3161" s="8" t="s">
        <v>6594</v>
      </c>
      <c r="D3161" s="8" t="s">
        <v>6595</v>
      </c>
      <c r="E3161" s="8" t="s">
        <v>48</v>
      </c>
      <c r="F3161" s="8" t="s">
        <v>6596</v>
      </c>
    </row>
    <row r="3162" customHeight="1" spans="1:6">
      <c r="A3162" s="6">
        <v>3161</v>
      </c>
      <c r="B3162" s="8" t="s">
        <v>6593</v>
      </c>
      <c r="C3162" s="8" t="s">
        <v>6594</v>
      </c>
      <c r="D3162" s="8" t="s">
        <v>6595</v>
      </c>
      <c r="E3162" s="8" t="s">
        <v>48</v>
      </c>
      <c r="F3162" s="8" t="s">
        <v>6596</v>
      </c>
    </row>
    <row r="3163" customHeight="1" spans="1:6">
      <c r="A3163" s="6">
        <v>3162</v>
      </c>
      <c r="B3163" s="8" t="s">
        <v>6597</v>
      </c>
      <c r="C3163" s="8" t="s">
        <v>6598</v>
      </c>
      <c r="D3163" s="8" t="s">
        <v>6599</v>
      </c>
      <c r="E3163" s="8" t="s">
        <v>48</v>
      </c>
      <c r="F3163" s="8" t="s">
        <v>6600</v>
      </c>
    </row>
    <row r="3164" customHeight="1" spans="1:6">
      <c r="A3164" s="6">
        <v>3163</v>
      </c>
      <c r="B3164" s="8" t="s">
        <v>6597</v>
      </c>
      <c r="C3164" s="8" t="s">
        <v>6598</v>
      </c>
      <c r="D3164" s="8" t="s">
        <v>6599</v>
      </c>
      <c r="E3164" s="8" t="s">
        <v>48</v>
      </c>
      <c r="F3164" s="8" t="s">
        <v>6600</v>
      </c>
    </row>
    <row r="3165" customHeight="1" spans="1:6">
      <c r="A3165" s="6">
        <v>3164</v>
      </c>
      <c r="B3165" s="8" t="s">
        <v>6601</v>
      </c>
      <c r="C3165" s="8" t="s">
        <v>6602</v>
      </c>
      <c r="D3165" s="8" t="s">
        <v>6603</v>
      </c>
      <c r="E3165" s="8" t="s">
        <v>4896</v>
      </c>
      <c r="F3165" s="8" t="s">
        <v>6604</v>
      </c>
    </row>
    <row r="3166" customHeight="1" spans="1:6">
      <c r="A3166" s="6">
        <v>3165</v>
      </c>
      <c r="B3166" s="8" t="s">
        <v>6601</v>
      </c>
      <c r="C3166" s="8" t="s">
        <v>6602</v>
      </c>
      <c r="D3166" s="8" t="s">
        <v>6603</v>
      </c>
      <c r="E3166" s="8" t="s">
        <v>4896</v>
      </c>
      <c r="F3166" s="8" t="s">
        <v>6604</v>
      </c>
    </row>
    <row r="3167" customHeight="1" spans="1:6">
      <c r="A3167" s="6">
        <v>3166</v>
      </c>
      <c r="B3167" s="8" t="s">
        <v>6601</v>
      </c>
      <c r="C3167" s="8" t="s">
        <v>6602</v>
      </c>
      <c r="D3167" s="8" t="s">
        <v>6603</v>
      </c>
      <c r="E3167" s="8" t="s">
        <v>4896</v>
      </c>
      <c r="F3167" s="8" t="s">
        <v>6604</v>
      </c>
    </row>
    <row r="3168" customHeight="1" spans="1:6">
      <c r="A3168" s="6">
        <v>3167</v>
      </c>
      <c r="B3168" s="8" t="s">
        <v>6605</v>
      </c>
      <c r="C3168" s="8" t="s">
        <v>6606</v>
      </c>
      <c r="D3168" s="8" t="s">
        <v>6607</v>
      </c>
      <c r="E3168" s="8" t="s">
        <v>2790</v>
      </c>
      <c r="F3168" s="8" t="s">
        <v>6608</v>
      </c>
    </row>
    <row r="3169" customHeight="1" spans="1:6">
      <c r="A3169" s="6">
        <v>3168</v>
      </c>
      <c r="B3169" s="8" t="s">
        <v>6605</v>
      </c>
      <c r="C3169" s="8" t="s">
        <v>6606</v>
      </c>
      <c r="D3169" s="8" t="s">
        <v>6607</v>
      </c>
      <c r="E3169" s="8" t="s">
        <v>2790</v>
      </c>
      <c r="F3169" s="8" t="s">
        <v>6608</v>
      </c>
    </row>
    <row r="3170" customHeight="1" spans="1:6">
      <c r="A3170" s="6">
        <v>3169</v>
      </c>
      <c r="B3170" s="8" t="s">
        <v>6609</v>
      </c>
      <c r="C3170" s="8" t="s">
        <v>6610</v>
      </c>
      <c r="D3170" s="8" t="s">
        <v>6611</v>
      </c>
      <c r="E3170" s="8" t="s">
        <v>216</v>
      </c>
      <c r="F3170" s="8" t="s">
        <v>6612</v>
      </c>
    </row>
    <row r="3171" customHeight="1" spans="1:6">
      <c r="A3171" s="6">
        <v>3170</v>
      </c>
      <c r="B3171" s="8" t="s">
        <v>6609</v>
      </c>
      <c r="C3171" s="8" t="s">
        <v>6610</v>
      </c>
      <c r="D3171" s="8" t="s">
        <v>6611</v>
      </c>
      <c r="E3171" s="8" t="s">
        <v>216</v>
      </c>
      <c r="F3171" s="8" t="s">
        <v>6612</v>
      </c>
    </row>
    <row r="3172" customHeight="1" spans="1:6">
      <c r="A3172" s="6">
        <v>3171</v>
      </c>
      <c r="B3172" s="8" t="s">
        <v>6613</v>
      </c>
      <c r="C3172" s="8" t="s">
        <v>6610</v>
      </c>
      <c r="D3172" s="8" t="s">
        <v>6614</v>
      </c>
      <c r="E3172" s="8" t="s">
        <v>256</v>
      </c>
      <c r="F3172" s="8" t="s">
        <v>6615</v>
      </c>
    </row>
    <row r="3173" customHeight="1" spans="1:6">
      <c r="A3173" s="6">
        <v>3172</v>
      </c>
      <c r="B3173" s="8" t="s">
        <v>6613</v>
      </c>
      <c r="C3173" s="8" t="s">
        <v>6610</v>
      </c>
      <c r="D3173" s="8" t="s">
        <v>6614</v>
      </c>
      <c r="E3173" s="8" t="s">
        <v>256</v>
      </c>
      <c r="F3173" s="8" t="s">
        <v>6615</v>
      </c>
    </row>
    <row r="3174" customHeight="1" spans="1:6">
      <c r="A3174" s="6">
        <v>3173</v>
      </c>
      <c r="B3174" s="8" t="s">
        <v>6616</v>
      </c>
      <c r="C3174" s="8" t="s">
        <v>6617</v>
      </c>
      <c r="D3174" s="8" t="s">
        <v>6618</v>
      </c>
      <c r="E3174" s="8" t="s">
        <v>485</v>
      </c>
      <c r="F3174" s="8" t="s">
        <v>6619</v>
      </c>
    </row>
    <row r="3175" customHeight="1" spans="1:6">
      <c r="A3175" s="6">
        <v>3174</v>
      </c>
      <c r="B3175" s="8" t="s">
        <v>6616</v>
      </c>
      <c r="C3175" s="8" t="s">
        <v>6617</v>
      </c>
      <c r="D3175" s="8" t="s">
        <v>6618</v>
      </c>
      <c r="E3175" s="8" t="s">
        <v>485</v>
      </c>
      <c r="F3175" s="8" t="s">
        <v>6619</v>
      </c>
    </row>
    <row r="3176" customHeight="1" spans="1:6">
      <c r="A3176" s="6">
        <v>3175</v>
      </c>
      <c r="B3176" s="8" t="s">
        <v>6616</v>
      </c>
      <c r="C3176" s="8" t="s">
        <v>6617</v>
      </c>
      <c r="D3176" s="8" t="s">
        <v>6618</v>
      </c>
      <c r="E3176" s="8" t="s">
        <v>485</v>
      </c>
      <c r="F3176" s="8" t="s">
        <v>6619</v>
      </c>
    </row>
    <row r="3177" customHeight="1" spans="1:6">
      <c r="A3177" s="6">
        <v>3176</v>
      </c>
      <c r="B3177" s="8" t="s">
        <v>6620</v>
      </c>
      <c r="C3177" s="8" t="s">
        <v>6621</v>
      </c>
      <c r="D3177" s="8" t="s">
        <v>6622</v>
      </c>
      <c r="E3177" s="8" t="s">
        <v>710</v>
      </c>
      <c r="F3177" s="8" t="s">
        <v>6623</v>
      </c>
    </row>
    <row r="3178" customHeight="1" spans="1:6">
      <c r="A3178" s="6">
        <v>3177</v>
      </c>
      <c r="B3178" s="8" t="s">
        <v>6620</v>
      </c>
      <c r="C3178" s="8" t="s">
        <v>6621</v>
      </c>
      <c r="D3178" s="8" t="s">
        <v>6622</v>
      </c>
      <c r="E3178" s="8" t="s">
        <v>710</v>
      </c>
      <c r="F3178" s="8" t="s">
        <v>6623</v>
      </c>
    </row>
    <row r="3179" customHeight="1" spans="1:6">
      <c r="A3179" s="6">
        <v>3178</v>
      </c>
      <c r="B3179" s="8" t="s">
        <v>6624</v>
      </c>
      <c r="C3179" s="8" t="s">
        <v>6625</v>
      </c>
      <c r="D3179" s="8" t="s">
        <v>6626</v>
      </c>
      <c r="E3179" s="8" t="s">
        <v>710</v>
      </c>
      <c r="F3179" s="8" t="s">
        <v>6627</v>
      </c>
    </row>
    <row r="3180" customHeight="1" spans="1:6">
      <c r="A3180" s="6">
        <v>3179</v>
      </c>
      <c r="B3180" s="8" t="s">
        <v>6624</v>
      </c>
      <c r="C3180" s="8" t="s">
        <v>6625</v>
      </c>
      <c r="D3180" s="8" t="s">
        <v>6626</v>
      </c>
      <c r="E3180" s="8" t="s">
        <v>710</v>
      </c>
      <c r="F3180" s="8" t="s">
        <v>6627</v>
      </c>
    </row>
  </sheetData>
  <pageMargins left="0.75" right="0.75" top="1" bottom="1" header="0.5" footer="0.5"/>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1" tint="0.5"/>
  </sheetPr>
  <dimension ref="A1:F1052"/>
  <sheetViews>
    <sheetView workbookViewId="0">
      <selection activeCell="E31" sqref="E31"/>
    </sheetView>
  </sheetViews>
  <sheetFormatPr defaultColWidth="9" defaultRowHeight="18" customHeight="1" outlineLevelCol="5"/>
  <cols>
    <col min="1" max="1" width="5.375" style="12" customWidth="1"/>
    <col min="2" max="2" width="19.375" customWidth="1"/>
    <col min="3" max="3" width="45.625" customWidth="1"/>
    <col min="4" max="4" width="35.625" customWidth="1"/>
    <col min="5" max="5" width="27.125" customWidth="1"/>
    <col min="6" max="6" width="17.125" customWidth="1"/>
  </cols>
  <sheetData>
    <row r="1" s="2" customFormat="1" customHeight="1" spans="1:6">
      <c r="A1" s="15" t="str">
        <f>"序号"</f>
        <v>序号</v>
      </c>
      <c r="B1" s="15" t="str">
        <f>"ISBN"</f>
        <v>ISBN</v>
      </c>
      <c r="C1" s="15" t="str">
        <f>"题名"</f>
        <v>题名</v>
      </c>
      <c r="D1" s="15" t="str">
        <f>"责任者"</f>
        <v>责任者</v>
      </c>
      <c r="E1" s="15" t="str">
        <f>"出版社"</f>
        <v>出版社</v>
      </c>
      <c r="F1" s="15" t="str">
        <f>"索取号"</f>
        <v>索取号</v>
      </c>
    </row>
    <row r="2" customHeight="1" spans="1:6">
      <c r="A2" s="6">
        <v>1</v>
      </c>
      <c r="B2" s="8" t="s">
        <v>6628</v>
      </c>
      <c r="C2" s="8" t="s">
        <v>6629</v>
      </c>
      <c r="D2" s="8" t="s">
        <v>6630</v>
      </c>
      <c r="E2" s="8" t="s">
        <v>23</v>
      </c>
      <c r="F2" s="8" t="s">
        <v>6631</v>
      </c>
    </row>
    <row r="3" customHeight="1" spans="1:6">
      <c r="A3" s="6">
        <v>2</v>
      </c>
      <c r="B3" s="8" t="s">
        <v>6628</v>
      </c>
      <c r="C3" s="8" t="s">
        <v>6632</v>
      </c>
      <c r="D3" s="8" t="s">
        <v>6630</v>
      </c>
      <c r="E3" s="8" t="s">
        <v>23</v>
      </c>
      <c r="F3" s="8" t="s">
        <v>6633</v>
      </c>
    </row>
    <row r="4" customHeight="1" spans="1:6">
      <c r="A4" s="6">
        <v>3</v>
      </c>
      <c r="B4" s="8" t="s">
        <v>6628</v>
      </c>
      <c r="C4" s="8" t="s">
        <v>6634</v>
      </c>
      <c r="D4" s="8" t="s">
        <v>6630</v>
      </c>
      <c r="E4" s="8" t="s">
        <v>23</v>
      </c>
      <c r="F4" s="8" t="s">
        <v>6635</v>
      </c>
    </row>
    <row r="5" customHeight="1" spans="1:6">
      <c r="A5" s="6">
        <v>4</v>
      </c>
      <c r="B5" s="8" t="s">
        <v>6628</v>
      </c>
      <c r="C5" s="8" t="s">
        <v>6636</v>
      </c>
      <c r="D5" s="8" t="s">
        <v>6630</v>
      </c>
      <c r="E5" s="8" t="s">
        <v>23</v>
      </c>
      <c r="F5" s="8" t="s">
        <v>6637</v>
      </c>
    </row>
    <row r="6" customHeight="1" spans="1:6">
      <c r="A6" s="6">
        <v>5</v>
      </c>
      <c r="B6" s="8" t="s">
        <v>6628</v>
      </c>
      <c r="C6" s="8" t="s">
        <v>6638</v>
      </c>
      <c r="D6" s="8" t="s">
        <v>6630</v>
      </c>
      <c r="E6" s="8" t="s">
        <v>23</v>
      </c>
      <c r="F6" s="8" t="s">
        <v>6639</v>
      </c>
    </row>
    <row r="7" customHeight="1" spans="1:6">
      <c r="A7" s="6">
        <v>6</v>
      </c>
      <c r="B7" s="8" t="s">
        <v>6628</v>
      </c>
      <c r="C7" s="8" t="s">
        <v>6640</v>
      </c>
      <c r="D7" s="8" t="s">
        <v>6630</v>
      </c>
      <c r="E7" s="8" t="s">
        <v>23</v>
      </c>
      <c r="F7" s="8" t="s">
        <v>6641</v>
      </c>
    </row>
    <row r="8" customHeight="1" spans="1:6">
      <c r="A8" s="6">
        <v>7</v>
      </c>
      <c r="B8" s="8" t="s">
        <v>6628</v>
      </c>
      <c r="C8" s="8" t="s">
        <v>6642</v>
      </c>
      <c r="D8" s="8" t="s">
        <v>6630</v>
      </c>
      <c r="E8" s="8" t="s">
        <v>23</v>
      </c>
      <c r="F8" s="8" t="s">
        <v>6643</v>
      </c>
    </row>
    <row r="9" customHeight="1" spans="1:6">
      <c r="A9" s="6">
        <v>8</v>
      </c>
      <c r="B9" s="8" t="s">
        <v>6628</v>
      </c>
      <c r="C9" s="8" t="s">
        <v>6644</v>
      </c>
      <c r="D9" s="8" t="s">
        <v>6630</v>
      </c>
      <c r="E9" s="8" t="s">
        <v>23</v>
      </c>
      <c r="F9" s="8" t="s">
        <v>6645</v>
      </c>
    </row>
    <row r="10" customHeight="1" spans="1:6">
      <c r="A10" s="6">
        <v>9</v>
      </c>
      <c r="B10" s="8" t="s">
        <v>6646</v>
      </c>
      <c r="C10" s="8" t="s">
        <v>6647</v>
      </c>
      <c r="D10" s="8" t="s">
        <v>6648</v>
      </c>
      <c r="E10" s="8" t="s">
        <v>261</v>
      </c>
      <c r="F10" s="8" t="s">
        <v>6649</v>
      </c>
    </row>
    <row r="11" customHeight="1" spans="1:6">
      <c r="A11" s="6">
        <v>10</v>
      </c>
      <c r="B11" s="8" t="s">
        <v>6646</v>
      </c>
      <c r="C11" s="8" t="s">
        <v>6647</v>
      </c>
      <c r="D11" s="8" t="s">
        <v>6648</v>
      </c>
      <c r="E11" s="8" t="s">
        <v>261</v>
      </c>
      <c r="F11" s="8" t="s">
        <v>6649</v>
      </c>
    </row>
    <row r="12" customHeight="1" spans="1:6">
      <c r="A12" s="6">
        <v>11</v>
      </c>
      <c r="B12" s="8" t="s">
        <v>6646</v>
      </c>
      <c r="C12" s="8" t="s">
        <v>6647</v>
      </c>
      <c r="D12" s="8" t="s">
        <v>6648</v>
      </c>
      <c r="E12" s="8" t="s">
        <v>261</v>
      </c>
      <c r="F12" s="8" t="s">
        <v>6649</v>
      </c>
    </row>
    <row r="13" customHeight="1" spans="1:6">
      <c r="A13" s="6">
        <v>12</v>
      </c>
      <c r="B13" s="7" t="str">
        <f>"978-7-101-14838-1"</f>
        <v>978-7-101-14838-1</v>
      </c>
      <c r="C13" s="7" t="str">
        <f>"长问西东"</f>
        <v>长问西东</v>
      </c>
      <c r="D13" s="7" t="str">
        <f>"刘东著"</f>
        <v>刘东著</v>
      </c>
      <c r="E13" s="7" t="str">
        <f>"中华书局"</f>
        <v>中华书局</v>
      </c>
      <c r="F13" s="7" t="str">
        <f>"G0-53/11"</f>
        <v>G0-53/11</v>
      </c>
    </row>
    <row r="14" customHeight="1" spans="1:6">
      <c r="A14" s="6">
        <v>13</v>
      </c>
      <c r="B14" s="7" t="str">
        <f>"978-7-101-14838-1"</f>
        <v>978-7-101-14838-1</v>
      </c>
      <c r="C14" s="7" t="str">
        <f>"长问西东"</f>
        <v>长问西东</v>
      </c>
      <c r="D14" s="7" t="str">
        <f>"刘东著"</f>
        <v>刘东著</v>
      </c>
      <c r="E14" s="7" t="str">
        <f>"中华书局"</f>
        <v>中华书局</v>
      </c>
      <c r="F14" s="7" t="str">
        <f>"G0-53/11"</f>
        <v>G0-53/11</v>
      </c>
    </row>
    <row r="15" customHeight="1" spans="1:6">
      <c r="A15" s="6">
        <v>14</v>
      </c>
      <c r="B15" s="7" t="str">
        <f>"978-7-302-41325-7"</f>
        <v>978-7-302-41325-7</v>
      </c>
      <c r="C15" s="7" t="str">
        <f>"文化产业学"</f>
        <v>文化产业学</v>
      </c>
      <c r="D15" s="7" t="str">
        <f>"胡惠林著"</f>
        <v>胡惠林著</v>
      </c>
      <c r="E15" s="7" t="str">
        <f>"清华大学出版社"</f>
        <v>清华大学出版社</v>
      </c>
      <c r="F15" s="7" t="str">
        <f>"G114/44=2D"</f>
        <v>G114/44=2D</v>
      </c>
    </row>
    <row r="16" customHeight="1" spans="1:6">
      <c r="A16" s="6">
        <v>15</v>
      </c>
      <c r="B16" s="7" t="str">
        <f>"978-7-302-41325-7"</f>
        <v>978-7-302-41325-7</v>
      </c>
      <c r="C16" s="7" t="str">
        <f>"文化产业学"</f>
        <v>文化产业学</v>
      </c>
      <c r="D16" s="7" t="str">
        <f>"胡惠林著"</f>
        <v>胡惠林著</v>
      </c>
      <c r="E16" s="7" t="str">
        <f>"清华大学出版社"</f>
        <v>清华大学出版社</v>
      </c>
      <c r="F16" s="7" t="str">
        <f>"G114/44=2D"</f>
        <v>G114/44=2D</v>
      </c>
    </row>
    <row r="17" customHeight="1" spans="1:6">
      <c r="A17" s="6">
        <v>16</v>
      </c>
      <c r="B17" s="8" t="s">
        <v>6650</v>
      </c>
      <c r="C17" s="8" t="s">
        <v>6651</v>
      </c>
      <c r="D17" s="8" t="s">
        <v>6652</v>
      </c>
      <c r="E17" s="8" t="s">
        <v>197</v>
      </c>
      <c r="F17" s="8" t="s">
        <v>6653</v>
      </c>
    </row>
    <row r="18" customHeight="1" spans="1:6">
      <c r="A18" s="6">
        <v>17</v>
      </c>
      <c r="B18" s="8" t="s">
        <v>6650</v>
      </c>
      <c r="C18" s="8" t="s">
        <v>6651</v>
      </c>
      <c r="D18" s="8" t="s">
        <v>6652</v>
      </c>
      <c r="E18" s="8" t="s">
        <v>197</v>
      </c>
      <c r="F18" s="8" t="s">
        <v>6653</v>
      </c>
    </row>
    <row r="19" customHeight="1" spans="1:6">
      <c r="A19" s="6">
        <v>18</v>
      </c>
      <c r="B19" s="8" t="s">
        <v>6654</v>
      </c>
      <c r="C19" s="8" t="s">
        <v>6655</v>
      </c>
      <c r="D19" s="8" t="s">
        <v>6656</v>
      </c>
      <c r="E19" s="8" t="s">
        <v>197</v>
      </c>
      <c r="F19" s="8" t="s">
        <v>6657</v>
      </c>
    </row>
    <row r="20" customHeight="1" spans="1:6">
      <c r="A20" s="6">
        <v>19</v>
      </c>
      <c r="B20" s="8" t="s">
        <v>6654</v>
      </c>
      <c r="C20" s="8" t="s">
        <v>6655</v>
      </c>
      <c r="D20" s="8" t="s">
        <v>6656</v>
      </c>
      <c r="E20" s="8" t="s">
        <v>197</v>
      </c>
      <c r="F20" s="8" t="s">
        <v>6657</v>
      </c>
    </row>
    <row r="21" customHeight="1" spans="1:6">
      <c r="A21" s="6">
        <v>20</v>
      </c>
      <c r="B21" s="7" t="str">
        <f>"978-7-214-26046-8"</f>
        <v>978-7-214-26046-8</v>
      </c>
      <c r="C21" s="7" t="str">
        <f>"融合共生：新时代网络文化建设研究"</f>
        <v>融合共生：新时代网络文化建设研究</v>
      </c>
      <c r="D21" s="7" t="str">
        <f>"邓海林著"</f>
        <v>邓海林著</v>
      </c>
      <c r="E21" s="7" t="str">
        <f>"江苏人民出版社"</f>
        <v>江苏人民出版社</v>
      </c>
      <c r="F21" s="7" t="str">
        <f>"G122/72"</f>
        <v>G122/72</v>
      </c>
    </row>
    <row r="22" customHeight="1" spans="1:6">
      <c r="A22" s="6">
        <v>21</v>
      </c>
      <c r="B22" s="7" t="str">
        <f>"978-7-214-26046-8"</f>
        <v>978-7-214-26046-8</v>
      </c>
      <c r="C22" s="7" t="str">
        <f>"融合共生：新时代网络文化建设研究"</f>
        <v>融合共生：新时代网络文化建设研究</v>
      </c>
      <c r="D22" s="7" t="str">
        <f>"邓海林著"</f>
        <v>邓海林著</v>
      </c>
      <c r="E22" s="7" t="str">
        <f>"江苏人民出版社"</f>
        <v>江苏人民出版社</v>
      </c>
      <c r="F22" s="7" t="str">
        <f>"G122/72"</f>
        <v>G122/72</v>
      </c>
    </row>
    <row r="23" customHeight="1" spans="1:6">
      <c r="A23" s="6">
        <v>22</v>
      </c>
      <c r="B23" s="7" t="str">
        <f>"978-7-5008-7587-1"</f>
        <v>978-7-5008-7587-1</v>
      </c>
      <c r="C23" s="7" t="str">
        <f>"数字和创意的融会：文化产业的前沿突进与高质量发展"</f>
        <v>数字和创意的融会：文化产业的前沿突进与高质量发展</v>
      </c>
      <c r="D23" s="7" t="str">
        <f>"金元浦主编"</f>
        <v>金元浦主编</v>
      </c>
      <c r="E23" s="7" t="str">
        <f>"中国工人出版社"</f>
        <v>中国工人出版社</v>
      </c>
      <c r="F23" s="7" t="str">
        <f>"G124/189"</f>
        <v>G124/189</v>
      </c>
    </row>
    <row r="24" customHeight="1" spans="1:6">
      <c r="A24" s="6">
        <v>23</v>
      </c>
      <c r="B24" s="7" t="str">
        <f>"978-7-5008-7587-1"</f>
        <v>978-7-5008-7587-1</v>
      </c>
      <c r="C24" s="7" t="str">
        <f>"数字和创意的融会：文化产业的前沿突进与高质量发展"</f>
        <v>数字和创意的融会：文化产业的前沿突进与高质量发展</v>
      </c>
      <c r="D24" s="7" t="str">
        <f>"金元浦主编"</f>
        <v>金元浦主编</v>
      </c>
      <c r="E24" s="7" t="str">
        <f>"中国工人出版社"</f>
        <v>中国工人出版社</v>
      </c>
      <c r="F24" s="7" t="str">
        <f>"G124/189"</f>
        <v>G124/189</v>
      </c>
    </row>
    <row r="25" customHeight="1" spans="1:6">
      <c r="A25" s="6">
        <v>24</v>
      </c>
      <c r="B25" s="7" t="str">
        <f>"978-7-5476-1748-9"</f>
        <v>978-7-5476-1748-9</v>
      </c>
      <c r="C25" s="7" t="str">
        <f>"公共文化：城市实践与文化服务"</f>
        <v>公共文化：城市实践与文化服务</v>
      </c>
      <c r="D25" s="7" t="str">
        <f>"上海社会科学院文学研究所公共文化研究室编"</f>
        <v>上海社会科学院文学研究所公共文化研究室编</v>
      </c>
      <c r="E25" s="7" t="str">
        <f t="shared" ref="E25:E30" si="0">"上海人民出版社"</f>
        <v>上海人民出版社</v>
      </c>
      <c r="F25" s="7" t="str">
        <f>"G124/190"</f>
        <v>G124/190</v>
      </c>
    </row>
    <row r="26" customHeight="1" spans="1:6">
      <c r="A26" s="6">
        <v>25</v>
      </c>
      <c r="B26" s="7" t="str">
        <f>"978-7-5476-1748-9"</f>
        <v>978-7-5476-1748-9</v>
      </c>
      <c r="C26" s="7" t="str">
        <f>"公共文化：城市实践与文化服务"</f>
        <v>公共文化：城市实践与文化服务</v>
      </c>
      <c r="D26" s="7" t="str">
        <f>"上海社会科学院文学研究所公共文化研究室编"</f>
        <v>上海社会科学院文学研究所公共文化研究室编</v>
      </c>
      <c r="E26" s="7" t="str">
        <f t="shared" si="0"/>
        <v>上海人民出版社</v>
      </c>
      <c r="F26" s="7" t="str">
        <f>"G124/190"</f>
        <v>G124/190</v>
      </c>
    </row>
    <row r="27" customHeight="1" spans="1:6">
      <c r="A27" s="6">
        <v>26</v>
      </c>
      <c r="B27" s="7" t="str">
        <f>"978-7-5476-1743-4"</f>
        <v>978-7-5476-1743-4</v>
      </c>
      <c r="C27" s="7" t="str">
        <f>"文化产业：创意经济与中国阐释"</f>
        <v>文化产业：创意经济与中国阐释</v>
      </c>
      <c r="D27" s="7" t="str">
        <f>"上海社会科学院文学研究所文化产业研究室主编"</f>
        <v>上海社会科学院文学研究所文化产业研究室主编</v>
      </c>
      <c r="E27" s="7" t="str">
        <f t="shared" si="0"/>
        <v>上海人民出版社</v>
      </c>
      <c r="F27" s="7" t="str">
        <f>"G124/191"</f>
        <v>G124/191</v>
      </c>
    </row>
    <row r="28" customHeight="1" spans="1:6">
      <c r="A28" s="6">
        <v>27</v>
      </c>
      <c r="B28" s="7" t="str">
        <f>"978-7-5476-1743-4"</f>
        <v>978-7-5476-1743-4</v>
      </c>
      <c r="C28" s="7" t="str">
        <f>"文化产业：创意经济与中国阐释"</f>
        <v>文化产业：创意经济与中国阐释</v>
      </c>
      <c r="D28" s="7" t="str">
        <f>"上海社会科学院文学研究所文化产业研究室主编"</f>
        <v>上海社会科学院文学研究所文化产业研究室主编</v>
      </c>
      <c r="E28" s="7" t="str">
        <f t="shared" si="0"/>
        <v>上海人民出版社</v>
      </c>
      <c r="F28" s="7" t="str">
        <f>"G124/191"</f>
        <v>G124/191</v>
      </c>
    </row>
    <row r="29" customHeight="1" spans="1:6">
      <c r="A29" s="6">
        <v>28</v>
      </c>
      <c r="B29" s="7" t="str">
        <f>"978-7-208-16987-6"</f>
        <v>978-7-208-16987-6</v>
      </c>
      <c r="C29" s="7" t="str">
        <f>"文化政治与中国道路"</f>
        <v>文化政治与中国道路</v>
      </c>
      <c r="D29" s="7" t="str">
        <f>"张旭东著"</f>
        <v>张旭东著</v>
      </c>
      <c r="E29" s="7" t="str">
        <f t="shared" si="0"/>
        <v>上海人民出版社</v>
      </c>
      <c r="F29" s="7" t="str">
        <f>"G12-53/13"</f>
        <v>G12-53/13</v>
      </c>
    </row>
    <row r="30" customHeight="1" spans="1:6">
      <c r="A30" s="6">
        <v>29</v>
      </c>
      <c r="B30" s="7" t="str">
        <f>"978-7-208-16987-6"</f>
        <v>978-7-208-16987-6</v>
      </c>
      <c r="C30" s="7" t="str">
        <f>"文化政治与中国道路"</f>
        <v>文化政治与中国道路</v>
      </c>
      <c r="D30" s="7" t="str">
        <f>"张旭东著"</f>
        <v>张旭东著</v>
      </c>
      <c r="E30" s="7" t="str">
        <f t="shared" si="0"/>
        <v>上海人民出版社</v>
      </c>
      <c r="F30" s="7" t="str">
        <f>"G12-53/13"</f>
        <v>G12-53/13</v>
      </c>
    </row>
    <row r="31" customHeight="1" spans="1:6">
      <c r="A31" s="6">
        <v>30</v>
      </c>
      <c r="B31" s="8" t="s">
        <v>6658</v>
      </c>
      <c r="C31" s="8" t="s">
        <v>6659</v>
      </c>
      <c r="D31" s="8" t="s">
        <v>6660</v>
      </c>
      <c r="E31" s="8" t="s">
        <v>239</v>
      </c>
      <c r="F31" s="8" t="s">
        <v>6661</v>
      </c>
    </row>
    <row r="32" customHeight="1" spans="1:6">
      <c r="A32" s="6">
        <v>31</v>
      </c>
      <c r="B32" s="8" t="s">
        <v>6658</v>
      </c>
      <c r="C32" s="8" t="s">
        <v>6659</v>
      </c>
      <c r="D32" s="8" t="s">
        <v>6660</v>
      </c>
      <c r="E32" s="8" t="s">
        <v>239</v>
      </c>
      <c r="F32" s="8" t="s">
        <v>6661</v>
      </c>
    </row>
    <row r="33" customHeight="1" spans="1:6">
      <c r="A33" s="6">
        <v>32</v>
      </c>
      <c r="B33" s="7" t="str">
        <f>"978-7-5201-7814-3"</f>
        <v>978-7-5201-7814-3</v>
      </c>
      <c r="C33" s="7" t="str">
        <f>"成都市文化创意产业发展报告：2020：2020"</f>
        <v>成都市文化创意产业发展报告：2020：2020</v>
      </c>
      <c r="D33" s="7" t="str">
        <f>"主编成都市文化体制改革和文化产业发展领导小组办公室， 成都市社会科学院"</f>
        <v>主编成都市文化体制改革和文化产业发展领导小组办公室， 成都市社会科学院</v>
      </c>
      <c r="E33" s="7" t="str">
        <f>"社会科学文献出版社"</f>
        <v>社会科学文献出版社</v>
      </c>
      <c r="F33" s="7" t="str">
        <f>"G127.711/1/2020"</f>
        <v>G127.711/1/2020</v>
      </c>
    </row>
    <row r="34" customHeight="1" spans="1:6">
      <c r="A34" s="6">
        <v>33</v>
      </c>
      <c r="B34" s="7" t="str">
        <f>"978-7-5201-7814-3"</f>
        <v>978-7-5201-7814-3</v>
      </c>
      <c r="C34" s="7" t="str">
        <f>"成都市文化创意产业发展报告：2020：2020"</f>
        <v>成都市文化创意产业发展报告：2020：2020</v>
      </c>
      <c r="D34" s="7" t="str">
        <f>"主编成都市文化体制改革和文化产业发展领导小组办公室， 成都市社会科学院"</f>
        <v>主编成都市文化体制改革和文化产业发展领导小组办公室， 成都市社会科学院</v>
      </c>
      <c r="E34" s="7" t="str">
        <f>"社会科学文献出版社"</f>
        <v>社会科学文献出版社</v>
      </c>
      <c r="F34" s="7" t="str">
        <f>"G127.711/1/2020"</f>
        <v>G127.711/1/2020</v>
      </c>
    </row>
    <row r="35" customHeight="1" spans="1:6">
      <c r="A35" s="6">
        <v>34</v>
      </c>
      <c r="B35" s="7" t="str">
        <f>"978-7-5225-0127-7"</f>
        <v>978-7-5225-0127-7</v>
      </c>
      <c r="C35" s="7" t="str">
        <f>"智慧社会：从数字到智慧的升级路径"</f>
        <v>智慧社会：从数字到智慧的升级路径</v>
      </c>
      <c r="D35" s="7" t="str">
        <f>"严谨著"</f>
        <v>严谨著</v>
      </c>
      <c r="E35" s="7" t="str">
        <f>"九州出版社"</f>
        <v>九州出版社</v>
      </c>
      <c r="F35" s="7" t="str">
        <f>"G201/37"</f>
        <v>G201/37</v>
      </c>
    </row>
    <row r="36" customHeight="1" spans="1:6">
      <c r="A36" s="6">
        <v>35</v>
      </c>
      <c r="B36" s="7" t="str">
        <f>"978-7-5225-0127-7"</f>
        <v>978-7-5225-0127-7</v>
      </c>
      <c r="C36" s="7" t="str">
        <f>"智慧社会：从数字到智慧的升级路径"</f>
        <v>智慧社会：从数字到智慧的升级路径</v>
      </c>
      <c r="D36" s="7" t="str">
        <f>"严谨著"</f>
        <v>严谨著</v>
      </c>
      <c r="E36" s="7" t="str">
        <f>"九州出版社"</f>
        <v>九州出版社</v>
      </c>
      <c r="F36" s="7" t="str">
        <f>"G201/37"</f>
        <v>G201/37</v>
      </c>
    </row>
    <row r="37" customHeight="1" spans="1:6">
      <c r="A37" s="6">
        <v>36</v>
      </c>
      <c r="B37" s="8" t="s">
        <v>6662</v>
      </c>
      <c r="C37" s="8" t="s">
        <v>6663</v>
      </c>
      <c r="D37" s="8" t="s">
        <v>6664</v>
      </c>
      <c r="E37" s="8" t="s">
        <v>43</v>
      </c>
      <c r="F37" s="8" t="s">
        <v>6665</v>
      </c>
    </row>
    <row r="38" customHeight="1" spans="1:6">
      <c r="A38" s="6">
        <v>37</v>
      </c>
      <c r="B38" s="8" t="s">
        <v>6662</v>
      </c>
      <c r="C38" s="8" t="s">
        <v>6663</v>
      </c>
      <c r="D38" s="8" t="s">
        <v>6664</v>
      </c>
      <c r="E38" s="8" t="s">
        <v>43</v>
      </c>
      <c r="F38" s="8" t="s">
        <v>6665</v>
      </c>
    </row>
    <row r="39" customHeight="1" spans="1:6">
      <c r="A39" s="6">
        <v>38</v>
      </c>
      <c r="B39" s="8" t="s">
        <v>6662</v>
      </c>
      <c r="C39" s="8" t="s">
        <v>6663</v>
      </c>
      <c r="D39" s="8" t="s">
        <v>6664</v>
      </c>
      <c r="E39" s="8" t="s">
        <v>43</v>
      </c>
      <c r="F39" s="8" t="s">
        <v>6665</v>
      </c>
    </row>
    <row r="40" customHeight="1" spans="1:6">
      <c r="A40" s="6">
        <v>39</v>
      </c>
      <c r="B40" s="7" t="str">
        <f>"978-7-5170-2961-8"</f>
        <v>978-7-5170-2961-8</v>
      </c>
      <c r="C40" s="7" t="str">
        <f t="shared" ref="C40:C43" si="1">"信息系统项目管理师5天修炼"</f>
        <v>信息系统项目管理师5天修炼</v>
      </c>
      <c r="D40" s="7" t="str">
        <f t="shared" ref="D40:D43" si="2">"施游， 刘毅编著"</f>
        <v>施游， 刘毅编著</v>
      </c>
      <c r="E40" s="7" t="str">
        <f t="shared" ref="E40:E43" si="3">"中国水利水电出版社"</f>
        <v>中国水利水电出版社</v>
      </c>
      <c r="F40" s="7" t="str">
        <f>"G202/140=2D"</f>
        <v>G202/140=2D</v>
      </c>
    </row>
    <row r="41" customHeight="1" spans="1:6">
      <c r="A41" s="6">
        <v>40</v>
      </c>
      <c r="B41" s="7" t="str">
        <f>"978-7-5170-2961-8"</f>
        <v>978-7-5170-2961-8</v>
      </c>
      <c r="C41" s="7" t="str">
        <f t="shared" si="1"/>
        <v>信息系统项目管理师5天修炼</v>
      </c>
      <c r="D41" s="7" t="str">
        <f t="shared" si="2"/>
        <v>施游， 刘毅编著</v>
      </c>
      <c r="E41" s="7" t="str">
        <f t="shared" si="3"/>
        <v>中国水利水电出版社</v>
      </c>
      <c r="F41" s="7" t="str">
        <f>"G202/140=2D"</f>
        <v>G202/140=2D</v>
      </c>
    </row>
    <row r="42" customHeight="1" spans="1:6">
      <c r="A42" s="6">
        <v>41</v>
      </c>
      <c r="B42" s="7" t="str">
        <f>"978-7-5170-6277-6"</f>
        <v>978-7-5170-6277-6</v>
      </c>
      <c r="C42" s="7" t="str">
        <f t="shared" si="1"/>
        <v>信息系统项目管理师5天修炼</v>
      </c>
      <c r="D42" s="7" t="str">
        <f t="shared" si="2"/>
        <v>施游， 刘毅编著</v>
      </c>
      <c r="E42" s="7" t="str">
        <f t="shared" si="3"/>
        <v>中国水利水电出版社</v>
      </c>
      <c r="F42" s="7" t="str">
        <f>"G202/140=3D"</f>
        <v>G202/140=3D</v>
      </c>
    </row>
    <row r="43" customHeight="1" spans="1:6">
      <c r="A43" s="6">
        <v>42</v>
      </c>
      <c r="B43" s="7" t="str">
        <f>"978-7-5170-6277-6"</f>
        <v>978-7-5170-6277-6</v>
      </c>
      <c r="C43" s="7" t="str">
        <f t="shared" si="1"/>
        <v>信息系统项目管理师5天修炼</v>
      </c>
      <c r="D43" s="7" t="str">
        <f t="shared" si="2"/>
        <v>施游， 刘毅编著</v>
      </c>
      <c r="E43" s="7" t="str">
        <f t="shared" si="3"/>
        <v>中国水利水电出版社</v>
      </c>
      <c r="F43" s="7" t="str">
        <f>"G202/140=3D"</f>
        <v>G202/140=3D</v>
      </c>
    </row>
    <row r="44" customHeight="1" spans="1:6">
      <c r="A44" s="6">
        <v>43</v>
      </c>
      <c r="B44" s="8" t="s">
        <v>6666</v>
      </c>
      <c r="C44" s="8" t="s">
        <v>6667</v>
      </c>
      <c r="D44" s="8" t="s">
        <v>6668</v>
      </c>
      <c r="E44" s="8" t="s">
        <v>6669</v>
      </c>
      <c r="F44" s="8" t="s">
        <v>6670</v>
      </c>
    </row>
    <row r="45" customHeight="1" spans="1:6">
      <c r="A45" s="6">
        <v>44</v>
      </c>
      <c r="B45" s="8" t="s">
        <v>6666</v>
      </c>
      <c r="C45" s="8" t="s">
        <v>6667</v>
      </c>
      <c r="D45" s="8" t="s">
        <v>6668</v>
      </c>
      <c r="E45" s="8" t="s">
        <v>6669</v>
      </c>
      <c r="F45" s="8" t="s">
        <v>6670</v>
      </c>
    </row>
    <row r="46" customHeight="1" spans="1:6">
      <c r="A46" s="6">
        <v>45</v>
      </c>
      <c r="B46" s="8" t="s">
        <v>6671</v>
      </c>
      <c r="C46" s="8" t="s">
        <v>6672</v>
      </c>
      <c r="D46" s="8" t="s">
        <v>6673</v>
      </c>
      <c r="E46" s="8" t="s">
        <v>256</v>
      </c>
      <c r="F46" s="8" t="s">
        <v>6674</v>
      </c>
    </row>
    <row r="47" customHeight="1" spans="1:6">
      <c r="A47" s="6">
        <v>46</v>
      </c>
      <c r="B47" s="8" t="s">
        <v>6671</v>
      </c>
      <c r="C47" s="8" t="s">
        <v>6672</v>
      </c>
      <c r="D47" s="8" t="s">
        <v>6673</v>
      </c>
      <c r="E47" s="8" t="s">
        <v>256</v>
      </c>
      <c r="F47" s="8" t="s">
        <v>6674</v>
      </c>
    </row>
    <row r="48" customHeight="1" spans="1:6">
      <c r="A48" s="6">
        <v>47</v>
      </c>
      <c r="B48" s="8" t="s">
        <v>6675</v>
      </c>
      <c r="C48" s="8" t="s">
        <v>6676</v>
      </c>
      <c r="D48" s="8" t="s">
        <v>6677</v>
      </c>
      <c r="E48" s="8" t="s">
        <v>576</v>
      </c>
      <c r="F48" s="8" t="s">
        <v>6678</v>
      </c>
    </row>
    <row r="49" customHeight="1" spans="1:6">
      <c r="A49" s="6">
        <v>48</v>
      </c>
      <c r="B49" s="8" t="s">
        <v>6675</v>
      </c>
      <c r="C49" s="8" t="s">
        <v>6676</v>
      </c>
      <c r="D49" s="8" t="s">
        <v>6677</v>
      </c>
      <c r="E49" s="8" t="s">
        <v>576</v>
      </c>
      <c r="F49" s="8" t="s">
        <v>6678</v>
      </c>
    </row>
    <row r="50" customHeight="1" spans="1:6">
      <c r="A50" s="6">
        <v>49</v>
      </c>
      <c r="B50" s="8" t="s">
        <v>6675</v>
      </c>
      <c r="C50" s="8" t="s">
        <v>6676</v>
      </c>
      <c r="D50" s="8" t="s">
        <v>6677</v>
      </c>
      <c r="E50" s="8" t="s">
        <v>576</v>
      </c>
      <c r="F50" s="8" t="s">
        <v>6678</v>
      </c>
    </row>
    <row r="51" customHeight="1" spans="1:6">
      <c r="A51" s="6">
        <v>50</v>
      </c>
      <c r="B51" s="8" t="s">
        <v>6679</v>
      </c>
      <c r="C51" s="8" t="s">
        <v>6680</v>
      </c>
      <c r="D51" s="8" t="s">
        <v>6681</v>
      </c>
      <c r="E51" s="8" t="s">
        <v>288</v>
      </c>
      <c r="F51" s="8" t="s">
        <v>6682</v>
      </c>
    </row>
    <row r="52" customHeight="1" spans="1:6">
      <c r="A52" s="6">
        <v>51</v>
      </c>
      <c r="B52" s="8" t="s">
        <v>6679</v>
      </c>
      <c r="C52" s="8" t="s">
        <v>6680</v>
      </c>
      <c r="D52" s="8" t="s">
        <v>6681</v>
      </c>
      <c r="E52" s="8" t="s">
        <v>288</v>
      </c>
      <c r="F52" s="8" t="s">
        <v>6682</v>
      </c>
    </row>
    <row r="53" customHeight="1" spans="1:6">
      <c r="A53" s="6">
        <v>52</v>
      </c>
      <c r="B53" s="8" t="s">
        <v>6683</v>
      </c>
      <c r="C53" s="8" t="s">
        <v>6684</v>
      </c>
      <c r="D53" s="8" t="s">
        <v>6685</v>
      </c>
      <c r="E53" s="8" t="s">
        <v>270</v>
      </c>
      <c r="F53" s="8" t="s">
        <v>6686</v>
      </c>
    </row>
    <row r="54" customHeight="1" spans="1:6">
      <c r="A54" s="6">
        <v>53</v>
      </c>
      <c r="B54" s="8" t="s">
        <v>6687</v>
      </c>
      <c r="C54" s="8" t="s">
        <v>6688</v>
      </c>
      <c r="D54" s="8" t="s">
        <v>6689</v>
      </c>
      <c r="E54" s="8" t="s">
        <v>1189</v>
      </c>
      <c r="F54" s="8" t="s">
        <v>6690</v>
      </c>
    </row>
    <row r="55" customHeight="1" spans="1:6">
      <c r="A55" s="6">
        <v>54</v>
      </c>
      <c r="B55" s="8" t="s">
        <v>6687</v>
      </c>
      <c r="C55" s="8" t="s">
        <v>6688</v>
      </c>
      <c r="D55" s="8" t="s">
        <v>6689</v>
      </c>
      <c r="E55" s="8" t="s">
        <v>1189</v>
      </c>
      <c r="F55" s="8" t="s">
        <v>6690</v>
      </c>
    </row>
    <row r="56" customHeight="1" spans="1:6">
      <c r="A56" s="6">
        <v>55</v>
      </c>
      <c r="B56" s="8" t="s">
        <v>6687</v>
      </c>
      <c r="C56" s="8" t="s">
        <v>6688</v>
      </c>
      <c r="D56" s="8" t="s">
        <v>6689</v>
      </c>
      <c r="E56" s="8" t="s">
        <v>1189</v>
      </c>
      <c r="F56" s="8" t="s">
        <v>6690</v>
      </c>
    </row>
    <row r="57" customHeight="1" spans="1:6">
      <c r="A57" s="6">
        <v>56</v>
      </c>
      <c r="B57" s="8" t="s">
        <v>6691</v>
      </c>
      <c r="C57" s="8" t="s">
        <v>6692</v>
      </c>
      <c r="D57" s="8" t="s">
        <v>6693</v>
      </c>
      <c r="E57" s="8" t="s">
        <v>1534</v>
      </c>
      <c r="F57" s="8" t="s">
        <v>6694</v>
      </c>
    </row>
    <row r="58" customHeight="1" spans="1:6">
      <c r="A58" s="6">
        <v>57</v>
      </c>
      <c r="B58" s="8" t="s">
        <v>6691</v>
      </c>
      <c r="C58" s="8" t="s">
        <v>6692</v>
      </c>
      <c r="D58" s="8" t="s">
        <v>6693</v>
      </c>
      <c r="E58" s="8" t="s">
        <v>1534</v>
      </c>
      <c r="F58" s="8" t="s">
        <v>6694</v>
      </c>
    </row>
    <row r="59" customHeight="1" spans="1:6">
      <c r="A59" s="6">
        <v>58</v>
      </c>
      <c r="B59" s="8" t="s">
        <v>6695</v>
      </c>
      <c r="C59" s="8" t="s">
        <v>6696</v>
      </c>
      <c r="D59" s="8" t="s">
        <v>6697</v>
      </c>
      <c r="E59" s="8" t="s">
        <v>571</v>
      </c>
      <c r="F59" s="8" t="s">
        <v>6698</v>
      </c>
    </row>
    <row r="60" customHeight="1" spans="1:6">
      <c r="A60" s="6">
        <v>59</v>
      </c>
      <c r="B60" s="8" t="s">
        <v>6695</v>
      </c>
      <c r="C60" s="8" t="s">
        <v>6696</v>
      </c>
      <c r="D60" s="8" t="s">
        <v>6697</v>
      </c>
      <c r="E60" s="8" t="s">
        <v>571</v>
      </c>
      <c r="F60" s="8" t="s">
        <v>6698</v>
      </c>
    </row>
    <row r="61" customHeight="1" spans="1:6">
      <c r="A61" s="6">
        <v>60</v>
      </c>
      <c r="B61" s="8" t="s">
        <v>6695</v>
      </c>
      <c r="C61" s="8" t="s">
        <v>6696</v>
      </c>
      <c r="D61" s="8" t="s">
        <v>6697</v>
      </c>
      <c r="E61" s="8" t="s">
        <v>571</v>
      </c>
      <c r="F61" s="8" t="s">
        <v>6698</v>
      </c>
    </row>
    <row r="62" customHeight="1" spans="1:6">
      <c r="A62" s="6">
        <v>61</v>
      </c>
      <c r="B62" s="8" t="s">
        <v>6699</v>
      </c>
      <c r="C62" s="8" t="s">
        <v>6700</v>
      </c>
      <c r="D62" s="8" t="s">
        <v>3693</v>
      </c>
      <c r="E62" s="8" t="s">
        <v>1534</v>
      </c>
      <c r="F62" s="8" t="s">
        <v>6701</v>
      </c>
    </row>
    <row r="63" customHeight="1" spans="1:6">
      <c r="A63" s="6">
        <v>62</v>
      </c>
      <c r="B63" s="8" t="s">
        <v>6699</v>
      </c>
      <c r="C63" s="8" t="s">
        <v>6700</v>
      </c>
      <c r="D63" s="8" t="s">
        <v>3693</v>
      </c>
      <c r="E63" s="8" t="s">
        <v>1534</v>
      </c>
      <c r="F63" s="8" t="s">
        <v>6701</v>
      </c>
    </row>
    <row r="64" customHeight="1" spans="1:6">
      <c r="A64" s="6">
        <v>63</v>
      </c>
      <c r="B64" s="8" t="s">
        <v>6699</v>
      </c>
      <c r="C64" s="8" t="s">
        <v>6700</v>
      </c>
      <c r="D64" s="8" t="s">
        <v>3693</v>
      </c>
      <c r="E64" s="8" t="s">
        <v>1534</v>
      </c>
      <c r="F64" s="8" t="s">
        <v>6701</v>
      </c>
    </row>
    <row r="65" customHeight="1" spans="1:6">
      <c r="A65" s="6">
        <v>64</v>
      </c>
      <c r="B65" s="8" t="s">
        <v>6702</v>
      </c>
      <c r="C65" s="8" t="s">
        <v>6703</v>
      </c>
      <c r="D65" s="8" t="s">
        <v>6704</v>
      </c>
      <c r="E65" s="8" t="s">
        <v>3146</v>
      </c>
      <c r="F65" s="8" t="s">
        <v>6705</v>
      </c>
    </row>
    <row r="66" customHeight="1" spans="1:6">
      <c r="A66" s="6">
        <v>65</v>
      </c>
      <c r="B66" s="8" t="s">
        <v>6702</v>
      </c>
      <c r="C66" s="8" t="s">
        <v>6703</v>
      </c>
      <c r="D66" s="8" t="s">
        <v>6704</v>
      </c>
      <c r="E66" s="8" t="s">
        <v>3146</v>
      </c>
      <c r="F66" s="8" t="s">
        <v>6705</v>
      </c>
    </row>
    <row r="67" customHeight="1" spans="1:6">
      <c r="A67" s="6">
        <v>66</v>
      </c>
      <c r="B67" s="8" t="s">
        <v>6706</v>
      </c>
      <c r="C67" s="8" t="s">
        <v>6707</v>
      </c>
      <c r="D67" s="8" t="s">
        <v>6708</v>
      </c>
      <c r="E67" s="8" t="s">
        <v>1198</v>
      </c>
      <c r="F67" s="8" t="s">
        <v>6709</v>
      </c>
    </row>
    <row r="68" customHeight="1" spans="1:6">
      <c r="A68" s="6">
        <v>67</v>
      </c>
      <c r="B68" s="8" t="s">
        <v>6706</v>
      </c>
      <c r="C68" s="8" t="s">
        <v>6707</v>
      </c>
      <c r="D68" s="8" t="s">
        <v>6708</v>
      </c>
      <c r="E68" s="8" t="s">
        <v>1198</v>
      </c>
      <c r="F68" s="8" t="s">
        <v>6709</v>
      </c>
    </row>
    <row r="69" customHeight="1" spans="1:6">
      <c r="A69" s="6">
        <v>68</v>
      </c>
      <c r="B69" s="8" t="s">
        <v>6710</v>
      </c>
      <c r="C69" s="8" t="s">
        <v>6711</v>
      </c>
      <c r="D69" s="8" t="s">
        <v>6712</v>
      </c>
      <c r="E69" s="8" t="s">
        <v>216</v>
      </c>
      <c r="F69" s="8" t="s">
        <v>6713</v>
      </c>
    </row>
    <row r="70" customHeight="1" spans="1:6">
      <c r="A70" s="6">
        <v>69</v>
      </c>
      <c r="B70" s="8" t="s">
        <v>6710</v>
      </c>
      <c r="C70" s="8" t="s">
        <v>6711</v>
      </c>
      <c r="D70" s="8" t="s">
        <v>6712</v>
      </c>
      <c r="E70" s="8" t="s">
        <v>216</v>
      </c>
      <c r="F70" s="8" t="s">
        <v>6713</v>
      </c>
    </row>
    <row r="71" customHeight="1" spans="1:6">
      <c r="A71" s="6">
        <v>70</v>
      </c>
      <c r="B71" s="7" t="str">
        <f>"978-7-5581-9303-3"</f>
        <v>978-7-5581-9303-3</v>
      </c>
      <c r="C71" s="7" t="str">
        <f>"新媒体时代文案创作与营销"</f>
        <v>新媒体时代文案创作与营销</v>
      </c>
      <c r="D71" s="7" t="str">
        <f>"李悦彤著"</f>
        <v>李悦彤著</v>
      </c>
      <c r="E71" s="7" t="str">
        <f>"吉林出版集团股份有限公司"</f>
        <v>吉林出版集团股份有限公司</v>
      </c>
      <c r="F71" s="7" t="str">
        <f>"G206.2/591"</f>
        <v>G206.2/591</v>
      </c>
    </row>
    <row r="72" customHeight="1" spans="1:6">
      <c r="A72" s="6">
        <v>71</v>
      </c>
      <c r="B72" s="7" t="str">
        <f>"978-7-5581-9303-3"</f>
        <v>978-7-5581-9303-3</v>
      </c>
      <c r="C72" s="7" t="str">
        <f>"新媒体时代文案创作与营销"</f>
        <v>新媒体时代文案创作与营销</v>
      </c>
      <c r="D72" s="7" t="str">
        <f>"李悦彤著"</f>
        <v>李悦彤著</v>
      </c>
      <c r="E72" s="7" t="str">
        <f>"吉林出版集团股份有限公司"</f>
        <v>吉林出版集团股份有限公司</v>
      </c>
      <c r="F72" s="7" t="str">
        <f>"G206.2/591"</f>
        <v>G206.2/591</v>
      </c>
    </row>
    <row r="73" customHeight="1" spans="1:6">
      <c r="A73" s="6">
        <v>72</v>
      </c>
      <c r="B73" s="7" t="str">
        <f>"978-7-5208-1405-8"</f>
        <v>978-7-5208-1405-8</v>
      </c>
      <c r="C73" s="7" t="str">
        <f>"新媒体一站式运营指南"</f>
        <v>新媒体一站式运营指南</v>
      </c>
      <c r="D73" s="7" t="str">
        <f>"刘畅主编"</f>
        <v>刘畅主编</v>
      </c>
      <c r="E73" s="7" t="str">
        <f>"中国商业出版社"</f>
        <v>中国商业出版社</v>
      </c>
      <c r="F73" s="7" t="str">
        <f>"G206.2/592"</f>
        <v>G206.2/592</v>
      </c>
    </row>
    <row r="74" customHeight="1" spans="1:6">
      <c r="A74" s="6">
        <v>73</v>
      </c>
      <c r="B74" s="7" t="str">
        <f>"978-7-5208-1405-8"</f>
        <v>978-7-5208-1405-8</v>
      </c>
      <c r="C74" s="7" t="str">
        <f>"新媒体一站式运营指南"</f>
        <v>新媒体一站式运营指南</v>
      </c>
      <c r="D74" s="7" t="str">
        <f>"刘畅主编"</f>
        <v>刘畅主编</v>
      </c>
      <c r="E74" s="7" t="str">
        <f>"中国商业出版社"</f>
        <v>中国商业出版社</v>
      </c>
      <c r="F74" s="7" t="str">
        <f>"G206.2/592"</f>
        <v>G206.2/592</v>
      </c>
    </row>
    <row r="75" customHeight="1" spans="1:6">
      <c r="A75" s="6">
        <v>74</v>
      </c>
      <c r="B75" s="7" t="str">
        <f>"978-7-5690-4887-2"</f>
        <v>978-7-5690-4887-2</v>
      </c>
      <c r="C75" s="7" t="str">
        <f>"实用新媒体简论"</f>
        <v>实用新媒体简论</v>
      </c>
      <c r="D75" s="7" t="str">
        <f>"何倩 ... [等] 编著"</f>
        <v>何倩 ... [等] 编著</v>
      </c>
      <c r="E75" s="7" t="str">
        <f>"四川大学出版社"</f>
        <v>四川大学出版社</v>
      </c>
      <c r="F75" s="7" t="str">
        <f>"G206.2/593=2D"</f>
        <v>G206.2/593=2D</v>
      </c>
    </row>
    <row r="76" customHeight="1" spans="1:6">
      <c r="A76" s="6">
        <v>75</v>
      </c>
      <c r="B76" s="7" t="str">
        <f>"978-7-5690-4887-2"</f>
        <v>978-7-5690-4887-2</v>
      </c>
      <c r="C76" s="7" t="str">
        <f>"实用新媒体简论"</f>
        <v>实用新媒体简论</v>
      </c>
      <c r="D76" s="7" t="str">
        <f>"何倩 ... [等] 编著"</f>
        <v>何倩 ... [等] 编著</v>
      </c>
      <c r="E76" s="7" t="str">
        <f>"四川大学出版社"</f>
        <v>四川大学出版社</v>
      </c>
      <c r="F76" s="7" t="str">
        <f>"G206.2/593=2D"</f>
        <v>G206.2/593=2D</v>
      </c>
    </row>
    <row r="77" customHeight="1" spans="1:6">
      <c r="A77" s="6">
        <v>76</v>
      </c>
      <c r="B77" s="7" t="str">
        <f>"978-7-5096-7788-9"</f>
        <v>978-7-5096-7788-9</v>
      </c>
      <c r="C77" s="7" t="str">
        <f>"移动社交网络对网络舆情的影响及治理研究"</f>
        <v>移动社交网络对网络舆情的影响及治理研究</v>
      </c>
      <c r="D77" s="7" t="str">
        <f>"丁菊玲著"</f>
        <v>丁菊玲著</v>
      </c>
      <c r="E77" s="7" t="str">
        <f>"经济管理出版社"</f>
        <v>经济管理出版社</v>
      </c>
      <c r="F77" s="7" t="str">
        <f>"G206.2/594"</f>
        <v>G206.2/594</v>
      </c>
    </row>
    <row r="78" customHeight="1" spans="1:6">
      <c r="A78" s="6">
        <v>77</v>
      </c>
      <c r="B78" s="7" t="str">
        <f>"978-7-5096-7788-9"</f>
        <v>978-7-5096-7788-9</v>
      </c>
      <c r="C78" s="7" t="str">
        <f>"移动社交网络对网络舆情的影响及治理研究"</f>
        <v>移动社交网络对网络舆情的影响及治理研究</v>
      </c>
      <c r="D78" s="7" t="str">
        <f>"丁菊玲著"</f>
        <v>丁菊玲著</v>
      </c>
      <c r="E78" s="7" t="str">
        <f>"经济管理出版社"</f>
        <v>经济管理出版社</v>
      </c>
      <c r="F78" s="7" t="str">
        <f>"G206.2/594"</f>
        <v>G206.2/594</v>
      </c>
    </row>
    <row r="79" customHeight="1" spans="1:6">
      <c r="A79" s="6">
        <v>78</v>
      </c>
      <c r="B79" s="7" t="str">
        <f>"978-7-5661-3244-4"</f>
        <v>978-7-5661-3244-4</v>
      </c>
      <c r="C79" s="7" t="str">
        <f>"新媒体概论"</f>
        <v>新媒体概论</v>
      </c>
      <c r="D79" s="7" t="str">
        <f>"主编李修远， 张毅， 吕灵凤"</f>
        <v>主编李修远， 张毅， 吕灵凤</v>
      </c>
      <c r="E79" s="7" t="str">
        <f t="shared" ref="E79:E82" si="4">"哈尔滨工程大学出版社"</f>
        <v>哈尔滨工程大学出版社</v>
      </c>
      <c r="F79" s="7" t="str">
        <f>"G206.2/595"</f>
        <v>G206.2/595</v>
      </c>
    </row>
    <row r="80" customHeight="1" spans="1:6">
      <c r="A80" s="6">
        <v>79</v>
      </c>
      <c r="B80" s="7" t="str">
        <f>"978-7-5661-3244-4"</f>
        <v>978-7-5661-3244-4</v>
      </c>
      <c r="C80" s="7" t="str">
        <f>"新媒体概论"</f>
        <v>新媒体概论</v>
      </c>
      <c r="D80" s="7" t="str">
        <f>"主编李修远， 张毅， 吕灵凤"</f>
        <v>主编李修远， 张毅， 吕灵凤</v>
      </c>
      <c r="E80" s="7" t="str">
        <f t="shared" si="4"/>
        <v>哈尔滨工程大学出版社</v>
      </c>
      <c r="F80" s="7" t="str">
        <f>"G206.2/595"</f>
        <v>G206.2/595</v>
      </c>
    </row>
    <row r="81" customHeight="1" spans="1:6">
      <c r="A81" s="6">
        <v>80</v>
      </c>
      <c r="B81" s="7" t="str">
        <f>"978-7-5661-3241-3"</f>
        <v>978-7-5661-3241-3</v>
      </c>
      <c r="C81" s="7" t="str">
        <f>"新媒体运营"</f>
        <v>新媒体运营</v>
      </c>
      <c r="D81" s="7" t="str">
        <f>"主编陆剑， 谭岳霖， 达珍"</f>
        <v>主编陆剑， 谭岳霖， 达珍</v>
      </c>
      <c r="E81" s="7" t="str">
        <f t="shared" si="4"/>
        <v>哈尔滨工程大学出版社</v>
      </c>
      <c r="F81" s="7" t="str">
        <f>"G206.2/596"</f>
        <v>G206.2/596</v>
      </c>
    </row>
    <row r="82" customHeight="1" spans="1:6">
      <c r="A82" s="6">
        <v>81</v>
      </c>
      <c r="B82" s="7" t="str">
        <f>"978-7-5661-3241-3"</f>
        <v>978-7-5661-3241-3</v>
      </c>
      <c r="C82" s="7" t="str">
        <f>"新媒体运营"</f>
        <v>新媒体运营</v>
      </c>
      <c r="D82" s="7" t="str">
        <f>"主编陆剑， 谭岳霖， 达珍"</f>
        <v>主编陆剑， 谭岳霖， 达珍</v>
      </c>
      <c r="E82" s="7" t="str">
        <f t="shared" si="4"/>
        <v>哈尔滨工程大学出版社</v>
      </c>
      <c r="F82" s="7" t="str">
        <f>"G206.2/596"</f>
        <v>G206.2/596</v>
      </c>
    </row>
    <row r="83" customHeight="1" spans="1:6">
      <c r="A83" s="6">
        <v>82</v>
      </c>
      <c r="B83" s="8" t="s">
        <v>6714</v>
      </c>
      <c r="C83" s="8" t="s">
        <v>6715</v>
      </c>
      <c r="D83" s="8" t="s">
        <v>6716</v>
      </c>
      <c r="E83" s="8" t="s">
        <v>2068</v>
      </c>
      <c r="F83" s="8" t="s">
        <v>6717</v>
      </c>
    </row>
    <row r="84" customHeight="1" spans="1:6">
      <c r="A84" s="6">
        <v>83</v>
      </c>
      <c r="B84" s="8" t="s">
        <v>6714</v>
      </c>
      <c r="C84" s="8" t="s">
        <v>6715</v>
      </c>
      <c r="D84" s="8" t="s">
        <v>6716</v>
      </c>
      <c r="E84" s="8" t="s">
        <v>2068</v>
      </c>
      <c r="F84" s="8" t="s">
        <v>6717</v>
      </c>
    </row>
    <row r="85" customHeight="1" spans="1:6">
      <c r="A85" s="6">
        <v>84</v>
      </c>
      <c r="B85" s="8" t="s">
        <v>6718</v>
      </c>
      <c r="C85" s="8" t="s">
        <v>6719</v>
      </c>
      <c r="D85" s="8" t="s">
        <v>6720</v>
      </c>
      <c r="E85" s="8" t="s">
        <v>425</v>
      </c>
      <c r="F85" s="8" t="s">
        <v>6721</v>
      </c>
    </row>
    <row r="86" customHeight="1" spans="1:6">
      <c r="A86" s="6">
        <v>85</v>
      </c>
      <c r="B86" s="8" t="s">
        <v>6718</v>
      </c>
      <c r="C86" s="8" t="s">
        <v>6719</v>
      </c>
      <c r="D86" s="8" t="s">
        <v>6720</v>
      </c>
      <c r="E86" s="8" t="s">
        <v>425</v>
      </c>
      <c r="F86" s="8" t="s">
        <v>6721</v>
      </c>
    </row>
    <row r="87" customHeight="1" spans="1:6">
      <c r="A87" s="6">
        <v>86</v>
      </c>
      <c r="B87" s="8" t="s">
        <v>6718</v>
      </c>
      <c r="C87" s="8" t="s">
        <v>6719</v>
      </c>
      <c r="D87" s="8" t="s">
        <v>6720</v>
      </c>
      <c r="E87" s="8" t="s">
        <v>425</v>
      </c>
      <c r="F87" s="8" t="s">
        <v>6721</v>
      </c>
    </row>
    <row r="88" customHeight="1" spans="1:6">
      <c r="A88" s="6">
        <v>87</v>
      </c>
      <c r="B88" s="8" t="s">
        <v>6722</v>
      </c>
      <c r="C88" s="8" t="s">
        <v>6723</v>
      </c>
      <c r="D88" s="8" t="s">
        <v>6724</v>
      </c>
      <c r="E88" s="8" t="s">
        <v>1948</v>
      </c>
      <c r="F88" s="8" t="s">
        <v>6725</v>
      </c>
    </row>
    <row r="89" customHeight="1" spans="1:6">
      <c r="A89" s="6">
        <v>88</v>
      </c>
      <c r="B89" s="8" t="s">
        <v>6722</v>
      </c>
      <c r="C89" s="8" t="s">
        <v>6723</v>
      </c>
      <c r="D89" s="8" t="s">
        <v>6724</v>
      </c>
      <c r="E89" s="8" t="s">
        <v>1948</v>
      </c>
      <c r="F89" s="8" t="s">
        <v>6725</v>
      </c>
    </row>
    <row r="90" customHeight="1" spans="1:6">
      <c r="A90" s="6">
        <v>89</v>
      </c>
      <c r="B90" s="8" t="s">
        <v>6726</v>
      </c>
      <c r="C90" s="8" t="s">
        <v>6727</v>
      </c>
      <c r="D90" s="8" t="s">
        <v>6728</v>
      </c>
      <c r="E90" s="8" t="s">
        <v>283</v>
      </c>
      <c r="F90" s="8" t="s">
        <v>6729</v>
      </c>
    </row>
    <row r="91" customHeight="1" spans="1:6">
      <c r="A91" s="6">
        <v>90</v>
      </c>
      <c r="B91" s="8" t="s">
        <v>6726</v>
      </c>
      <c r="C91" s="8" t="s">
        <v>6727</v>
      </c>
      <c r="D91" s="8" t="s">
        <v>6728</v>
      </c>
      <c r="E91" s="8" t="s">
        <v>283</v>
      </c>
      <c r="F91" s="8" t="s">
        <v>6729</v>
      </c>
    </row>
    <row r="92" customHeight="1" spans="1:6">
      <c r="A92" s="6">
        <v>91</v>
      </c>
      <c r="B92" s="8" t="s">
        <v>6730</v>
      </c>
      <c r="C92" s="8" t="s">
        <v>6731</v>
      </c>
      <c r="D92" s="8" t="s">
        <v>6732</v>
      </c>
      <c r="E92" s="8" t="s">
        <v>3146</v>
      </c>
      <c r="F92" s="8" t="s">
        <v>6733</v>
      </c>
    </row>
    <row r="93" customHeight="1" spans="1:6">
      <c r="A93" s="6">
        <v>92</v>
      </c>
      <c r="B93" s="8" t="s">
        <v>6730</v>
      </c>
      <c r="C93" s="8" t="s">
        <v>6731</v>
      </c>
      <c r="D93" s="8" t="s">
        <v>6732</v>
      </c>
      <c r="E93" s="8" t="s">
        <v>3146</v>
      </c>
      <c r="F93" s="8" t="s">
        <v>6733</v>
      </c>
    </row>
    <row r="94" customHeight="1" spans="1:6">
      <c r="A94" s="6">
        <v>93</v>
      </c>
      <c r="B94" s="8" t="s">
        <v>6734</v>
      </c>
      <c r="C94" s="8" t="s">
        <v>6735</v>
      </c>
      <c r="D94" s="8" t="s">
        <v>6736</v>
      </c>
      <c r="E94" s="8" t="s">
        <v>216</v>
      </c>
      <c r="F94" s="8" t="s">
        <v>6737</v>
      </c>
    </row>
    <row r="95" customHeight="1" spans="1:6">
      <c r="A95" s="6">
        <v>94</v>
      </c>
      <c r="B95" s="8" t="s">
        <v>6734</v>
      </c>
      <c r="C95" s="8" t="s">
        <v>6735</v>
      </c>
      <c r="D95" s="8" t="s">
        <v>6736</v>
      </c>
      <c r="E95" s="8" t="s">
        <v>216</v>
      </c>
      <c r="F95" s="8" t="s">
        <v>6737</v>
      </c>
    </row>
    <row r="96" customHeight="1" spans="1:6">
      <c r="A96" s="6">
        <v>95</v>
      </c>
      <c r="B96" s="8" t="s">
        <v>6734</v>
      </c>
      <c r="C96" s="8" t="s">
        <v>6735</v>
      </c>
      <c r="D96" s="8" t="s">
        <v>6736</v>
      </c>
      <c r="E96" s="8" t="s">
        <v>216</v>
      </c>
      <c r="F96" s="8" t="s">
        <v>6737</v>
      </c>
    </row>
    <row r="97" customHeight="1" spans="1:6">
      <c r="A97" s="6">
        <v>96</v>
      </c>
      <c r="B97" s="8" t="s">
        <v>6738</v>
      </c>
      <c r="C97" s="8" t="s">
        <v>6739</v>
      </c>
      <c r="D97" s="8" t="s">
        <v>6740</v>
      </c>
      <c r="E97" s="8" t="s">
        <v>48</v>
      </c>
      <c r="F97" s="8" t="s">
        <v>6741</v>
      </c>
    </row>
    <row r="98" customHeight="1" spans="1:6">
      <c r="A98" s="6">
        <v>97</v>
      </c>
      <c r="B98" s="8" t="s">
        <v>6738</v>
      </c>
      <c r="C98" s="8" t="s">
        <v>6739</v>
      </c>
      <c r="D98" s="8" t="s">
        <v>6740</v>
      </c>
      <c r="E98" s="8" t="s">
        <v>48</v>
      </c>
      <c r="F98" s="8" t="s">
        <v>6741</v>
      </c>
    </row>
    <row r="99" customHeight="1" spans="1:6">
      <c r="A99" s="6">
        <v>98</v>
      </c>
      <c r="B99" s="8" t="s">
        <v>6742</v>
      </c>
      <c r="C99" s="8" t="s">
        <v>6743</v>
      </c>
      <c r="D99" s="8" t="s">
        <v>6740</v>
      </c>
      <c r="E99" s="8" t="s">
        <v>48</v>
      </c>
      <c r="F99" s="8" t="s">
        <v>6744</v>
      </c>
    </row>
    <row r="100" customHeight="1" spans="1:6">
      <c r="A100" s="6">
        <v>99</v>
      </c>
      <c r="B100" s="8" t="s">
        <v>6742</v>
      </c>
      <c r="C100" s="8" t="s">
        <v>6743</v>
      </c>
      <c r="D100" s="8" t="s">
        <v>6740</v>
      </c>
      <c r="E100" s="8" t="s">
        <v>48</v>
      </c>
      <c r="F100" s="8" t="s">
        <v>6744</v>
      </c>
    </row>
    <row r="101" customHeight="1" spans="1:6">
      <c r="A101" s="6">
        <v>100</v>
      </c>
      <c r="B101" s="8" t="s">
        <v>6745</v>
      </c>
      <c r="C101" s="8" t="s">
        <v>6746</v>
      </c>
      <c r="D101" s="8" t="s">
        <v>6747</v>
      </c>
      <c r="E101" s="8" t="s">
        <v>2566</v>
      </c>
      <c r="F101" s="8" t="s">
        <v>6748</v>
      </c>
    </row>
    <row r="102" customHeight="1" spans="1:6">
      <c r="A102" s="6">
        <v>101</v>
      </c>
      <c r="B102" s="8" t="s">
        <v>6745</v>
      </c>
      <c r="C102" s="8" t="s">
        <v>6746</v>
      </c>
      <c r="D102" s="8" t="s">
        <v>6747</v>
      </c>
      <c r="E102" s="8" t="s">
        <v>2566</v>
      </c>
      <c r="F102" s="8" t="s">
        <v>6748</v>
      </c>
    </row>
    <row r="103" customHeight="1" spans="1:6">
      <c r="A103" s="6">
        <v>102</v>
      </c>
      <c r="B103" s="8" t="s">
        <v>6745</v>
      </c>
      <c r="C103" s="8" t="s">
        <v>6746</v>
      </c>
      <c r="D103" s="8" t="s">
        <v>6747</v>
      </c>
      <c r="E103" s="8" t="s">
        <v>2566</v>
      </c>
      <c r="F103" s="8" t="s">
        <v>6748</v>
      </c>
    </row>
    <row r="104" customHeight="1" spans="1:6">
      <c r="A104" s="6">
        <v>103</v>
      </c>
      <c r="B104" s="8" t="s">
        <v>4147</v>
      </c>
      <c r="C104" s="8" t="s">
        <v>6749</v>
      </c>
      <c r="D104" s="8" t="s">
        <v>6750</v>
      </c>
      <c r="E104" s="8" t="s">
        <v>2230</v>
      </c>
      <c r="F104" s="8" t="s">
        <v>6751</v>
      </c>
    </row>
    <row r="105" customHeight="1" spans="1:6">
      <c r="A105" s="6">
        <v>104</v>
      </c>
      <c r="B105" s="8" t="s">
        <v>4147</v>
      </c>
      <c r="C105" s="8" t="s">
        <v>6749</v>
      </c>
      <c r="D105" s="8" t="s">
        <v>6750</v>
      </c>
      <c r="E105" s="8" t="s">
        <v>2230</v>
      </c>
      <c r="F105" s="8" t="s">
        <v>6751</v>
      </c>
    </row>
    <row r="106" customHeight="1" spans="1:6">
      <c r="A106" s="6">
        <v>105</v>
      </c>
      <c r="B106" s="8" t="s">
        <v>5706</v>
      </c>
      <c r="C106" s="8" t="s">
        <v>6749</v>
      </c>
      <c r="D106" s="8" t="s">
        <v>6750</v>
      </c>
      <c r="E106" s="8" t="s">
        <v>2575</v>
      </c>
      <c r="F106" s="8" t="s">
        <v>6752</v>
      </c>
    </row>
    <row r="107" customHeight="1" spans="1:6">
      <c r="A107" s="6">
        <v>106</v>
      </c>
      <c r="B107" s="8" t="s">
        <v>5706</v>
      </c>
      <c r="C107" s="8" t="s">
        <v>6749</v>
      </c>
      <c r="D107" s="8" t="s">
        <v>6750</v>
      </c>
      <c r="E107" s="8" t="s">
        <v>2575</v>
      </c>
      <c r="F107" s="8" t="s">
        <v>6752</v>
      </c>
    </row>
    <row r="108" customHeight="1" spans="1:6">
      <c r="A108" s="6">
        <v>107</v>
      </c>
      <c r="B108" s="8" t="s">
        <v>6753</v>
      </c>
      <c r="C108" s="8" t="s">
        <v>6754</v>
      </c>
      <c r="D108" s="8" t="s">
        <v>6755</v>
      </c>
      <c r="E108" s="8" t="s">
        <v>197</v>
      </c>
      <c r="F108" s="8" t="s">
        <v>6756</v>
      </c>
    </row>
    <row r="109" customHeight="1" spans="1:6">
      <c r="A109" s="6">
        <v>108</v>
      </c>
      <c r="B109" s="8" t="s">
        <v>6753</v>
      </c>
      <c r="C109" s="8" t="s">
        <v>6754</v>
      </c>
      <c r="D109" s="8" t="s">
        <v>6755</v>
      </c>
      <c r="E109" s="8" t="s">
        <v>197</v>
      </c>
      <c r="F109" s="8" t="s">
        <v>6756</v>
      </c>
    </row>
    <row r="110" customHeight="1" spans="1:6">
      <c r="A110" s="6">
        <v>109</v>
      </c>
      <c r="B110" s="8" t="s">
        <v>6757</v>
      </c>
      <c r="C110" s="8" t="s">
        <v>6758</v>
      </c>
      <c r="D110" s="8" t="s">
        <v>6759</v>
      </c>
      <c r="E110" s="8" t="s">
        <v>58</v>
      </c>
      <c r="F110" s="8" t="s">
        <v>6760</v>
      </c>
    </row>
    <row r="111" customHeight="1" spans="1:6">
      <c r="A111" s="6">
        <v>110</v>
      </c>
      <c r="B111" s="8" t="s">
        <v>6757</v>
      </c>
      <c r="C111" s="8" t="s">
        <v>6758</v>
      </c>
      <c r="D111" s="8" t="s">
        <v>6759</v>
      </c>
      <c r="E111" s="8" t="s">
        <v>58</v>
      </c>
      <c r="F111" s="8" t="s">
        <v>6760</v>
      </c>
    </row>
    <row r="112" customHeight="1" spans="1:6">
      <c r="A112" s="6">
        <v>111</v>
      </c>
      <c r="B112" s="8" t="s">
        <v>6761</v>
      </c>
      <c r="C112" s="8" t="s">
        <v>6762</v>
      </c>
      <c r="D112" s="8" t="s">
        <v>6763</v>
      </c>
      <c r="E112" s="8" t="s">
        <v>5998</v>
      </c>
      <c r="F112" s="8" t="s">
        <v>6764</v>
      </c>
    </row>
    <row r="113" customHeight="1" spans="1:6">
      <c r="A113" s="6">
        <v>112</v>
      </c>
      <c r="B113" s="8" t="s">
        <v>6761</v>
      </c>
      <c r="C113" s="8" t="s">
        <v>6762</v>
      </c>
      <c r="D113" s="8" t="s">
        <v>6763</v>
      </c>
      <c r="E113" s="8" t="s">
        <v>5998</v>
      </c>
      <c r="F113" s="8" t="s">
        <v>6764</v>
      </c>
    </row>
    <row r="114" customHeight="1" spans="1:6">
      <c r="A114" s="6">
        <v>113</v>
      </c>
      <c r="B114" s="8" t="s">
        <v>6761</v>
      </c>
      <c r="C114" s="8" t="s">
        <v>6762</v>
      </c>
      <c r="D114" s="8" t="s">
        <v>6763</v>
      </c>
      <c r="E114" s="8" t="s">
        <v>5998</v>
      </c>
      <c r="F114" s="8" t="s">
        <v>6764</v>
      </c>
    </row>
    <row r="115" customHeight="1" spans="1:6">
      <c r="A115" s="6">
        <v>114</v>
      </c>
      <c r="B115" s="8" t="s">
        <v>6765</v>
      </c>
      <c r="C115" s="8" t="s">
        <v>6766</v>
      </c>
      <c r="D115" s="8" t="s">
        <v>6767</v>
      </c>
      <c r="E115" s="8" t="s">
        <v>2212</v>
      </c>
      <c r="F115" s="8" t="s">
        <v>6768</v>
      </c>
    </row>
    <row r="116" customHeight="1" spans="1:6">
      <c r="A116" s="6">
        <v>115</v>
      </c>
      <c r="B116" s="8" t="s">
        <v>6765</v>
      </c>
      <c r="C116" s="8" t="s">
        <v>6766</v>
      </c>
      <c r="D116" s="8" t="s">
        <v>6767</v>
      </c>
      <c r="E116" s="8" t="s">
        <v>2212</v>
      </c>
      <c r="F116" s="8" t="s">
        <v>6768</v>
      </c>
    </row>
    <row r="117" customHeight="1" spans="1:6">
      <c r="A117" s="6">
        <v>116</v>
      </c>
      <c r="B117" s="8" t="s">
        <v>6769</v>
      </c>
      <c r="C117" s="8" t="s">
        <v>6770</v>
      </c>
      <c r="D117" s="8" t="s">
        <v>6771</v>
      </c>
      <c r="E117" s="8" t="s">
        <v>23</v>
      </c>
      <c r="F117" s="8" t="s">
        <v>6772</v>
      </c>
    </row>
    <row r="118" customHeight="1" spans="1:6">
      <c r="A118" s="6">
        <v>117</v>
      </c>
      <c r="B118" s="8" t="s">
        <v>6769</v>
      </c>
      <c r="C118" s="8" t="s">
        <v>6770</v>
      </c>
      <c r="D118" s="8" t="s">
        <v>6771</v>
      </c>
      <c r="E118" s="8" t="s">
        <v>23</v>
      </c>
      <c r="F118" s="8" t="s">
        <v>6772</v>
      </c>
    </row>
    <row r="119" customHeight="1" spans="1:6">
      <c r="A119" s="6">
        <v>118</v>
      </c>
      <c r="B119" s="8" t="s">
        <v>6769</v>
      </c>
      <c r="C119" s="8" t="s">
        <v>6770</v>
      </c>
      <c r="D119" s="8" t="s">
        <v>6771</v>
      </c>
      <c r="E119" s="8" t="s">
        <v>23</v>
      </c>
      <c r="F119" s="8" t="s">
        <v>6772</v>
      </c>
    </row>
    <row r="120" customHeight="1" spans="1:6">
      <c r="A120" s="6">
        <v>119</v>
      </c>
      <c r="B120" s="8" t="s">
        <v>6773</v>
      </c>
      <c r="C120" s="8" t="s">
        <v>6774</v>
      </c>
      <c r="D120" s="8" t="s">
        <v>6775</v>
      </c>
      <c r="E120" s="8" t="s">
        <v>283</v>
      </c>
      <c r="F120" s="8" t="s">
        <v>6776</v>
      </c>
    </row>
    <row r="121" customHeight="1" spans="1:6">
      <c r="A121" s="6">
        <v>120</v>
      </c>
      <c r="B121" s="8" t="s">
        <v>6773</v>
      </c>
      <c r="C121" s="8" t="s">
        <v>6774</v>
      </c>
      <c r="D121" s="8" t="s">
        <v>6775</v>
      </c>
      <c r="E121" s="8" t="s">
        <v>283</v>
      </c>
      <c r="F121" s="8" t="s">
        <v>6776</v>
      </c>
    </row>
    <row r="122" customHeight="1" spans="1:6">
      <c r="A122" s="6">
        <v>121</v>
      </c>
      <c r="B122" s="8" t="s">
        <v>6773</v>
      </c>
      <c r="C122" s="8" t="s">
        <v>6774</v>
      </c>
      <c r="D122" s="8" t="s">
        <v>6775</v>
      </c>
      <c r="E122" s="8" t="s">
        <v>283</v>
      </c>
      <c r="F122" s="8" t="s">
        <v>6776</v>
      </c>
    </row>
    <row r="123" customHeight="1" spans="1:6">
      <c r="A123" s="6">
        <v>122</v>
      </c>
      <c r="B123" s="8" t="s">
        <v>6777</v>
      </c>
      <c r="C123" s="8" t="s">
        <v>6778</v>
      </c>
      <c r="D123" s="8" t="s">
        <v>6779</v>
      </c>
      <c r="E123" s="8" t="s">
        <v>6780</v>
      </c>
      <c r="F123" s="8" t="s">
        <v>6781</v>
      </c>
    </row>
    <row r="124" customHeight="1" spans="1:6">
      <c r="A124" s="6">
        <v>123</v>
      </c>
      <c r="B124" s="8" t="s">
        <v>6777</v>
      </c>
      <c r="C124" s="8" t="s">
        <v>6778</v>
      </c>
      <c r="D124" s="8" t="s">
        <v>6779</v>
      </c>
      <c r="E124" s="8" t="s">
        <v>6780</v>
      </c>
      <c r="F124" s="8" t="s">
        <v>6781</v>
      </c>
    </row>
    <row r="125" customHeight="1" spans="1:6">
      <c r="A125" s="6">
        <v>124</v>
      </c>
      <c r="B125" s="8" t="s">
        <v>6777</v>
      </c>
      <c r="C125" s="8" t="s">
        <v>6778</v>
      </c>
      <c r="D125" s="8" t="s">
        <v>6779</v>
      </c>
      <c r="E125" s="8" t="s">
        <v>6780</v>
      </c>
      <c r="F125" s="8" t="s">
        <v>6781</v>
      </c>
    </row>
    <row r="126" customHeight="1" spans="1:6">
      <c r="A126" s="6">
        <v>125</v>
      </c>
      <c r="B126" s="8" t="s">
        <v>6782</v>
      </c>
      <c r="C126" s="8" t="s">
        <v>6783</v>
      </c>
      <c r="D126" s="8" t="s">
        <v>6784</v>
      </c>
      <c r="E126" s="8" t="s">
        <v>23</v>
      </c>
      <c r="F126" s="8" t="s">
        <v>6785</v>
      </c>
    </row>
    <row r="127" customHeight="1" spans="1:6">
      <c r="A127" s="6">
        <v>126</v>
      </c>
      <c r="B127" s="8" t="s">
        <v>6782</v>
      </c>
      <c r="C127" s="8" t="s">
        <v>6783</v>
      </c>
      <c r="D127" s="8" t="s">
        <v>6784</v>
      </c>
      <c r="E127" s="8" t="s">
        <v>23</v>
      </c>
      <c r="F127" s="8" t="s">
        <v>6785</v>
      </c>
    </row>
    <row r="128" customHeight="1" spans="1:6">
      <c r="A128" s="6">
        <v>127</v>
      </c>
      <c r="B128" s="8" t="s">
        <v>6786</v>
      </c>
      <c r="C128" s="8" t="s">
        <v>6787</v>
      </c>
      <c r="D128" s="8" t="s">
        <v>6788</v>
      </c>
      <c r="E128" s="8" t="s">
        <v>3146</v>
      </c>
      <c r="F128" s="8" t="s">
        <v>6789</v>
      </c>
    </row>
    <row r="129" customHeight="1" spans="1:6">
      <c r="A129" s="6">
        <v>128</v>
      </c>
      <c r="B129" s="8" t="s">
        <v>6786</v>
      </c>
      <c r="C129" s="8" t="s">
        <v>6787</v>
      </c>
      <c r="D129" s="8" t="s">
        <v>6788</v>
      </c>
      <c r="E129" s="8" t="s">
        <v>3146</v>
      </c>
      <c r="F129" s="8" t="s">
        <v>6789</v>
      </c>
    </row>
    <row r="130" customHeight="1" spans="1:6">
      <c r="A130" s="6">
        <v>129</v>
      </c>
      <c r="B130" s="8" t="s">
        <v>6790</v>
      </c>
      <c r="C130" s="8" t="s">
        <v>6791</v>
      </c>
      <c r="D130" s="8" t="s">
        <v>6792</v>
      </c>
      <c r="E130" s="8" t="s">
        <v>425</v>
      </c>
      <c r="F130" s="8" t="s">
        <v>6793</v>
      </c>
    </row>
    <row r="131" customHeight="1" spans="1:6">
      <c r="A131" s="6">
        <v>130</v>
      </c>
      <c r="B131" s="8" t="s">
        <v>6790</v>
      </c>
      <c r="C131" s="8" t="s">
        <v>6791</v>
      </c>
      <c r="D131" s="8" t="s">
        <v>6792</v>
      </c>
      <c r="E131" s="8" t="s">
        <v>425</v>
      </c>
      <c r="F131" s="8" t="s">
        <v>6793</v>
      </c>
    </row>
    <row r="132" customHeight="1" spans="1:6">
      <c r="A132" s="6">
        <v>131</v>
      </c>
      <c r="B132" s="8" t="s">
        <v>6790</v>
      </c>
      <c r="C132" s="8" t="s">
        <v>6791</v>
      </c>
      <c r="D132" s="8" t="s">
        <v>6792</v>
      </c>
      <c r="E132" s="8" t="s">
        <v>425</v>
      </c>
      <c r="F132" s="8" t="s">
        <v>6793</v>
      </c>
    </row>
    <row r="133" customHeight="1" spans="1:6">
      <c r="A133" s="6">
        <v>132</v>
      </c>
      <c r="B133" s="8" t="s">
        <v>6794</v>
      </c>
      <c r="C133" s="8" t="s">
        <v>6795</v>
      </c>
      <c r="D133" s="8" t="s">
        <v>6796</v>
      </c>
      <c r="E133" s="8" t="s">
        <v>1622</v>
      </c>
      <c r="F133" s="8" t="s">
        <v>6797</v>
      </c>
    </row>
    <row r="134" customHeight="1" spans="1:6">
      <c r="A134" s="6">
        <v>133</v>
      </c>
      <c r="B134" s="8" t="s">
        <v>6794</v>
      </c>
      <c r="C134" s="8" t="s">
        <v>6795</v>
      </c>
      <c r="D134" s="8" t="s">
        <v>6796</v>
      </c>
      <c r="E134" s="8" t="s">
        <v>1622</v>
      </c>
      <c r="F134" s="8" t="s">
        <v>6797</v>
      </c>
    </row>
    <row r="135" customHeight="1" spans="1:6">
      <c r="A135" s="6">
        <v>134</v>
      </c>
      <c r="B135" s="8" t="s">
        <v>6798</v>
      </c>
      <c r="C135" s="8" t="s">
        <v>6799</v>
      </c>
      <c r="D135" s="8" t="s">
        <v>6800</v>
      </c>
      <c r="E135" s="8" t="s">
        <v>1622</v>
      </c>
      <c r="F135" s="8" t="s">
        <v>6801</v>
      </c>
    </row>
    <row r="136" customHeight="1" spans="1:6">
      <c r="A136" s="6">
        <v>135</v>
      </c>
      <c r="B136" s="8" t="s">
        <v>6802</v>
      </c>
      <c r="C136" s="8" t="s">
        <v>6803</v>
      </c>
      <c r="D136" s="8" t="s">
        <v>6804</v>
      </c>
      <c r="E136" s="8" t="s">
        <v>2186</v>
      </c>
      <c r="F136" s="8" t="s">
        <v>6805</v>
      </c>
    </row>
    <row r="137" customHeight="1" spans="1:6">
      <c r="A137" s="6">
        <v>136</v>
      </c>
      <c r="B137" s="8" t="s">
        <v>6802</v>
      </c>
      <c r="C137" s="8" t="s">
        <v>6803</v>
      </c>
      <c r="D137" s="8" t="s">
        <v>6804</v>
      </c>
      <c r="E137" s="8" t="s">
        <v>2186</v>
      </c>
      <c r="F137" s="8" t="s">
        <v>6805</v>
      </c>
    </row>
    <row r="138" customHeight="1" spans="1:6">
      <c r="A138" s="6">
        <v>137</v>
      </c>
      <c r="B138" s="7" t="str">
        <f>"978-7-313-25195-4"</f>
        <v>978-7-313-25195-4</v>
      </c>
      <c r="C138" s="7" t="str">
        <f>"智媒时代的传媒经济学"</f>
        <v>智媒时代的传媒经济学</v>
      </c>
      <c r="D138" s="7" t="str">
        <f>"刘志杰著"</f>
        <v>刘志杰著</v>
      </c>
      <c r="E138" s="7" t="str">
        <f t="shared" ref="E138:E141" si="5">"上海交通大学出版社"</f>
        <v>上海交通大学出版社</v>
      </c>
      <c r="F138" s="7" t="str">
        <f>"G206.2-05/25"</f>
        <v>G206.2-05/25</v>
      </c>
    </row>
    <row r="139" customHeight="1" spans="1:6">
      <c r="A139" s="6">
        <v>138</v>
      </c>
      <c r="B139" s="7" t="str">
        <f>"978-7-313-25195-4"</f>
        <v>978-7-313-25195-4</v>
      </c>
      <c r="C139" s="7" t="str">
        <f>"智媒时代的传媒经济学"</f>
        <v>智媒时代的传媒经济学</v>
      </c>
      <c r="D139" s="7" t="str">
        <f>"刘志杰著"</f>
        <v>刘志杰著</v>
      </c>
      <c r="E139" s="7" t="str">
        <f t="shared" si="5"/>
        <v>上海交通大学出版社</v>
      </c>
      <c r="F139" s="7" t="str">
        <f>"G206.2-05/25"</f>
        <v>G206.2-05/25</v>
      </c>
    </row>
    <row r="140" customHeight="1" spans="1:6">
      <c r="A140" s="6">
        <v>139</v>
      </c>
      <c r="B140" s="7" t="str">
        <f>"978-7-313-22544-3"</f>
        <v>978-7-313-22544-3</v>
      </c>
      <c r="C140" s="7" t="str">
        <f>"虚拟仿真媒体理论、技术、开发与应用"</f>
        <v>虚拟仿真媒体理论、技术、开发与应用</v>
      </c>
      <c r="D140" s="7" t="str">
        <f>"王昊著"</f>
        <v>王昊著</v>
      </c>
      <c r="E140" s="7" t="str">
        <f t="shared" si="5"/>
        <v>上海交通大学出版社</v>
      </c>
      <c r="F140" s="7" t="str">
        <f>"G206.2-39/6"</f>
        <v>G206.2-39/6</v>
      </c>
    </row>
    <row r="141" customHeight="1" spans="1:6">
      <c r="A141" s="6">
        <v>140</v>
      </c>
      <c r="B141" s="7" t="str">
        <f>"978-7-313-22544-3"</f>
        <v>978-7-313-22544-3</v>
      </c>
      <c r="C141" s="7" t="str">
        <f>"虚拟仿真媒体理论、技术、开发与应用"</f>
        <v>虚拟仿真媒体理论、技术、开发与应用</v>
      </c>
      <c r="D141" s="7" t="str">
        <f>"王昊著"</f>
        <v>王昊著</v>
      </c>
      <c r="E141" s="7" t="str">
        <f t="shared" si="5"/>
        <v>上海交通大学出版社</v>
      </c>
      <c r="F141" s="7" t="str">
        <f>"G206.2-39/6"</f>
        <v>G206.2-39/6</v>
      </c>
    </row>
    <row r="142" customHeight="1" spans="1:6">
      <c r="A142" s="6">
        <v>141</v>
      </c>
      <c r="B142" s="8" t="s">
        <v>6806</v>
      </c>
      <c r="C142" s="8" t="s">
        <v>6807</v>
      </c>
      <c r="D142" s="8" t="s">
        <v>6808</v>
      </c>
      <c r="E142" s="8" t="s">
        <v>216</v>
      </c>
      <c r="F142" s="8" t="s">
        <v>6809</v>
      </c>
    </row>
    <row r="143" customHeight="1" spans="1:6">
      <c r="A143" s="6">
        <v>142</v>
      </c>
      <c r="B143" s="8" t="s">
        <v>6806</v>
      </c>
      <c r="C143" s="8" t="s">
        <v>6807</v>
      </c>
      <c r="D143" s="8" t="s">
        <v>6808</v>
      </c>
      <c r="E143" s="8" t="s">
        <v>216</v>
      </c>
      <c r="F143" s="8" t="s">
        <v>6809</v>
      </c>
    </row>
    <row r="144" customHeight="1" spans="1:6">
      <c r="A144" s="6">
        <v>143</v>
      </c>
      <c r="B144" s="8" t="s">
        <v>6806</v>
      </c>
      <c r="C144" s="8" t="s">
        <v>6807</v>
      </c>
      <c r="D144" s="8" t="s">
        <v>6808</v>
      </c>
      <c r="E144" s="8" t="s">
        <v>216</v>
      </c>
      <c r="F144" s="8" t="s">
        <v>6809</v>
      </c>
    </row>
    <row r="145" customHeight="1" spans="1:6">
      <c r="A145" s="6">
        <v>144</v>
      </c>
      <c r="B145" s="8" t="s">
        <v>6810</v>
      </c>
      <c r="C145" s="8" t="s">
        <v>6811</v>
      </c>
      <c r="D145" s="8" t="s">
        <v>6812</v>
      </c>
      <c r="E145" s="8" t="s">
        <v>58</v>
      </c>
      <c r="F145" s="8" t="s">
        <v>6813</v>
      </c>
    </row>
    <row r="146" customHeight="1" spans="1:6">
      <c r="A146" s="6">
        <v>145</v>
      </c>
      <c r="B146" s="8" t="s">
        <v>6810</v>
      </c>
      <c r="C146" s="8" t="s">
        <v>6811</v>
      </c>
      <c r="D146" s="8" t="s">
        <v>6812</v>
      </c>
      <c r="E146" s="8" t="s">
        <v>58</v>
      </c>
      <c r="F146" s="8" t="s">
        <v>6813</v>
      </c>
    </row>
    <row r="147" customHeight="1" spans="1:6">
      <c r="A147" s="6">
        <v>146</v>
      </c>
      <c r="B147" s="8" t="s">
        <v>6814</v>
      </c>
      <c r="C147" s="8" t="s">
        <v>6815</v>
      </c>
      <c r="D147" s="8" t="s">
        <v>6816</v>
      </c>
      <c r="E147" s="8" t="s">
        <v>881</v>
      </c>
      <c r="F147" s="8" t="s">
        <v>6817</v>
      </c>
    </row>
    <row r="148" customHeight="1" spans="1:6">
      <c r="A148" s="6">
        <v>147</v>
      </c>
      <c r="B148" s="8" t="s">
        <v>6814</v>
      </c>
      <c r="C148" s="8" t="s">
        <v>6815</v>
      </c>
      <c r="D148" s="8" t="s">
        <v>6816</v>
      </c>
      <c r="E148" s="8" t="s">
        <v>881</v>
      </c>
      <c r="F148" s="8" t="s">
        <v>6817</v>
      </c>
    </row>
    <row r="149" customHeight="1" spans="1:6">
      <c r="A149" s="6">
        <v>148</v>
      </c>
      <c r="B149" s="8" t="s">
        <v>6818</v>
      </c>
      <c r="C149" s="8" t="s">
        <v>6819</v>
      </c>
      <c r="D149" s="8" t="s">
        <v>6820</v>
      </c>
      <c r="E149" s="8" t="s">
        <v>468</v>
      </c>
      <c r="F149" s="8" t="s">
        <v>6821</v>
      </c>
    </row>
    <row r="150" customHeight="1" spans="1:6">
      <c r="A150" s="6">
        <v>149</v>
      </c>
      <c r="B150" s="8" t="s">
        <v>6818</v>
      </c>
      <c r="C150" s="8" t="s">
        <v>6819</v>
      </c>
      <c r="D150" s="8" t="s">
        <v>6820</v>
      </c>
      <c r="E150" s="8" t="s">
        <v>468</v>
      </c>
      <c r="F150" s="8" t="s">
        <v>6821</v>
      </c>
    </row>
    <row r="151" customHeight="1" spans="1:6">
      <c r="A151" s="6">
        <v>150</v>
      </c>
      <c r="B151" s="8" t="s">
        <v>6822</v>
      </c>
      <c r="C151" s="8" t="s">
        <v>6823</v>
      </c>
      <c r="D151" s="8" t="s">
        <v>6824</v>
      </c>
      <c r="E151" s="8" t="s">
        <v>216</v>
      </c>
      <c r="F151" s="8" t="s">
        <v>6825</v>
      </c>
    </row>
    <row r="152" customHeight="1" spans="1:6">
      <c r="A152" s="6">
        <v>151</v>
      </c>
      <c r="B152" s="8" t="s">
        <v>6822</v>
      </c>
      <c r="C152" s="8" t="s">
        <v>6823</v>
      </c>
      <c r="D152" s="8" t="s">
        <v>6824</v>
      </c>
      <c r="E152" s="8" t="s">
        <v>216</v>
      </c>
      <c r="F152" s="8" t="s">
        <v>6825</v>
      </c>
    </row>
    <row r="153" customHeight="1" spans="1:6">
      <c r="A153" s="6">
        <v>152</v>
      </c>
      <c r="B153" s="8" t="s">
        <v>6822</v>
      </c>
      <c r="C153" s="8" t="s">
        <v>6823</v>
      </c>
      <c r="D153" s="8" t="s">
        <v>6824</v>
      </c>
      <c r="E153" s="8" t="s">
        <v>216</v>
      </c>
      <c r="F153" s="8" t="s">
        <v>6825</v>
      </c>
    </row>
    <row r="154" customHeight="1" spans="1:6">
      <c r="A154" s="6">
        <v>153</v>
      </c>
      <c r="B154" s="8" t="s">
        <v>6826</v>
      </c>
      <c r="C154" s="8" t="s">
        <v>6827</v>
      </c>
      <c r="D154" s="8" t="s">
        <v>6828</v>
      </c>
      <c r="E154" s="8" t="s">
        <v>28</v>
      </c>
      <c r="F154" s="8" t="s">
        <v>6829</v>
      </c>
    </row>
    <row r="155" customHeight="1" spans="1:6">
      <c r="A155" s="6">
        <v>154</v>
      </c>
      <c r="B155" s="8" t="s">
        <v>6826</v>
      </c>
      <c r="C155" s="8" t="s">
        <v>6827</v>
      </c>
      <c r="D155" s="8" t="s">
        <v>6828</v>
      </c>
      <c r="E155" s="8" t="s">
        <v>28</v>
      </c>
      <c r="F155" s="8" t="s">
        <v>6829</v>
      </c>
    </row>
    <row r="156" customHeight="1" spans="1:6">
      <c r="A156" s="6">
        <v>155</v>
      </c>
      <c r="B156" s="8" t="s">
        <v>6826</v>
      </c>
      <c r="C156" s="8" t="s">
        <v>6827</v>
      </c>
      <c r="D156" s="8" t="s">
        <v>6828</v>
      </c>
      <c r="E156" s="8" t="s">
        <v>28</v>
      </c>
      <c r="F156" s="8" t="s">
        <v>6829</v>
      </c>
    </row>
    <row r="157" customHeight="1" spans="1:6">
      <c r="A157" s="6">
        <v>156</v>
      </c>
      <c r="B157" s="8" t="s">
        <v>6830</v>
      </c>
      <c r="C157" s="8" t="s">
        <v>6831</v>
      </c>
      <c r="D157" s="8" t="s">
        <v>6832</v>
      </c>
      <c r="E157" s="8" t="s">
        <v>216</v>
      </c>
      <c r="F157" s="8" t="s">
        <v>6833</v>
      </c>
    </row>
    <row r="158" customHeight="1" spans="1:6">
      <c r="A158" s="6">
        <v>157</v>
      </c>
      <c r="B158" s="8" t="s">
        <v>6830</v>
      </c>
      <c r="C158" s="8" t="s">
        <v>6831</v>
      </c>
      <c r="D158" s="8" t="s">
        <v>6832</v>
      </c>
      <c r="E158" s="8" t="s">
        <v>216</v>
      </c>
      <c r="F158" s="8" t="s">
        <v>6833</v>
      </c>
    </row>
    <row r="159" customHeight="1" spans="1:6">
      <c r="A159" s="6">
        <v>158</v>
      </c>
      <c r="B159" s="8" t="s">
        <v>6834</v>
      </c>
      <c r="C159" s="8" t="s">
        <v>6835</v>
      </c>
      <c r="D159" s="8" t="s">
        <v>6836</v>
      </c>
      <c r="E159" s="8" t="s">
        <v>216</v>
      </c>
      <c r="F159" s="8" t="s">
        <v>6837</v>
      </c>
    </row>
    <row r="160" customHeight="1" spans="1:6">
      <c r="A160" s="6">
        <v>159</v>
      </c>
      <c r="B160" s="8" t="s">
        <v>6834</v>
      </c>
      <c r="C160" s="8" t="s">
        <v>6835</v>
      </c>
      <c r="D160" s="8" t="s">
        <v>6836</v>
      </c>
      <c r="E160" s="8" t="s">
        <v>216</v>
      </c>
      <c r="F160" s="8" t="s">
        <v>6837</v>
      </c>
    </row>
    <row r="161" customHeight="1" spans="1:6">
      <c r="A161" s="6">
        <v>160</v>
      </c>
      <c r="B161" s="8" t="s">
        <v>6834</v>
      </c>
      <c r="C161" s="8" t="s">
        <v>6835</v>
      </c>
      <c r="D161" s="8" t="s">
        <v>6836</v>
      </c>
      <c r="E161" s="8" t="s">
        <v>216</v>
      </c>
      <c r="F161" s="8" t="s">
        <v>6837</v>
      </c>
    </row>
    <row r="162" customHeight="1" spans="1:6">
      <c r="A162" s="6">
        <v>161</v>
      </c>
      <c r="B162" s="8" t="s">
        <v>6838</v>
      </c>
      <c r="C162" s="8" t="s">
        <v>6839</v>
      </c>
      <c r="D162" s="8" t="s">
        <v>6840</v>
      </c>
      <c r="E162" s="8" t="s">
        <v>197</v>
      </c>
      <c r="F162" s="8" t="s">
        <v>6841</v>
      </c>
    </row>
    <row r="163" customHeight="1" spans="1:6">
      <c r="A163" s="6">
        <v>162</v>
      </c>
      <c r="B163" s="8" t="s">
        <v>6838</v>
      </c>
      <c r="C163" s="8" t="s">
        <v>6839</v>
      </c>
      <c r="D163" s="8" t="s">
        <v>6840</v>
      </c>
      <c r="E163" s="8" t="s">
        <v>197</v>
      </c>
      <c r="F163" s="8" t="s">
        <v>6841</v>
      </c>
    </row>
    <row r="164" customHeight="1" spans="1:6">
      <c r="A164" s="6">
        <v>163</v>
      </c>
      <c r="B164" s="7" t="str">
        <f>"978-7-221-15840-6"</f>
        <v>978-7-221-15840-6</v>
      </c>
      <c r="C164" s="7" t="str">
        <f>"新媒体的语言"</f>
        <v>新媒体的语言</v>
      </c>
      <c r="D164" s="7" t="str">
        <f>"(俄) 列夫·马诺维奇著Lev Manovich；车琳译"</f>
        <v>(俄) 列夫·马诺维奇著Lev Manovich；车琳译</v>
      </c>
      <c r="E164" s="7" t="str">
        <f>"贵州人民出版社"</f>
        <v>贵州人民出版社</v>
      </c>
      <c r="F164" s="7" t="str">
        <f>"G210/339"</f>
        <v>G210/339</v>
      </c>
    </row>
    <row r="165" customHeight="1" spans="1:6">
      <c r="A165" s="6">
        <v>164</v>
      </c>
      <c r="B165" s="7" t="str">
        <f>"978-7-221-15840-6"</f>
        <v>978-7-221-15840-6</v>
      </c>
      <c r="C165" s="7" t="str">
        <f>"新媒体的语言"</f>
        <v>新媒体的语言</v>
      </c>
      <c r="D165" s="7" t="str">
        <f>"(俄) 列夫·马诺维奇著Lev Manovich；车琳译"</f>
        <v>(俄) 列夫·马诺维奇著Lev Manovich；车琳译</v>
      </c>
      <c r="E165" s="7" t="str">
        <f>"贵州人民出版社"</f>
        <v>贵州人民出版社</v>
      </c>
      <c r="F165" s="7" t="str">
        <f>"G210/339"</f>
        <v>G210/339</v>
      </c>
    </row>
    <row r="166" customHeight="1" spans="1:6">
      <c r="A166" s="6">
        <v>165</v>
      </c>
      <c r="B166" s="8" t="s">
        <v>6842</v>
      </c>
      <c r="C166" s="8" t="s">
        <v>6843</v>
      </c>
      <c r="D166" s="8" t="s">
        <v>6844</v>
      </c>
      <c r="E166" s="8" t="s">
        <v>283</v>
      </c>
      <c r="F166" s="8" t="s">
        <v>6845</v>
      </c>
    </row>
    <row r="167" customHeight="1" spans="1:6">
      <c r="A167" s="6">
        <v>166</v>
      </c>
      <c r="B167" s="8" t="s">
        <v>6842</v>
      </c>
      <c r="C167" s="8" t="s">
        <v>6843</v>
      </c>
      <c r="D167" s="8" t="s">
        <v>6844</v>
      </c>
      <c r="E167" s="8" t="s">
        <v>283</v>
      </c>
      <c r="F167" s="8" t="s">
        <v>6845</v>
      </c>
    </row>
    <row r="168" customHeight="1" spans="1:6">
      <c r="A168" s="6">
        <v>167</v>
      </c>
      <c r="B168" s="8" t="s">
        <v>6846</v>
      </c>
      <c r="C168" s="8" t="s">
        <v>6847</v>
      </c>
      <c r="D168" s="8" t="s">
        <v>6848</v>
      </c>
      <c r="E168" s="8" t="s">
        <v>23</v>
      </c>
      <c r="F168" s="8" t="s">
        <v>6849</v>
      </c>
    </row>
    <row r="169" customHeight="1" spans="1:6">
      <c r="A169" s="6">
        <v>168</v>
      </c>
      <c r="B169" s="8" t="s">
        <v>6846</v>
      </c>
      <c r="C169" s="8" t="s">
        <v>6847</v>
      </c>
      <c r="D169" s="8" t="s">
        <v>6848</v>
      </c>
      <c r="E169" s="8" t="s">
        <v>23</v>
      </c>
      <c r="F169" s="8" t="s">
        <v>6849</v>
      </c>
    </row>
    <row r="170" customHeight="1" spans="1:6">
      <c r="A170" s="6">
        <v>169</v>
      </c>
      <c r="B170" s="8" t="s">
        <v>6846</v>
      </c>
      <c r="C170" s="8" t="s">
        <v>6847</v>
      </c>
      <c r="D170" s="8" t="s">
        <v>6848</v>
      </c>
      <c r="E170" s="8" t="s">
        <v>23</v>
      </c>
      <c r="F170" s="8" t="s">
        <v>6849</v>
      </c>
    </row>
    <row r="171" customHeight="1" spans="1:6">
      <c r="A171" s="6">
        <v>170</v>
      </c>
      <c r="B171" s="8" t="s">
        <v>6850</v>
      </c>
      <c r="C171" s="8" t="s">
        <v>6851</v>
      </c>
      <c r="D171" s="8" t="s">
        <v>6852</v>
      </c>
      <c r="E171" s="8" t="s">
        <v>1189</v>
      </c>
      <c r="F171" s="8" t="s">
        <v>6853</v>
      </c>
    </row>
    <row r="172" customHeight="1" spans="1:6">
      <c r="A172" s="6">
        <v>171</v>
      </c>
      <c r="B172" s="8" t="s">
        <v>6850</v>
      </c>
      <c r="C172" s="8" t="s">
        <v>6851</v>
      </c>
      <c r="D172" s="8" t="s">
        <v>6852</v>
      </c>
      <c r="E172" s="8" t="s">
        <v>1189</v>
      </c>
      <c r="F172" s="8" t="s">
        <v>6853</v>
      </c>
    </row>
    <row r="173" customHeight="1" spans="1:6">
      <c r="A173" s="6">
        <v>172</v>
      </c>
      <c r="B173" s="8" t="s">
        <v>6850</v>
      </c>
      <c r="C173" s="8" t="s">
        <v>6851</v>
      </c>
      <c r="D173" s="8" t="s">
        <v>6852</v>
      </c>
      <c r="E173" s="8" t="s">
        <v>1189</v>
      </c>
      <c r="F173" s="8" t="s">
        <v>6853</v>
      </c>
    </row>
    <row r="174" customHeight="1" spans="1:6">
      <c r="A174" s="6">
        <v>173</v>
      </c>
      <c r="B174" s="8" t="s">
        <v>6854</v>
      </c>
      <c r="C174" s="8" t="s">
        <v>6855</v>
      </c>
      <c r="D174" s="8" t="s">
        <v>6856</v>
      </c>
      <c r="E174" s="8" t="s">
        <v>1436</v>
      </c>
      <c r="F174" s="8" t="s">
        <v>6857</v>
      </c>
    </row>
    <row r="175" customHeight="1" spans="1:6">
      <c r="A175" s="6">
        <v>174</v>
      </c>
      <c r="B175" s="8" t="s">
        <v>6854</v>
      </c>
      <c r="C175" s="8" t="s">
        <v>6855</v>
      </c>
      <c r="D175" s="8" t="s">
        <v>6856</v>
      </c>
      <c r="E175" s="8" t="s">
        <v>1436</v>
      </c>
      <c r="F175" s="8" t="s">
        <v>6857</v>
      </c>
    </row>
    <row r="176" customHeight="1" spans="1:6">
      <c r="A176" s="6">
        <v>175</v>
      </c>
      <c r="B176" s="8" t="s">
        <v>6858</v>
      </c>
      <c r="C176" s="8" t="s">
        <v>6859</v>
      </c>
      <c r="D176" s="8" t="s">
        <v>6860</v>
      </c>
      <c r="E176" s="8" t="s">
        <v>3146</v>
      </c>
      <c r="F176" s="8" t="s">
        <v>6861</v>
      </c>
    </row>
    <row r="177" customHeight="1" spans="1:6">
      <c r="A177" s="6">
        <v>176</v>
      </c>
      <c r="B177" s="8" t="s">
        <v>6858</v>
      </c>
      <c r="C177" s="8" t="s">
        <v>6859</v>
      </c>
      <c r="D177" s="8" t="s">
        <v>6860</v>
      </c>
      <c r="E177" s="8" t="s">
        <v>3146</v>
      </c>
      <c r="F177" s="8" t="s">
        <v>6861</v>
      </c>
    </row>
    <row r="178" customHeight="1" spans="1:6">
      <c r="A178" s="6">
        <v>177</v>
      </c>
      <c r="B178" s="8" t="s">
        <v>6858</v>
      </c>
      <c r="C178" s="8" t="s">
        <v>6859</v>
      </c>
      <c r="D178" s="8" t="s">
        <v>6860</v>
      </c>
      <c r="E178" s="8" t="s">
        <v>3146</v>
      </c>
      <c r="F178" s="8" t="s">
        <v>6861</v>
      </c>
    </row>
    <row r="179" customHeight="1" spans="1:6">
      <c r="A179" s="6">
        <v>178</v>
      </c>
      <c r="B179" s="8" t="s">
        <v>6862</v>
      </c>
      <c r="C179" s="8" t="s">
        <v>6863</v>
      </c>
      <c r="D179" s="8" t="s">
        <v>6864</v>
      </c>
      <c r="E179" s="8" t="s">
        <v>2566</v>
      </c>
      <c r="F179" s="8" t="s">
        <v>6865</v>
      </c>
    </row>
    <row r="180" customHeight="1" spans="1:6">
      <c r="A180" s="6">
        <v>179</v>
      </c>
      <c r="B180" s="8" t="s">
        <v>6862</v>
      </c>
      <c r="C180" s="8" t="s">
        <v>6863</v>
      </c>
      <c r="D180" s="8" t="s">
        <v>6864</v>
      </c>
      <c r="E180" s="8" t="s">
        <v>2566</v>
      </c>
      <c r="F180" s="8" t="s">
        <v>6865</v>
      </c>
    </row>
    <row r="181" customHeight="1" spans="1:6">
      <c r="A181" s="6">
        <v>180</v>
      </c>
      <c r="B181" s="8" t="s">
        <v>6866</v>
      </c>
      <c r="C181" s="8" t="s">
        <v>6867</v>
      </c>
      <c r="D181" s="8" t="s">
        <v>6868</v>
      </c>
      <c r="E181" s="8" t="s">
        <v>571</v>
      </c>
      <c r="F181" s="8" t="s">
        <v>6869</v>
      </c>
    </row>
    <row r="182" customHeight="1" spans="1:6">
      <c r="A182" s="6">
        <v>181</v>
      </c>
      <c r="B182" s="8" t="s">
        <v>6866</v>
      </c>
      <c r="C182" s="8" t="s">
        <v>6867</v>
      </c>
      <c r="D182" s="8" t="s">
        <v>6868</v>
      </c>
      <c r="E182" s="8" t="s">
        <v>571</v>
      </c>
      <c r="F182" s="8" t="s">
        <v>6869</v>
      </c>
    </row>
    <row r="183" customHeight="1" spans="1:6">
      <c r="A183" s="6">
        <v>182</v>
      </c>
      <c r="B183" s="8" t="s">
        <v>6866</v>
      </c>
      <c r="C183" s="8" t="s">
        <v>6867</v>
      </c>
      <c r="D183" s="8" t="s">
        <v>6868</v>
      </c>
      <c r="E183" s="8" t="s">
        <v>571</v>
      </c>
      <c r="F183" s="8" t="s">
        <v>6869</v>
      </c>
    </row>
    <row r="184" customHeight="1" spans="1:6">
      <c r="A184" s="6">
        <v>183</v>
      </c>
      <c r="B184" s="8" t="s">
        <v>6870</v>
      </c>
      <c r="C184" s="8" t="s">
        <v>6871</v>
      </c>
      <c r="D184" s="8" t="s">
        <v>6872</v>
      </c>
      <c r="E184" s="8" t="s">
        <v>58</v>
      </c>
      <c r="F184" s="8" t="s">
        <v>6873</v>
      </c>
    </row>
    <row r="185" customHeight="1" spans="1:6">
      <c r="A185" s="6">
        <v>184</v>
      </c>
      <c r="B185" s="8" t="s">
        <v>6870</v>
      </c>
      <c r="C185" s="8" t="s">
        <v>6871</v>
      </c>
      <c r="D185" s="8" t="s">
        <v>6872</v>
      </c>
      <c r="E185" s="8" t="s">
        <v>58</v>
      </c>
      <c r="F185" s="8" t="s">
        <v>6873</v>
      </c>
    </row>
    <row r="186" customHeight="1" spans="1:6">
      <c r="A186" s="6">
        <v>185</v>
      </c>
      <c r="B186" s="8" t="s">
        <v>6874</v>
      </c>
      <c r="C186" s="8" t="s">
        <v>6875</v>
      </c>
      <c r="D186" s="8" t="s">
        <v>6876</v>
      </c>
      <c r="E186" s="8" t="s">
        <v>28</v>
      </c>
      <c r="F186" s="8" t="s">
        <v>6877</v>
      </c>
    </row>
    <row r="187" customHeight="1" spans="1:6">
      <c r="A187" s="6">
        <v>186</v>
      </c>
      <c r="B187" s="8" t="s">
        <v>6874</v>
      </c>
      <c r="C187" s="8" t="s">
        <v>6875</v>
      </c>
      <c r="D187" s="8" t="s">
        <v>6876</v>
      </c>
      <c r="E187" s="8" t="s">
        <v>28</v>
      </c>
      <c r="F187" s="8" t="s">
        <v>6877</v>
      </c>
    </row>
    <row r="188" customHeight="1" spans="1:6">
      <c r="A188" s="6">
        <v>187</v>
      </c>
      <c r="B188" s="8" t="s">
        <v>6874</v>
      </c>
      <c r="C188" s="8" t="s">
        <v>6875</v>
      </c>
      <c r="D188" s="8" t="s">
        <v>6876</v>
      </c>
      <c r="E188" s="8" t="s">
        <v>28</v>
      </c>
      <c r="F188" s="8" t="s">
        <v>6877</v>
      </c>
    </row>
    <row r="189" customHeight="1" spans="1:6">
      <c r="A189" s="6">
        <v>188</v>
      </c>
      <c r="B189" s="8" t="s">
        <v>6878</v>
      </c>
      <c r="C189" s="8" t="s">
        <v>6879</v>
      </c>
      <c r="D189" s="8" t="s">
        <v>6880</v>
      </c>
      <c r="E189" s="8" t="s">
        <v>1622</v>
      </c>
      <c r="F189" s="8" t="s">
        <v>6881</v>
      </c>
    </row>
    <row r="190" customHeight="1" spans="1:6">
      <c r="A190" s="6">
        <v>189</v>
      </c>
      <c r="B190" s="8" t="s">
        <v>6878</v>
      </c>
      <c r="C190" s="8" t="s">
        <v>6879</v>
      </c>
      <c r="D190" s="8" t="s">
        <v>6880</v>
      </c>
      <c r="E190" s="8" t="s">
        <v>1622</v>
      </c>
      <c r="F190" s="8" t="s">
        <v>6881</v>
      </c>
    </row>
    <row r="191" customHeight="1" spans="1:6">
      <c r="A191" s="6">
        <v>190</v>
      </c>
      <c r="B191" s="7" t="str">
        <f>"978-7-5166-5803-1"</f>
        <v>978-7-5166-5803-1</v>
      </c>
      <c r="C191" s="7" t="str">
        <f>"新闻采访学新论"</f>
        <v>新闻采访学新论</v>
      </c>
      <c r="D191" s="7" t="str">
        <f>"段勃著"</f>
        <v>段勃著</v>
      </c>
      <c r="E191" s="7" t="str">
        <f>"新华出版社"</f>
        <v>新华出版社</v>
      </c>
      <c r="F191" s="7" t="str">
        <f>"G212.1/61"</f>
        <v>G212.1/61</v>
      </c>
    </row>
    <row r="192" customHeight="1" spans="1:6">
      <c r="A192" s="6">
        <v>191</v>
      </c>
      <c r="B192" s="7" t="str">
        <f>"978-7-5166-5803-1"</f>
        <v>978-7-5166-5803-1</v>
      </c>
      <c r="C192" s="7" t="str">
        <f>"新闻采访学新论"</f>
        <v>新闻采访学新论</v>
      </c>
      <c r="D192" s="7" t="str">
        <f>"段勃著"</f>
        <v>段勃著</v>
      </c>
      <c r="E192" s="7" t="str">
        <f>"新华出版社"</f>
        <v>新华出版社</v>
      </c>
      <c r="F192" s="7" t="str">
        <f>"G212.1/61"</f>
        <v>G212.1/61</v>
      </c>
    </row>
    <row r="193" customHeight="1" spans="1:6">
      <c r="A193" s="6">
        <v>192</v>
      </c>
      <c r="B193" s="8" t="s">
        <v>6882</v>
      </c>
      <c r="C193" s="8" t="s">
        <v>6883</v>
      </c>
      <c r="D193" s="8" t="s">
        <v>6884</v>
      </c>
      <c r="E193" s="8" t="s">
        <v>5806</v>
      </c>
      <c r="F193" s="8" t="s">
        <v>6885</v>
      </c>
    </row>
    <row r="194" customHeight="1" spans="1:6">
      <c r="A194" s="6">
        <v>193</v>
      </c>
      <c r="B194" s="8" t="s">
        <v>6882</v>
      </c>
      <c r="C194" s="8" t="s">
        <v>6883</v>
      </c>
      <c r="D194" s="8" t="s">
        <v>6884</v>
      </c>
      <c r="E194" s="8" t="s">
        <v>5806</v>
      </c>
      <c r="F194" s="8" t="s">
        <v>6885</v>
      </c>
    </row>
    <row r="195" customHeight="1" spans="1:6">
      <c r="A195" s="6">
        <v>194</v>
      </c>
      <c r="B195" s="8" t="s">
        <v>6886</v>
      </c>
      <c r="C195" s="8" t="s">
        <v>6887</v>
      </c>
      <c r="D195" s="8" t="s">
        <v>6884</v>
      </c>
      <c r="E195" s="8" t="s">
        <v>5806</v>
      </c>
      <c r="F195" s="8" t="s">
        <v>6888</v>
      </c>
    </row>
    <row r="196" customHeight="1" spans="1:6">
      <c r="A196" s="6">
        <v>195</v>
      </c>
      <c r="B196" s="8" t="s">
        <v>6886</v>
      </c>
      <c r="C196" s="8" t="s">
        <v>6887</v>
      </c>
      <c r="D196" s="8" t="s">
        <v>6884</v>
      </c>
      <c r="E196" s="8" t="s">
        <v>5806</v>
      </c>
      <c r="F196" s="8" t="s">
        <v>6888</v>
      </c>
    </row>
    <row r="197" customHeight="1" spans="1:6">
      <c r="A197" s="6">
        <v>196</v>
      </c>
      <c r="B197" s="7" t="str">
        <f>"978-7-5115-7048-2"</f>
        <v>978-7-5115-7048-2</v>
      </c>
      <c r="C197" s="7" t="str">
        <f>"一本书学会新闻写作"</f>
        <v>一本书学会新闻写作</v>
      </c>
      <c r="D197" s="7" t="str">
        <f>"刘建华主编；卞丽敏， 李炜著"</f>
        <v>刘建华主编；卞丽敏， 李炜著</v>
      </c>
      <c r="E197" s="7" t="str">
        <f>"人民日报出版社"</f>
        <v>人民日报出版社</v>
      </c>
      <c r="F197" s="7" t="str">
        <f>"G212.2/172=2D"</f>
        <v>G212.2/172=2D</v>
      </c>
    </row>
    <row r="198" customHeight="1" spans="1:6">
      <c r="A198" s="6">
        <v>197</v>
      </c>
      <c r="B198" s="7" t="str">
        <f>"978-7-5115-7048-2"</f>
        <v>978-7-5115-7048-2</v>
      </c>
      <c r="C198" s="7" t="str">
        <f>"一本书学会新闻写作"</f>
        <v>一本书学会新闻写作</v>
      </c>
      <c r="D198" s="7" t="str">
        <f>"刘建华主编；卞丽敏， 李炜著"</f>
        <v>刘建华主编；卞丽敏， 李炜著</v>
      </c>
      <c r="E198" s="7" t="str">
        <f>"人民日报出版社"</f>
        <v>人民日报出版社</v>
      </c>
      <c r="F198" s="7" t="str">
        <f>"G212.2/172=2D"</f>
        <v>G212.2/172=2D</v>
      </c>
    </row>
    <row r="199" customHeight="1" spans="1:6">
      <c r="A199" s="6">
        <v>198</v>
      </c>
      <c r="B199" s="8" t="s">
        <v>6889</v>
      </c>
      <c r="C199" s="8" t="s">
        <v>6890</v>
      </c>
      <c r="D199" s="8" t="s">
        <v>6891</v>
      </c>
      <c r="E199" s="8" t="s">
        <v>288</v>
      </c>
      <c r="F199" s="8" t="s">
        <v>6892</v>
      </c>
    </row>
    <row r="200" customHeight="1" spans="1:6">
      <c r="A200" s="6">
        <v>199</v>
      </c>
      <c r="B200" s="8" t="s">
        <v>6889</v>
      </c>
      <c r="C200" s="8" t="s">
        <v>6890</v>
      </c>
      <c r="D200" s="8" t="s">
        <v>6891</v>
      </c>
      <c r="E200" s="8" t="s">
        <v>288</v>
      </c>
      <c r="F200" s="8" t="s">
        <v>6892</v>
      </c>
    </row>
    <row r="201" customHeight="1" spans="1:6">
      <c r="A201" s="6">
        <v>200</v>
      </c>
      <c r="B201" s="8" t="s">
        <v>6893</v>
      </c>
      <c r="C201" s="8" t="s">
        <v>6894</v>
      </c>
      <c r="D201" s="8" t="s">
        <v>6895</v>
      </c>
      <c r="E201" s="8" t="s">
        <v>58</v>
      </c>
      <c r="F201" s="8" t="s">
        <v>6896</v>
      </c>
    </row>
    <row r="202" customHeight="1" spans="1:6">
      <c r="A202" s="6">
        <v>201</v>
      </c>
      <c r="B202" s="8" t="s">
        <v>6893</v>
      </c>
      <c r="C202" s="8" t="s">
        <v>6894</v>
      </c>
      <c r="D202" s="8" t="s">
        <v>6895</v>
      </c>
      <c r="E202" s="8" t="s">
        <v>58</v>
      </c>
      <c r="F202" s="8" t="s">
        <v>6896</v>
      </c>
    </row>
    <row r="203" customHeight="1" spans="1:6">
      <c r="A203" s="6">
        <v>202</v>
      </c>
      <c r="B203" s="8" t="s">
        <v>6897</v>
      </c>
      <c r="C203" s="8" t="s">
        <v>6898</v>
      </c>
      <c r="D203" s="8" t="s">
        <v>588</v>
      </c>
      <c r="E203" s="8" t="s">
        <v>23</v>
      </c>
      <c r="F203" s="8" t="s">
        <v>6899</v>
      </c>
    </row>
    <row r="204" customHeight="1" spans="1:6">
      <c r="A204" s="6">
        <v>203</v>
      </c>
      <c r="B204" s="8" t="s">
        <v>6897</v>
      </c>
      <c r="C204" s="8" t="s">
        <v>6898</v>
      </c>
      <c r="D204" s="8" t="s">
        <v>588</v>
      </c>
      <c r="E204" s="8" t="s">
        <v>23</v>
      </c>
      <c r="F204" s="8" t="s">
        <v>6899</v>
      </c>
    </row>
    <row r="205" customHeight="1" spans="1:6">
      <c r="A205" s="6">
        <v>204</v>
      </c>
      <c r="B205" s="8" t="s">
        <v>6900</v>
      </c>
      <c r="C205" s="8" t="s">
        <v>6901</v>
      </c>
      <c r="D205" s="8" t="s">
        <v>6902</v>
      </c>
      <c r="E205" s="8" t="s">
        <v>1189</v>
      </c>
      <c r="F205" s="8" t="s">
        <v>6903</v>
      </c>
    </row>
    <row r="206" customHeight="1" spans="1:6">
      <c r="A206" s="6">
        <v>205</v>
      </c>
      <c r="B206" s="8" t="s">
        <v>6900</v>
      </c>
      <c r="C206" s="8" t="s">
        <v>6901</v>
      </c>
      <c r="D206" s="8" t="s">
        <v>6902</v>
      </c>
      <c r="E206" s="8" t="s">
        <v>1189</v>
      </c>
      <c r="F206" s="8" t="s">
        <v>6903</v>
      </c>
    </row>
    <row r="207" customHeight="1" spans="1:6">
      <c r="A207" s="6">
        <v>206</v>
      </c>
      <c r="B207" s="8" t="s">
        <v>6900</v>
      </c>
      <c r="C207" s="8" t="s">
        <v>6901</v>
      </c>
      <c r="D207" s="8" t="s">
        <v>6902</v>
      </c>
      <c r="E207" s="8" t="s">
        <v>1189</v>
      </c>
      <c r="F207" s="8" t="s">
        <v>6903</v>
      </c>
    </row>
    <row r="208" customHeight="1" spans="1:6">
      <c r="A208" s="6">
        <v>207</v>
      </c>
      <c r="B208" s="8" t="s">
        <v>6904</v>
      </c>
      <c r="C208" s="8" t="s">
        <v>6905</v>
      </c>
      <c r="D208" s="8" t="s">
        <v>6906</v>
      </c>
      <c r="E208" s="8" t="s">
        <v>985</v>
      </c>
      <c r="F208" s="8" t="s">
        <v>6907</v>
      </c>
    </row>
    <row r="209" customHeight="1" spans="1:6">
      <c r="A209" s="6">
        <v>208</v>
      </c>
      <c r="B209" s="8" t="s">
        <v>6904</v>
      </c>
      <c r="C209" s="8" t="s">
        <v>6905</v>
      </c>
      <c r="D209" s="8" t="s">
        <v>6906</v>
      </c>
      <c r="E209" s="8" t="s">
        <v>985</v>
      </c>
      <c r="F209" s="8" t="s">
        <v>6907</v>
      </c>
    </row>
    <row r="210" customHeight="1" spans="1:6">
      <c r="A210" s="6">
        <v>209</v>
      </c>
      <c r="B210" s="8" t="s">
        <v>6904</v>
      </c>
      <c r="C210" s="8" t="s">
        <v>6905</v>
      </c>
      <c r="D210" s="8" t="s">
        <v>6906</v>
      </c>
      <c r="E210" s="8" t="s">
        <v>985</v>
      </c>
      <c r="F210" s="8" t="s">
        <v>6907</v>
      </c>
    </row>
    <row r="211" customHeight="1" spans="1:6">
      <c r="A211" s="6">
        <v>210</v>
      </c>
      <c r="B211" s="8" t="s">
        <v>6908</v>
      </c>
      <c r="C211" s="8" t="s">
        <v>6909</v>
      </c>
      <c r="D211" s="8" t="s">
        <v>6910</v>
      </c>
      <c r="E211" s="8" t="s">
        <v>58</v>
      </c>
      <c r="F211" s="8" t="s">
        <v>6911</v>
      </c>
    </row>
    <row r="212" customHeight="1" spans="1:6">
      <c r="A212" s="6">
        <v>211</v>
      </c>
      <c r="B212" s="8" t="s">
        <v>6908</v>
      </c>
      <c r="C212" s="8" t="s">
        <v>6909</v>
      </c>
      <c r="D212" s="8" t="s">
        <v>6910</v>
      </c>
      <c r="E212" s="8" t="s">
        <v>58</v>
      </c>
      <c r="F212" s="8" t="s">
        <v>6911</v>
      </c>
    </row>
    <row r="213" customHeight="1" spans="1:6">
      <c r="A213" s="6">
        <v>212</v>
      </c>
      <c r="B213" s="8" t="s">
        <v>6912</v>
      </c>
      <c r="C213" s="8" t="s">
        <v>6913</v>
      </c>
      <c r="D213" s="8" t="s">
        <v>6914</v>
      </c>
      <c r="E213" s="8" t="s">
        <v>288</v>
      </c>
      <c r="F213" s="8" t="s">
        <v>6915</v>
      </c>
    </row>
    <row r="214" customHeight="1" spans="1:6">
      <c r="A214" s="6">
        <v>213</v>
      </c>
      <c r="B214" s="8" t="s">
        <v>6916</v>
      </c>
      <c r="C214" s="8" t="s">
        <v>6917</v>
      </c>
      <c r="D214" s="8" t="s">
        <v>6918</v>
      </c>
      <c r="E214" s="8" t="s">
        <v>33</v>
      </c>
      <c r="F214" s="8" t="s">
        <v>6919</v>
      </c>
    </row>
    <row r="215" customHeight="1" spans="1:6">
      <c r="A215" s="6">
        <v>214</v>
      </c>
      <c r="B215" s="8" t="s">
        <v>6916</v>
      </c>
      <c r="C215" s="8" t="s">
        <v>6917</v>
      </c>
      <c r="D215" s="8" t="s">
        <v>6918</v>
      </c>
      <c r="E215" s="8" t="s">
        <v>33</v>
      </c>
      <c r="F215" s="8" t="s">
        <v>6919</v>
      </c>
    </row>
    <row r="216" customHeight="1" spans="1:6">
      <c r="A216" s="6">
        <v>215</v>
      </c>
      <c r="B216" s="7" t="str">
        <f>"978-7-109-28627-6"</f>
        <v>978-7-109-28627-6</v>
      </c>
      <c r="C216" s="7" t="str">
        <f>"大众传媒产业及其价值链研究"</f>
        <v>大众传媒产业及其价值链研究</v>
      </c>
      <c r="D216" s="7" t="str">
        <f>"马丽著"</f>
        <v>马丽著</v>
      </c>
      <c r="E216" s="7" t="str">
        <f>"中国农业出版社"</f>
        <v>中国农业出版社</v>
      </c>
      <c r="F216" s="7" t="str">
        <f>"G219.2/291"</f>
        <v>G219.2/291</v>
      </c>
    </row>
    <row r="217" customHeight="1" spans="1:6">
      <c r="A217" s="6">
        <v>216</v>
      </c>
      <c r="B217" s="7" t="str">
        <f>"978-7-109-28627-6"</f>
        <v>978-7-109-28627-6</v>
      </c>
      <c r="C217" s="7" t="str">
        <f>"大众传媒产业及其价值链研究"</f>
        <v>大众传媒产业及其价值链研究</v>
      </c>
      <c r="D217" s="7" t="str">
        <f>"马丽著"</f>
        <v>马丽著</v>
      </c>
      <c r="E217" s="7" t="str">
        <f>"中国农业出版社"</f>
        <v>中国农业出版社</v>
      </c>
      <c r="F217" s="7" t="str">
        <f>"G219.2/291"</f>
        <v>G219.2/291</v>
      </c>
    </row>
    <row r="218" customHeight="1" spans="1:6">
      <c r="A218" s="6">
        <v>217</v>
      </c>
      <c r="B218" s="7" t="str">
        <f>"978-7-5201-9137-1"</f>
        <v>978-7-5201-9137-1</v>
      </c>
      <c r="C218" s="7" t="str">
        <f>"建设性新闻与社会治理"</f>
        <v>建设性新闻与社会治理</v>
      </c>
      <c r="D218" s="7" t="str">
        <f>"唐绪军， 殷乐主编"</f>
        <v>唐绪军， 殷乐主编</v>
      </c>
      <c r="E218" s="7" t="str">
        <f>"社会科学文献出版社"</f>
        <v>社会科学文献出版社</v>
      </c>
      <c r="F218" s="7" t="str">
        <f>"G219.2/292"</f>
        <v>G219.2/292</v>
      </c>
    </row>
    <row r="219" customHeight="1" spans="1:6">
      <c r="A219" s="6">
        <v>218</v>
      </c>
      <c r="B219" s="7" t="str">
        <f>"978-7-5201-9137-1"</f>
        <v>978-7-5201-9137-1</v>
      </c>
      <c r="C219" s="7" t="str">
        <f>"建设性新闻与社会治理"</f>
        <v>建设性新闻与社会治理</v>
      </c>
      <c r="D219" s="7" t="str">
        <f>"唐绪军， 殷乐主编"</f>
        <v>唐绪军， 殷乐主编</v>
      </c>
      <c r="E219" s="7" t="str">
        <f>"社会科学文献出版社"</f>
        <v>社会科学文献出版社</v>
      </c>
      <c r="F219" s="7" t="str">
        <f>"G219.2/292"</f>
        <v>G219.2/292</v>
      </c>
    </row>
    <row r="220" customHeight="1" spans="1:6">
      <c r="A220" s="6">
        <v>219</v>
      </c>
      <c r="B220" s="7" t="str">
        <f>"978-7-5762-1549-6"</f>
        <v>978-7-5762-1549-6</v>
      </c>
      <c r="C220" s="7" t="str">
        <f>"新闻力：企业新闻宣传工作方法简记"</f>
        <v>新闻力：企业新闻宣传工作方法简记</v>
      </c>
      <c r="D220" s="7" t="str">
        <f>"巨风著"</f>
        <v>巨风著</v>
      </c>
      <c r="E220" s="7" t="str">
        <f>"江西高校出版社"</f>
        <v>江西高校出版社</v>
      </c>
      <c r="F220" s="7" t="str">
        <f>"G219.2/293"</f>
        <v>G219.2/293</v>
      </c>
    </row>
    <row r="221" customHeight="1" spans="1:6">
      <c r="A221" s="6">
        <v>220</v>
      </c>
      <c r="B221" s="7" t="str">
        <f>"978-7-5762-1549-6"</f>
        <v>978-7-5762-1549-6</v>
      </c>
      <c r="C221" s="7" t="str">
        <f>"新闻力：企业新闻宣传工作方法简记"</f>
        <v>新闻力：企业新闻宣传工作方法简记</v>
      </c>
      <c r="D221" s="7" t="str">
        <f>"巨风著"</f>
        <v>巨风著</v>
      </c>
      <c r="E221" s="7" t="str">
        <f>"江西高校出版社"</f>
        <v>江西高校出版社</v>
      </c>
      <c r="F221" s="7" t="str">
        <f>"G219.2/293"</f>
        <v>G219.2/293</v>
      </c>
    </row>
    <row r="222" customHeight="1" spans="1:6">
      <c r="A222" s="6">
        <v>221</v>
      </c>
      <c r="B222" s="7" t="str">
        <f>"978-7-306-07082-1"</f>
        <v>978-7-306-07082-1</v>
      </c>
      <c r="C222" s="7" t="str">
        <f>"跨学科视野中的媒介融合与传媒转型"</f>
        <v>跨学科视野中的媒介融合与传媒转型</v>
      </c>
      <c r="D222" s="7" t="str">
        <f>"钱晓文著"</f>
        <v>钱晓文著</v>
      </c>
      <c r="E222" s="7" t="str">
        <f>"中山大学出版社"</f>
        <v>中山大学出版社</v>
      </c>
      <c r="F222" s="7" t="str">
        <f>"G219.2/294"</f>
        <v>G219.2/294</v>
      </c>
    </row>
    <row r="223" customHeight="1" spans="1:6">
      <c r="A223" s="6">
        <v>222</v>
      </c>
      <c r="B223" s="7" t="str">
        <f>"978-7-306-07082-1"</f>
        <v>978-7-306-07082-1</v>
      </c>
      <c r="C223" s="7" t="str">
        <f>"跨学科视野中的媒介融合与传媒转型"</f>
        <v>跨学科视野中的媒介融合与传媒转型</v>
      </c>
      <c r="D223" s="7" t="str">
        <f>"钱晓文著"</f>
        <v>钱晓文著</v>
      </c>
      <c r="E223" s="7" t="str">
        <f>"中山大学出版社"</f>
        <v>中山大学出版社</v>
      </c>
      <c r="F223" s="7" t="str">
        <f>"G219.2/294"</f>
        <v>G219.2/294</v>
      </c>
    </row>
    <row r="224" customHeight="1" spans="1:6">
      <c r="A224" s="6">
        <v>223</v>
      </c>
      <c r="B224" s="8" t="s">
        <v>6920</v>
      </c>
      <c r="C224" s="8" t="s">
        <v>6921</v>
      </c>
      <c r="D224" s="8" t="s">
        <v>6922</v>
      </c>
      <c r="E224" s="8" t="s">
        <v>425</v>
      </c>
      <c r="F224" s="8" t="s">
        <v>6923</v>
      </c>
    </row>
    <row r="225" customHeight="1" spans="1:6">
      <c r="A225" s="6">
        <v>224</v>
      </c>
      <c r="B225" s="8" t="s">
        <v>6920</v>
      </c>
      <c r="C225" s="8" t="s">
        <v>6921</v>
      </c>
      <c r="D225" s="8" t="s">
        <v>6922</v>
      </c>
      <c r="E225" s="8" t="s">
        <v>425</v>
      </c>
      <c r="F225" s="8" t="s">
        <v>6923</v>
      </c>
    </row>
    <row r="226" customHeight="1" spans="1:6">
      <c r="A226" s="6">
        <v>225</v>
      </c>
      <c r="B226" s="8" t="s">
        <v>6924</v>
      </c>
      <c r="C226" s="8" t="s">
        <v>6925</v>
      </c>
      <c r="D226" s="8" t="s">
        <v>6926</v>
      </c>
      <c r="E226" s="8" t="s">
        <v>283</v>
      </c>
      <c r="F226" s="8" t="s">
        <v>6927</v>
      </c>
    </row>
    <row r="227" customHeight="1" spans="1:6">
      <c r="A227" s="6">
        <v>226</v>
      </c>
      <c r="B227" s="8" t="s">
        <v>6924</v>
      </c>
      <c r="C227" s="8" t="s">
        <v>6925</v>
      </c>
      <c r="D227" s="8" t="s">
        <v>6926</v>
      </c>
      <c r="E227" s="8" t="s">
        <v>283</v>
      </c>
      <c r="F227" s="8" t="s">
        <v>6927</v>
      </c>
    </row>
    <row r="228" customHeight="1" spans="1:6">
      <c r="A228" s="6">
        <v>227</v>
      </c>
      <c r="B228" s="8" t="s">
        <v>6928</v>
      </c>
      <c r="C228" s="8" t="s">
        <v>6929</v>
      </c>
      <c r="D228" s="8" t="s">
        <v>6930</v>
      </c>
      <c r="E228" s="8" t="s">
        <v>589</v>
      </c>
      <c r="F228" s="8" t="s">
        <v>6931</v>
      </c>
    </row>
    <row r="229" customHeight="1" spans="1:6">
      <c r="A229" s="6">
        <v>228</v>
      </c>
      <c r="B229" s="8" t="s">
        <v>6928</v>
      </c>
      <c r="C229" s="8" t="s">
        <v>6929</v>
      </c>
      <c r="D229" s="8" t="s">
        <v>6930</v>
      </c>
      <c r="E229" s="8" t="s">
        <v>589</v>
      </c>
      <c r="F229" s="8" t="s">
        <v>6931</v>
      </c>
    </row>
    <row r="230" customHeight="1" spans="1:6">
      <c r="A230" s="6">
        <v>229</v>
      </c>
      <c r="B230" s="8" t="s">
        <v>6932</v>
      </c>
      <c r="C230" s="8" t="s">
        <v>6933</v>
      </c>
      <c r="D230" s="8" t="s">
        <v>6934</v>
      </c>
      <c r="E230" s="8" t="s">
        <v>58</v>
      </c>
      <c r="F230" s="8" t="s">
        <v>6935</v>
      </c>
    </row>
    <row r="231" customHeight="1" spans="1:6">
      <c r="A231" s="6">
        <v>230</v>
      </c>
      <c r="B231" s="8" t="s">
        <v>6932</v>
      </c>
      <c r="C231" s="8" t="s">
        <v>6933</v>
      </c>
      <c r="D231" s="8" t="s">
        <v>6934</v>
      </c>
      <c r="E231" s="8" t="s">
        <v>58</v>
      </c>
      <c r="F231" s="8" t="s">
        <v>6935</v>
      </c>
    </row>
    <row r="232" customHeight="1" spans="1:6">
      <c r="A232" s="6">
        <v>231</v>
      </c>
      <c r="B232" s="8" t="s">
        <v>6936</v>
      </c>
      <c r="C232" s="8" t="s">
        <v>6937</v>
      </c>
      <c r="D232" s="8" t="s">
        <v>6938</v>
      </c>
      <c r="E232" s="8" t="s">
        <v>58</v>
      </c>
      <c r="F232" s="8" t="s">
        <v>6939</v>
      </c>
    </row>
    <row r="233" customHeight="1" spans="1:6">
      <c r="A233" s="6">
        <v>232</v>
      </c>
      <c r="B233" s="8" t="s">
        <v>6936</v>
      </c>
      <c r="C233" s="8" t="s">
        <v>6937</v>
      </c>
      <c r="D233" s="8" t="s">
        <v>6938</v>
      </c>
      <c r="E233" s="8" t="s">
        <v>58</v>
      </c>
      <c r="F233" s="8" t="s">
        <v>6939</v>
      </c>
    </row>
    <row r="234" customHeight="1" spans="1:6">
      <c r="A234" s="6">
        <v>233</v>
      </c>
      <c r="B234" s="8" t="s">
        <v>6940</v>
      </c>
      <c r="C234" s="8" t="s">
        <v>6941</v>
      </c>
      <c r="D234" s="8" t="s">
        <v>6942</v>
      </c>
      <c r="E234" s="8" t="s">
        <v>58</v>
      </c>
      <c r="F234" s="8" t="s">
        <v>6943</v>
      </c>
    </row>
    <row r="235" customHeight="1" spans="1:6">
      <c r="A235" s="6">
        <v>234</v>
      </c>
      <c r="B235" s="8" t="s">
        <v>6940</v>
      </c>
      <c r="C235" s="8" t="s">
        <v>6941</v>
      </c>
      <c r="D235" s="8" t="s">
        <v>6942</v>
      </c>
      <c r="E235" s="8" t="s">
        <v>58</v>
      </c>
      <c r="F235" s="8" t="s">
        <v>6943</v>
      </c>
    </row>
    <row r="236" customHeight="1" spans="1:6">
      <c r="A236" s="6">
        <v>235</v>
      </c>
      <c r="B236" s="8" t="s">
        <v>6944</v>
      </c>
      <c r="C236" s="8" t="s">
        <v>6945</v>
      </c>
      <c r="D236" s="8" t="s">
        <v>6946</v>
      </c>
      <c r="E236" s="8" t="s">
        <v>48</v>
      </c>
      <c r="F236" s="8" t="s">
        <v>6947</v>
      </c>
    </row>
    <row r="237" customHeight="1" spans="1:6">
      <c r="A237" s="6">
        <v>236</v>
      </c>
      <c r="B237" s="8" t="s">
        <v>6944</v>
      </c>
      <c r="C237" s="8" t="s">
        <v>6945</v>
      </c>
      <c r="D237" s="8" t="s">
        <v>6946</v>
      </c>
      <c r="E237" s="8" t="s">
        <v>48</v>
      </c>
      <c r="F237" s="8" t="s">
        <v>6947</v>
      </c>
    </row>
    <row r="238" customHeight="1" spans="1:6">
      <c r="A238" s="6">
        <v>237</v>
      </c>
      <c r="B238" s="8" t="s">
        <v>6948</v>
      </c>
      <c r="C238" s="8" t="s">
        <v>6949</v>
      </c>
      <c r="D238" s="8" t="s">
        <v>6950</v>
      </c>
      <c r="E238" s="8" t="s">
        <v>43</v>
      </c>
      <c r="F238" s="8" t="s">
        <v>6951</v>
      </c>
    </row>
    <row r="239" customHeight="1" spans="1:6">
      <c r="A239" s="6">
        <v>238</v>
      </c>
      <c r="B239" s="8" t="s">
        <v>6948</v>
      </c>
      <c r="C239" s="8" t="s">
        <v>6949</v>
      </c>
      <c r="D239" s="8" t="s">
        <v>6950</v>
      </c>
      <c r="E239" s="8" t="s">
        <v>43</v>
      </c>
      <c r="F239" s="8" t="s">
        <v>6951</v>
      </c>
    </row>
    <row r="240" customHeight="1" spans="1:6">
      <c r="A240" s="6">
        <v>239</v>
      </c>
      <c r="B240" s="8" t="s">
        <v>6952</v>
      </c>
      <c r="C240" s="8" t="s">
        <v>6953</v>
      </c>
      <c r="D240" s="8" t="s">
        <v>6954</v>
      </c>
      <c r="E240" s="8" t="s">
        <v>28</v>
      </c>
      <c r="F240" s="8" t="s">
        <v>6955</v>
      </c>
    </row>
    <row r="241" customHeight="1" spans="1:6">
      <c r="A241" s="6">
        <v>240</v>
      </c>
      <c r="B241" s="8" t="s">
        <v>6952</v>
      </c>
      <c r="C241" s="8" t="s">
        <v>6953</v>
      </c>
      <c r="D241" s="8" t="s">
        <v>6954</v>
      </c>
      <c r="E241" s="8" t="s">
        <v>28</v>
      </c>
      <c r="F241" s="8" t="s">
        <v>6955</v>
      </c>
    </row>
    <row r="242" customHeight="1" spans="1:6">
      <c r="A242" s="6">
        <v>241</v>
      </c>
      <c r="B242" s="8" t="s">
        <v>6956</v>
      </c>
      <c r="C242" s="8" t="s">
        <v>6957</v>
      </c>
      <c r="D242" s="8" t="s">
        <v>6958</v>
      </c>
      <c r="E242" s="8" t="s">
        <v>890</v>
      </c>
      <c r="F242" s="8" t="s">
        <v>6959</v>
      </c>
    </row>
    <row r="243" customHeight="1" spans="1:6">
      <c r="A243" s="6">
        <v>242</v>
      </c>
      <c r="B243" s="8" t="s">
        <v>6956</v>
      </c>
      <c r="C243" s="8" t="s">
        <v>6957</v>
      </c>
      <c r="D243" s="8" t="s">
        <v>6958</v>
      </c>
      <c r="E243" s="8" t="s">
        <v>890</v>
      </c>
      <c r="F243" s="8" t="s">
        <v>6959</v>
      </c>
    </row>
    <row r="244" customHeight="1" spans="1:6">
      <c r="A244" s="6">
        <v>243</v>
      </c>
      <c r="B244" s="8" t="s">
        <v>6960</v>
      </c>
      <c r="C244" s="8" t="s">
        <v>6961</v>
      </c>
      <c r="D244" s="8" t="s">
        <v>6962</v>
      </c>
      <c r="E244" s="8" t="s">
        <v>58</v>
      </c>
      <c r="F244" s="8" t="s">
        <v>6963</v>
      </c>
    </row>
    <row r="245" customHeight="1" spans="1:6">
      <c r="A245" s="6">
        <v>244</v>
      </c>
      <c r="B245" s="8" t="s">
        <v>6960</v>
      </c>
      <c r="C245" s="8" t="s">
        <v>6961</v>
      </c>
      <c r="D245" s="8" t="s">
        <v>6962</v>
      </c>
      <c r="E245" s="8" t="s">
        <v>58</v>
      </c>
      <c r="F245" s="8" t="s">
        <v>6963</v>
      </c>
    </row>
    <row r="246" customHeight="1" spans="1:6">
      <c r="A246" s="6">
        <v>245</v>
      </c>
      <c r="B246" s="8" t="s">
        <v>6964</v>
      </c>
      <c r="C246" s="8" t="s">
        <v>6965</v>
      </c>
      <c r="D246" s="8" t="s">
        <v>6966</v>
      </c>
      <c r="E246" s="8" t="s">
        <v>43</v>
      </c>
      <c r="F246" s="8" t="s">
        <v>6967</v>
      </c>
    </row>
    <row r="247" customHeight="1" spans="1:6">
      <c r="A247" s="6">
        <v>246</v>
      </c>
      <c r="B247" s="8" t="s">
        <v>6964</v>
      </c>
      <c r="C247" s="8" t="s">
        <v>6965</v>
      </c>
      <c r="D247" s="8" t="s">
        <v>6966</v>
      </c>
      <c r="E247" s="8" t="s">
        <v>43</v>
      </c>
      <c r="F247" s="8" t="s">
        <v>6967</v>
      </c>
    </row>
    <row r="248" customHeight="1" spans="1:6">
      <c r="A248" s="6">
        <v>247</v>
      </c>
      <c r="B248" s="8" t="s">
        <v>6968</v>
      </c>
      <c r="C248" s="8" t="s">
        <v>6969</v>
      </c>
      <c r="D248" s="8" t="s">
        <v>6970</v>
      </c>
      <c r="E248" s="8" t="s">
        <v>58</v>
      </c>
      <c r="F248" s="8" t="s">
        <v>6971</v>
      </c>
    </row>
    <row r="249" customHeight="1" spans="1:6">
      <c r="A249" s="6">
        <v>248</v>
      </c>
      <c r="B249" s="8" t="s">
        <v>6968</v>
      </c>
      <c r="C249" s="8" t="s">
        <v>6969</v>
      </c>
      <c r="D249" s="8" t="s">
        <v>6970</v>
      </c>
      <c r="E249" s="8" t="s">
        <v>58</v>
      </c>
      <c r="F249" s="8" t="s">
        <v>6971</v>
      </c>
    </row>
    <row r="250" customHeight="1" spans="1:6">
      <c r="A250" s="6">
        <v>249</v>
      </c>
      <c r="B250" s="8" t="s">
        <v>6968</v>
      </c>
      <c r="C250" s="8" t="s">
        <v>6969</v>
      </c>
      <c r="D250" s="8" t="s">
        <v>6970</v>
      </c>
      <c r="E250" s="8" t="s">
        <v>58</v>
      </c>
      <c r="F250" s="8" t="s">
        <v>6971</v>
      </c>
    </row>
    <row r="251" customHeight="1" spans="1:6">
      <c r="A251" s="6">
        <v>250</v>
      </c>
      <c r="B251" s="8" t="s">
        <v>6972</v>
      </c>
      <c r="C251" s="8" t="s">
        <v>6973</v>
      </c>
      <c r="D251" s="8" t="s">
        <v>6974</v>
      </c>
      <c r="E251" s="8" t="s">
        <v>28</v>
      </c>
      <c r="F251" s="8" t="s">
        <v>6975</v>
      </c>
    </row>
    <row r="252" customHeight="1" spans="1:6">
      <c r="A252" s="6">
        <v>251</v>
      </c>
      <c r="B252" s="8" t="s">
        <v>6972</v>
      </c>
      <c r="C252" s="8" t="s">
        <v>6973</v>
      </c>
      <c r="D252" s="8" t="s">
        <v>6974</v>
      </c>
      <c r="E252" s="8" t="s">
        <v>28</v>
      </c>
      <c r="F252" s="8" t="s">
        <v>6975</v>
      </c>
    </row>
    <row r="253" customHeight="1" spans="1:6">
      <c r="A253" s="6">
        <v>252</v>
      </c>
      <c r="B253" s="8" t="s">
        <v>6972</v>
      </c>
      <c r="C253" s="8" t="s">
        <v>6973</v>
      </c>
      <c r="D253" s="8" t="s">
        <v>6974</v>
      </c>
      <c r="E253" s="8" t="s">
        <v>28</v>
      </c>
      <c r="F253" s="8" t="s">
        <v>6975</v>
      </c>
    </row>
    <row r="254" customHeight="1" spans="1:6">
      <c r="A254" s="6">
        <v>253</v>
      </c>
      <c r="B254" s="8" t="s">
        <v>6976</v>
      </c>
      <c r="C254" s="8" t="s">
        <v>6977</v>
      </c>
      <c r="D254" s="8" t="s">
        <v>6978</v>
      </c>
      <c r="E254" s="8" t="s">
        <v>283</v>
      </c>
      <c r="F254" s="8" t="s">
        <v>6979</v>
      </c>
    </row>
    <row r="255" customHeight="1" spans="1:6">
      <c r="A255" s="6">
        <v>254</v>
      </c>
      <c r="B255" s="8" t="s">
        <v>6976</v>
      </c>
      <c r="C255" s="8" t="s">
        <v>6977</v>
      </c>
      <c r="D255" s="8" t="s">
        <v>6978</v>
      </c>
      <c r="E255" s="8" t="s">
        <v>283</v>
      </c>
      <c r="F255" s="8" t="s">
        <v>6979</v>
      </c>
    </row>
    <row r="256" customHeight="1" spans="1:6">
      <c r="A256" s="6">
        <v>255</v>
      </c>
      <c r="B256" s="8" t="s">
        <v>6980</v>
      </c>
      <c r="C256" s="8" t="s">
        <v>6981</v>
      </c>
      <c r="D256" s="8" t="s">
        <v>6982</v>
      </c>
      <c r="E256" s="8" t="s">
        <v>283</v>
      </c>
      <c r="F256" s="8" t="s">
        <v>6983</v>
      </c>
    </row>
    <row r="257" customHeight="1" spans="1:6">
      <c r="A257" s="6">
        <v>256</v>
      </c>
      <c r="B257" s="8" t="s">
        <v>6980</v>
      </c>
      <c r="C257" s="8" t="s">
        <v>6981</v>
      </c>
      <c r="D257" s="8" t="s">
        <v>6982</v>
      </c>
      <c r="E257" s="8" t="s">
        <v>283</v>
      </c>
      <c r="F257" s="8" t="s">
        <v>6983</v>
      </c>
    </row>
    <row r="258" customHeight="1" spans="1:6">
      <c r="A258" s="6">
        <v>257</v>
      </c>
      <c r="B258" s="8" t="s">
        <v>6984</v>
      </c>
      <c r="C258" s="8" t="s">
        <v>6985</v>
      </c>
      <c r="D258" s="8" t="s">
        <v>6986</v>
      </c>
      <c r="E258" s="8" t="s">
        <v>23</v>
      </c>
      <c r="F258" s="8" t="s">
        <v>6987</v>
      </c>
    </row>
    <row r="259" customHeight="1" spans="1:6">
      <c r="A259" s="6">
        <v>258</v>
      </c>
      <c r="B259" s="8" t="s">
        <v>6984</v>
      </c>
      <c r="C259" s="8" t="s">
        <v>6985</v>
      </c>
      <c r="D259" s="8" t="s">
        <v>6986</v>
      </c>
      <c r="E259" s="8" t="s">
        <v>23</v>
      </c>
      <c r="F259" s="8" t="s">
        <v>6987</v>
      </c>
    </row>
    <row r="260" customHeight="1" spans="1:6">
      <c r="A260" s="6">
        <v>259</v>
      </c>
      <c r="B260" s="8" t="s">
        <v>6988</v>
      </c>
      <c r="C260" s="8" t="s">
        <v>6989</v>
      </c>
      <c r="D260" s="8" t="s">
        <v>6986</v>
      </c>
      <c r="E260" s="8" t="s">
        <v>23</v>
      </c>
      <c r="F260" s="8" t="s">
        <v>6990</v>
      </c>
    </row>
    <row r="261" customHeight="1" spans="1:6">
      <c r="A261" s="6">
        <v>260</v>
      </c>
      <c r="B261" s="8" t="s">
        <v>6988</v>
      </c>
      <c r="C261" s="8" t="s">
        <v>6989</v>
      </c>
      <c r="D261" s="8" t="s">
        <v>6986</v>
      </c>
      <c r="E261" s="8" t="s">
        <v>23</v>
      </c>
      <c r="F261" s="8" t="s">
        <v>6990</v>
      </c>
    </row>
    <row r="262" customHeight="1" spans="1:6">
      <c r="A262" s="6">
        <v>261</v>
      </c>
      <c r="B262" s="8" t="s">
        <v>6991</v>
      </c>
      <c r="C262" s="8" t="s">
        <v>6992</v>
      </c>
      <c r="D262" s="8" t="s">
        <v>6993</v>
      </c>
      <c r="E262" s="8" t="s">
        <v>288</v>
      </c>
      <c r="F262" s="8" t="s">
        <v>6994</v>
      </c>
    </row>
    <row r="263" customHeight="1" spans="1:6">
      <c r="A263" s="6">
        <v>262</v>
      </c>
      <c r="B263" s="8" t="s">
        <v>6991</v>
      </c>
      <c r="C263" s="8" t="s">
        <v>6992</v>
      </c>
      <c r="D263" s="8" t="s">
        <v>6993</v>
      </c>
      <c r="E263" s="8" t="s">
        <v>288</v>
      </c>
      <c r="F263" s="8" t="s">
        <v>6994</v>
      </c>
    </row>
    <row r="264" customHeight="1" spans="1:6">
      <c r="A264" s="6">
        <v>263</v>
      </c>
      <c r="B264" s="8" t="s">
        <v>6995</v>
      </c>
      <c r="C264" s="8" t="s">
        <v>6996</v>
      </c>
      <c r="D264" s="8" t="s">
        <v>6997</v>
      </c>
      <c r="E264" s="8" t="s">
        <v>43</v>
      </c>
      <c r="F264" s="8" t="s">
        <v>6998</v>
      </c>
    </row>
    <row r="265" customHeight="1" spans="1:6">
      <c r="A265" s="6">
        <v>264</v>
      </c>
      <c r="B265" s="8" t="s">
        <v>6995</v>
      </c>
      <c r="C265" s="8" t="s">
        <v>6996</v>
      </c>
      <c r="D265" s="8" t="s">
        <v>6997</v>
      </c>
      <c r="E265" s="8" t="s">
        <v>43</v>
      </c>
      <c r="F265" s="8" t="s">
        <v>6998</v>
      </c>
    </row>
    <row r="266" customHeight="1" spans="1:6">
      <c r="A266" s="6">
        <v>265</v>
      </c>
      <c r="B266" s="8" t="s">
        <v>6999</v>
      </c>
      <c r="C266" s="8" t="s">
        <v>7000</v>
      </c>
      <c r="D266" s="8" t="s">
        <v>7001</v>
      </c>
      <c r="E266" s="8" t="s">
        <v>1189</v>
      </c>
      <c r="F266" s="8" t="s">
        <v>7002</v>
      </c>
    </row>
    <row r="267" customHeight="1" spans="1:6">
      <c r="A267" s="6">
        <v>266</v>
      </c>
      <c r="B267" s="8" t="s">
        <v>6999</v>
      </c>
      <c r="C267" s="8" t="s">
        <v>7000</v>
      </c>
      <c r="D267" s="8" t="s">
        <v>7001</v>
      </c>
      <c r="E267" s="8" t="s">
        <v>1189</v>
      </c>
      <c r="F267" s="8" t="s">
        <v>7002</v>
      </c>
    </row>
    <row r="268" customHeight="1" spans="1:6">
      <c r="A268" s="6">
        <v>267</v>
      </c>
      <c r="B268" s="8" t="s">
        <v>6999</v>
      </c>
      <c r="C268" s="8" t="s">
        <v>7000</v>
      </c>
      <c r="D268" s="8" t="s">
        <v>7001</v>
      </c>
      <c r="E268" s="8" t="s">
        <v>1189</v>
      </c>
      <c r="F268" s="8" t="s">
        <v>7002</v>
      </c>
    </row>
    <row r="269" customHeight="1" spans="1:6">
      <c r="A269" s="6">
        <v>268</v>
      </c>
      <c r="B269" s="8" t="s">
        <v>7003</v>
      </c>
      <c r="C269" s="8" t="s">
        <v>7004</v>
      </c>
      <c r="D269" s="8" t="s">
        <v>7005</v>
      </c>
      <c r="E269" s="8" t="s">
        <v>1189</v>
      </c>
      <c r="F269" s="8" t="s">
        <v>7006</v>
      </c>
    </row>
    <row r="270" customHeight="1" spans="1:6">
      <c r="A270" s="6">
        <v>269</v>
      </c>
      <c r="B270" s="8" t="s">
        <v>7003</v>
      </c>
      <c r="C270" s="8" t="s">
        <v>7004</v>
      </c>
      <c r="D270" s="8" t="s">
        <v>7005</v>
      </c>
      <c r="E270" s="8" t="s">
        <v>1189</v>
      </c>
      <c r="F270" s="8" t="s">
        <v>7006</v>
      </c>
    </row>
    <row r="271" customHeight="1" spans="1:6">
      <c r="A271" s="6">
        <v>270</v>
      </c>
      <c r="B271" s="8" t="s">
        <v>7003</v>
      </c>
      <c r="C271" s="8" t="s">
        <v>7004</v>
      </c>
      <c r="D271" s="8" t="s">
        <v>7005</v>
      </c>
      <c r="E271" s="8" t="s">
        <v>1189</v>
      </c>
      <c r="F271" s="8" t="s">
        <v>7006</v>
      </c>
    </row>
    <row r="272" customHeight="1" spans="1:6">
      <c r="A272" s="6">
        <v>271</v>
      </c>
      <c r="B272" s="8" t="s">
        <v>7007</v>
      </c>
      <c r="C272" s="8" t="s">
        <v>7008</v>
      </c>
      <c r="D272" s="8" t="s">
        <v>7009</v>
      </c>
      <c r="E272" s="8" t="s">
        <v>1189</v>
      </c>
      <c r="F272" s="8" t="s">
        <v>7010</v>
      </c>
    </row>
    <row r="273" customHeight="1" spans="1:6">
      <c r="A273" s="6">
        <v>272</v>
      </c>
      <c r="B273" s="8" t="s">
        <v>7007</v>
      </c>
      <c r="C273" s="8" t="s">
        <v>7008</v>
      </c>
      <c r="D273" s="8" t="s">
        <v>7009</v>
      </c>
      <c r="E273" s="8" t="s">
        <v>1189</v>
      </c>
      <c r="F273" s="8" t="s">
        <v>7010</v>
      </c>
    </row>
    <row r="274" customHeight="1" spans="1:6">
      <c r="A274" s="6">
        <v>273</v>
      </c>
      <c r="B274" s="8" t="s">
        <v>7007</v>
      </c>
      <c r="C274" s="8" t="s">
        <v>7008</v>
      </c>
      <c r="D274" s="8" t="s">
        <v>7009</v>
      </c>
      <c r="E274" s="8" t="s">
        <v>1189</v>
      </c>
      <c r="F274" s="8" t="s">
        <v>7010</v>
      </c>
    </row>
    <row r="275" customHeight="1" spans="1:6">
      <c r="A275" s="6">
        <v>274</v>
      </c>
      <c r="B275" s="8" t="s">
        <v>7011</v>
      </c>
      <c r="C275" s="8" t="s">
        <v>7012</v>
      </c>
      <c r="D275" s="8" t="s">
        <v>7013</v>
      </c>
      <c r="E275" s="8" t="s">
        <v>701</v>
      </c>
      <c r="F275" s="8" t="s">
        <v>7014</v>
      </c>
    </row>
    <row r="276" customHeight="1" spans="1:6">
      <c r="A276" s="6">
        <v>275</v>
      </c>
      <c r="B276" s="8" t="s">
        <v>7011</v>
      </c>
      <c r="C276" s="8" t="s">
        <v>7012</v>
      </c>
      <c r="D276" s="8" t="s">
        <v>7013</v>
      </c>
      <c r="E276" s="8" t="s">
        <v>701</v>
      </c>
      <c r="F276" s="8" t="s">
        <v>7014</v>
      </c>
    </row>
    <row r="277" customHeight="1" spans="1:6">
      <c r="A277" s="6">
        <v>276</v>
      </c>
      <c r="B277" s="8" t="s">
        <v>7011</v>
      </c>
      <c r="C277" s="8" t="s">
        <v>7012</v>
      </c>
      <c r="D277" s="8" t="s">
        <v>7013</v>
      </c>
      <c r="E277" s="8" t="s">
        <v>701</v>
      </c>
      <c r="F277" s="8" t="s">
        <v>7014</v>
      </c>
    </row>
    <row r="278" customHeight="1" spans="1:6">
      <c r="A278" s="6">
        <v>277</v>
      </c>
      <c r="B278" s="8" t="s">
        <v>7015</v>
      </c>
      <c r="C278" s="8" t="s">
        <v>7016</v>
      </c>
      <c r="D278" s="8" t="s">
        <v>5938</v>
      </c>
      <c r="E278" s="8" t="s">
        <v>1189</v>
      </c>
      <c r="F278" s="8" t="s">
        <v>7017</v>
      </c>
    </row>
    <row r="279" customHeight="1" spans="1:6">
      <c r="A279" s="6">
        <v>278</v>
      </c>
      <c r="B279" s="8" t="s">
        <v>7015</v>
      </c>
      <c r="C279" s="8" t="s">
        <v>7016</v>
      </c>
      <c r="D279" s="8" t="s">
        <v>5938</v>
      </c>
      <c r="E279" s="8" t="s">
        <v>1189</v>
      </c>
      <c r="F279" s="8" t="s">
        <v>7017</v>
      </c>
    </row>
    <row r="280" customHeight="1" spans="1:6">
      <c r="A280" s="6">
        <v>279</v>
      </c>
      <c r="B280" s="8" t="s">
        <v>7015</v>
      </c>
      <c r="C280" s="8" t="s">
        <v>7016</v>
      </c>
      <c r="D280" s="8" t="s">
        <v>5938</v>
      </c>
      <c r="E280" s="8" t="s">
        <v>1189</v>
      </c>
      <c r="F280" s="8" t="s">
        <v>7017</v>
      </c>
    </row>
    <row r="281" customHeight="1" spans="1:6">
      <c r="A281" s="6">
        <v>280</v>
      </c>
      <c r="B281" s="8" t="s">
        <v>7018</v>
      </c>
      <c r="C281" s="8" t="s">
        <v>7019</v>
      </c>
      <c r="D281" s="8" t="s">
        <v>7020</v>
      </c>
      <c r="E281" s="8" t="s">
        <v>3098</v>
      </c>
      <c r="F281" s="8" t="s">
        <v>7021</v>
      </c>
    </row>
    <row r="282" customHeight="1" spans="1:6">
      <c r="A282" s="6">
        <v>281</v>
      </c>
      <c r="B282" s="8" t="s">
        <v>7018</v>
      </c>
      <c r="C282" s="8" t="s">
        <v>7019</v>
      </c>
      <c r="D282" s="8" t="s">
        <v>7020</v>
      </c>
      <c r="E282" s="8" t="s">
        <v>3098</v>
      </c>
      <c r="F282" s="8" t="s">
        <v>7021</v>
      </c>
    </row>
    <row r="283" customHeight="1" spans="1:6">
      <c r="A283" s="6">
        <v>282</v>
      </c>
      <c r="B283" s="8" t="s">
        <v>7022</v>
      </c>
      <c r="C283" s="8" t="s">
        <v>7023</v>
      </c>
      <c r="D283" s="8" t="s">
        <v>7024</v>
      </c>
      <c r="E283" s="8" t="s">
        <v>58</v>
      </c>
      <c r="F283" s="8" t="s">
        <v>7025</v>
      </c>
    </row>
    <row r="284" customHeight="1" spans="1:6">
      <c r="A284" s="6">
        <v>283</v>
      </c>
      <c r="B284" s="8" t="s">
        <v>7022</v>
      </c>
      <c r="C284" s="8" t="s">
        <v>7023</v>
      </c>
      <c r="D284" s="8" t="s">
        <v>7024</v>
      </c>
      <c r="E284" s="8" t="s">
        <v>58</v>
      </c>
      <c r="F284" s="8" t="s">
        <v>7025</v>
      </c>
    </row>
    <row r="285" customHeight="1" spans="1:6">
      <c r="A285" s="6">
        <v>284</v>
      </c>
      <c r="B285" s="8" t="s">
        <v>7026</v>
      </c>
      <c r="C285" s="8" t="s">
        <v>7027</v>
      </c>
      <c r="D285" s="8" t="s">
        <v>7028</v>
      </c>
      <c r="E285" s="8" t="s">
        <v>23</v>
      </c>
      <c r="F285" s="8" t="s">
        <v>7029</v>
      </c>
    </row>
    <row r="286" customHeight="1" spans="1:6">
      <c r="A286" s="6">
        <v>285</v>
      </c>
      <c r="B286" s="8" t="s">
        <v>7026</v>
      </c>
      <c r="C286" s="8" t="s">
        <v>7027</v>
      </c>
      <c r="D286" s="8" t="s">
        <v>7028</v>
      </c>
      <c r="E286" s="8" t="s">
        <v>23</v>
      </c>
      <c r="F286" s="8" t="s">
        <v>7029</v>
      </c>
    </row>
    <row r="287" customHeight="1" spans="1:6">
      <c r="A287" s="6">
        <v>286</v>
      </c>
      <c r="B287" s="8" t="s">
        <v>7030</v>
      </c>
      <c r="C287" s="8" t="s">
        <v>7031</v>
      </c>
      <c r="D287" s="8" t="s">
        <v>7032</v>
      </c>
      <c r="E287" s="8" t="s">
        <v>28</v>
      </c>
      <c r="F287" s="8" t="s">
        <v>7033</v>
      </c>
    </row>
    <row r="288" customHeight="1" spans="1:6">
      <c r="A288" s="6">
        <v>287</v>
      </c>
      <c r="B288" s="8" t="s">
        <v>7030</v>
      </c>
      <c r="C288" s="8" t="s">
        <v>7031</v>
      </c>
      <c r="D288" s="8" t="s">
        <v>7032</v>
      </c>
      <c r="E288" s="8" t="s">
        <v>28</v>
      </c>
      <c r="F288" s="8" t="s">
        <v>7033</v>
      </c>
    </row>
    <row r="289" customHeight="1" spans="1:6">
      <c r="A289" s="6">
        <v>288</v>
      </c>
      <c r="B289" s="8" t="s">
        <v>7030</v>
      </c>
      <c r="C289" s="8" t="s">
        <v>7031</v>
      </c>
      <c r="D289" s="8" t="s">
        <v>7032</v>
      </c>
      <c r="E289" s="8" t="s">
        <v>28</v>
      </c>
      <c r="F289" s="8" t="s">
        <v>7033</v>
      </c>
    </row>
    <row r="290" customHeight="1" spans="1:6">
      <c r="A290" s="6">
        <v>289</v>
      </c>
      <c r="B290" s="8" t="s">
        <v>7034</v>
      </c>
      <c r="C290" s="8" t="s">
        <v>7035</v>
      </c>
      <c r="D290" s="8" t="s">
        <v>7036</v>
      </c>
      <c r="E290" s="8" t="s">
        <v>2068</v>
      </c>
      <c r="F290" s="8" t="s">
        <v>7037</v>
      </c>
    </row>
    <row r="291" customHeight="1" spans="1:6">
      <c r="A291" s="6">
        <v>290</v>
      </c>
      <c r="B291" s="8" t="s">
        <v>7034</v>
      </c>
      <c r="C291" s="8" t="s">
        <v>7035</v>
      </c>
      <c r="D291" s="8" t="s">
        <v>7036</v>
      </c>
      <c r="E291" s="8" t="s">
        <v>2068</v>
      </c>
      <c r="F291" s="8" t="s">
        <v>7037</v>
      </c>
    </row>
    <row r="292" customHeight="1" spans="1:6">
      <c r="A292" s="6">
        <v>291</v>
      </c>
      <c r="B292" s="8" t="s">
        <v>7034</v>
      </c>
      <c r="C292" s="8" t="s">
        <v>7035</v>
      </c>
      <c r="D292" s="8" t="s">
        <v>7036</v>
      </c>
      <c r="E292" s="8" t="s">
        <v>2068</v>
      </c>
      <c r="F292" s="8" t="s">
        <v>7037</v>
      </c>
    </row>
    <row r="293" customHeight="1" spans="1:6">
      <c r="A293" s="6">
        <v>292</v>
      </c>
      <c r="B293" s="8" t="s">
        <v>7038</v>
      </c>
      <c r="C293" s="8" t="s">
        <v>7039</v>
      </c>
      <c r="D293" s="8" t="s">
        <v>7040</v>
      </c>
      <c r="E293" s="8" t="s">
        <v>5806</v>
      </c>
      <c r="F293" s="8" t="s">
        <v>7041</v>
      </c>
    </row>
    <row r="294" customHeight="1" spans="1:6">
      <c r="A294" s="6">
        <v>293</v>
      </c>
      <c r="B294" s="8" t="s">
        <v>7038</v>
      </c>
      <c r="C294" s="8" t="s">
        <v>7039</v>
      </c>
      <c r="D294" s="8" t="s">
        <v>7040</v>
      </c>
      <c r="E294" s="8" t="s">
        <v>5806</v>
      </c>
      <c r="F294" s="8" t="s">
        <v>7041</v>
      </c>
    </row>
    <row r="295" customHeight="1" spans="1:6">
      <c r="A295" s="6">
        <v>294</v>
      </c>
      <c r="B295" s="8" t="s">
        <v>7042</v>
      </c>
      <c r="C295" s="8" t="s">
        <v>7043</v>
      </c>
      <c r="D295" s="8" t="s">
        <v>7044</v>
      </c>
      <c r="E295" s="8" t="s">
        <v>288</v>
      </c>
      <c r="F295" s="8" t="s">
        <v>7045</v>
      </c>
    </row>
    <row r="296" customHeight="1" spans="1:6">
      <c r="A296" s="6">
        <v>295</v>
      </c>
      <c r="B296" s="8" t="s">
        <v>7046</v>
      </c>
      <c r="C296" s="8" t="s">
        <v>7047</v>
      </c>
      <c r="D296" s="8" t="s">
        <v>7048</v>
      </c>
      <c r="E296" s="8" t="s">
        <v>283</v>
      </c>
      <c r="F296" s="8" t="s">
        <v>7049</v>
      </c>
    </row>
    <row r="297" customHeight="1" spans="1:6">
      <c r="A297" s="6">
        <v>296</v>
      </c>
      <c r="B297" s="8" t="s">
        <v>7046</v>
      </c>
      <c r="C297" s="8" t="s">
        <v>7047</v>
      </c>
      <c r="D297" s="8" t="s">
        <v>7048</v>
      </c>
      <c r="E297" s="8" t="s">
        <v>283</v>
      </c>
      <c r="F297" s="8" t="s">
        <v>7049</v>
      </c>
    </row>
    <row r="298" customHeight="1" spans="1:6">
      <c r="A298" s="6">
        <v>297</v>
      </c>
      <c r="B298" s="8" t="s">
        <v>7050</v>
      </c>
      <c r="C298" s="8" t="s">
        <v>7051</v>
      </c>
      <c r="D298" s="8" t="s">
        <v>7052</v>
      </c>
      <c r="E298" s="8" t="s">
        <v>5998</v>
      </c>
      <c r="F298" s="8" t="s">
        <v>7053</v>
      </c>
    </row>
    <row r="299" customHeight="1" spans="1:6">
      <c r="A299" s="6">
        <v>298</v>
      </c>
      <c r="B299" s="8" t="s">
        <v>7050</v>
      </c>
      <c r="C299" s="8" t="s">
        <v>7051</v>
      </c>
      <c r="D299" s="8" t="s">
        <v>7052</v>
      </c>
      <c r="E299" s="8" t="s">
        <v>5998</v>
      </c>
      <c r="F299" s="8" t="s">
        <v>7053</v>
      </c>
    </row>
    <row r="300" customHeight="1" spans="1:6">
      <c r="A300" s="6">
        <v>299</v>
      </c>
      <c r="B300" s="8" t="s">
        <v>7050</v>
      </c>
      <c r="C300" s="8" t="s">
        <v>7051</v>
      </c>
      <c r="D300" s="8" t="s">
        <v>7052</v>
      </c>
      <c r="E300" s="8" t="s">
        <v>5998</v>
      </c>
      <c r="F300" s="8" t="s">
        <v>7053</v>
      </c>
    </row>
    <row r="301" customHeight="1" spans="1:6">
      <c r="A301" s="6">
        <v>300</v>
      </c>
      <c r="B301" s="8" t="s">
        <v>7054</v>
      </c>
      <c r="C301" s="8" t="s">
        <v>7055</v>
      </c>
      <c r="D301" s="8" t="s">
        <v>7056</v>
      </c>
      <c r="E301" s="8" t="s">
        <v>7057</v>
      </c>
      <c r="F301" s="8" t="s">
        <v>7058</v>
      </c>
    </row>
    <row r="302" customHeight="1" spans="1:6">
      <c r="A302" s="6">
        <v>301</v>
      </c>
      <c r="B302" s="8" t="s">
        <v>7054</v>
      </c>
      <c r="C302" s="8" t="s">
        <v>7055</v>
      </c>
      <c r="D302" s="8" t="s">
        <v>7056</v>
      </c>
      <c r="E302" s="8" t="s">
        <v>7057</v>
      </c>
      <c r="F302" s="8" t="s">
        <v>7058</v>
      </c>
    </row>
    <row r="303" customHeight="1" spans="1:6">
      <c r="A303" s="6">
        <v>302</v>
      </c>
      <c r="B303" s="7" t="str">
        <f t="shared" ref="B303:B305" si="6">"978-7-5671-4249-7"</f>
        <v>978-7-5671-4249-7</v>
      </c>
      <c r="C303" s="7" t="str">
        <f t="shared" ref="C303:C305" si="7">"翻页：书的演变：the evolution of the book"</f>
        <v>翻页：书的演变：the evolution of the book</v>
      </c>
      <c r="D303" s="7" t="str">
        <f t="shared" ref="D303:D305" si="8">"(英) 安格斯·菲利普斯著Angus Phillips；上海出版传媒研究院编译"</f>
        <v>(英) 安格斯·菲利普斯著Angus Phillips；上海出版传媒研究院编译</v>
      </c>
      <c r="E303" s="7" t="str">
        <f t="shared" ref="E303:E305" si="9">"上海大学出版社"</f>
        <v>上海大学出版社</v>
      </c>
      <c r="F303" s="7" t="str">
        <f t="shared" ref="F303:F305" si="10">"G23/19"</f>
        <v>G23/19</v>
      </c>
    </row>
    <row r="304" customHeight="1" spans="1:6">
      <c r="A304" s="6">
        <v>303</v>
      </c>
      <c r="B304" s="7" t="str">
        <f t="shared" si="6"/>
        <v>978-7-5671-4249-7</v>
      </c>
      <c r="C304" s="7" t="str">
        <f t="shared" si="7"/>
        <v>翻页：书的演变：the evolution of the book</v>
      </c>
      <c r="D304" s="7" t="str">
        <f t="shared" si="8"/>
        <v>(英) 安格斯·菲利普斯著Angus Phillips；上海出版传媒研究院编译</v>
      </c>
      <c r="E304" s="7" t="str">
        <f t="shared" si="9"/>
        <v>上海大学出版社</v>
      </c>
      <c r="F304" s="7" t="str">
        <f t="shared" si="10"/>
        <v>G23/19</v>
      </c>
    </row>
    <row r="305" customHeight="1" spans="1:6">
      <c r="A305" s="6">
        <v>304</v>
      </c>
      <c r="B305" s="7" t="str">
        <f t="shared" si="6"/>
        <v>978-7-5671-4249-7</v>
      </c>
      <c r="C305" s="7" t="str">
        <f t="shared" si="7"/>
        <v>翻页：书的演变：the evolution of the book</v>
      </c>
      <c r="D305" s="7" t="str">
        <f t="shared" si="8"/>
        <v>(英) 安格斯·菲利普斯著Angus Phillips；上海出版传媒研究院编译</v>
      </c>
      <c r="E305" s="7" t="str">
        <f t="shared" si="9"/>
        <v>上海大学出版社</v>
      </c>
      <c r="F305" s="7" t="str">
        <f t="shared" si="10"/>
        <v>G23/19</v>
      </c>
    </row>
    <row r="306" customHeight="1" spans="1:6">
      <c r="A306" s="6">
        <v>305</v>
      </c>
      <c r="B306" s="8" t="s">
        <v>7059</v>
      </c>
      <c r="C306" s="8" t="s">
        <v>7060</v>
      </c>
      <c r="D306" s="8" t="s">
        <v>7061</v>
      </c>
      <c r="E306" s="8" t="s">
        <v>261</v>
      </c>
      <c r="F306" s="8" t="s">
        <v>7062</v>
      </c>
    </row>
    <row r="307" customHeight="1" spans="1:6">
      <c r="A307" s="6">
        <v>306</v>
      </c>
      <c r="B307" s="8" t="s">
        <v>7059</v>
      </c>
      <c r="C307" s="8" t="s">
        <v>7060</v>
      </c>
      <c r="D307" s="8" t="s">
        <v>7061</v>
      </c>
      <c r="E307" s="8" t="s">
        <v>261</v>
      </c>
      <c r="F307" s="8" t="s">
        <v>7062</v>
      </c>
    </row>
    <row r="308" customHeight="1" spans="1:6">
      <c r="A308" s="6">
        <v>307</v>
      </c>
      <c r="B308" s="8" t="s">
        <v>7059</v>
      </c>
      <c r="C308" s="8" t="s">
        <v>7060</v>
      </c>
      <c r="D308" s="8" t="s">
        <v>7061</v>
      </c>
      <c r="E308" s="8" t="s">
        <v>261</v>
      </c>
      <c r="F308" s="8" t="s">
        <v>7062</v>
      </c>
    </row>
    <row r="309" customHeight="1" spans="1:6">
      <c r="A309" s="6">
        <v>308</v>
      </c>
      <c r="B309" s="8" t="s">
        <v>7063</v>
      </c>
      <c r="C309" s="8" t="s">
        <v>7064</v>
      </c>
      <c r="D309" s="8" t="s">
        <v>7065</v>
      </c>
      <c r="E309" s="8" t="s">
        <v>1164</v>
      </c>
      <c r="F309" s="8" t="s">
        <v>7066</v>
      </c>
    </row>
    <row r="310" customHeight="1" spans="1:6">
      <c r="A310" s="6">
        <v>309</v>
      </c>
      <c r="B310" s="8" t="s">
        <v>7063</v>
      </c>
      <c r="C310" s="8" t="s">
        <v>7064</v>
      </c>
      <c r="D310" s="8" t="s">
        <v>7065</v>
      </c>
      <c r="E310" s="8" t="s">
        <v>1164</v>
      </c>
      <c r="F310" s="8" t="s">
        <v>7066</v>
      </c>
    </row>
    <row r="311" customHeight="1" spans="1:6">
      <c r="A311" s="6">
        <v>310</v>
      </c>
      <c r="B311" s="8" t="s">
        <v>7067</v>
      </c>
      <c r="C311" s="8" t="s">
        <v>7068</v>
      </c>
      <c r="D311" s="8" t="s">
        <v>7069</v>
      </c>
      <c r="E311" s="8" t="s">
        <v>571</v>
      </c>
      <c r="F311" s="8" t="s">
        <v>7070</v>
      </c>
    </row>
    <row r="312" customHeight="1" spans="1:6">
      <c r="A312" s="6">
        <v>311</v>
      </c>
      <c r="B312" s="8" t="s">
        <v>7067</v>
      </c>
      <c r="C312" s="8" t="s">
        <v>7068</v>
      </c>
      <c r="D312" s="8" t="s">
        <v>7069</v>
      </c>
      <c r="E312" s="8" t="s">
        <v>571</v>
      </c>
      <c r="F312" s="8" t="s">
        <v>7070</v>
      </c>
    </row>
    <row r="313" customHeight="1" spans="1:6">
      <c r="A313" s="6">
        <v>312</v>
      </c>
      <c r="B313" s="7" t="str">
        <f>"978-7-03-068888-0"</f>
        <v>978-7-03-068888-0</v>
      </c>
      <c r="C313" s="7" t="str">
        <f>"数字图书馆多粒度集成知识服务理论与实现"</f>
        <v>数字图书馆多粒度集成知识服务理论与实现</v>
      </c>
      <c r="D313" s="7" t="str">
        <f>"王忠义著"</f>
        <v>王忠义著</v>
      </c>
      <c r="E313" s="7" t="str">
        <f>"科学出版社"</f>
        <v>科学出版社</v>
      </c>
      <c r="F313" s="7" t="str">
        <f>"G250.76/32"</f>
        <v>G250.76/32</v>
      </c>
    </row>
    <row r="314" customHeight="1" spans="1:6">
      <c r="A314" s="6">
        <v>313</v>
      </c>
      <c r="B314" s="7" t="str">
        <f>"978-7-03-068888-0"</f>
        <v>978-7-03-068888-0</v>
      </c>
      <c r="C314" s="7" t="str">
        <f>"数字图书馆多粒度集成知识服务理论与实现"</f>
        <v>数字图书馆多粒度集成知识服务理论与实现</v>
      </c>
      <c r="D314" s="7" t="str">
        <f>"王忠义著"</f>
        <v>王忠义著</v>
      </c>
      <c r="E314" s="7" t="str">
        <f>"科学出版社"</f>
        <v>科学出版社</v>
      </c>
      <c r="F314" s="7" t="str">
        <f>"G250.76/32"</f>
        <v>G250.76/32</v>
      </c>
    </row>
    <row r="315" customHeight="1" spans="1:6">
      <c r="A315" s="6">
        <v>314</v>
      </c>
      <c r="B315" s="7" t="str">
        <f>"978-7-5117-3790-8"</f>
        <v>978-7-5117-3790-8</v>
      </c>
      <c r="C315" s="7" t="str">
        <f>"移动图书馆的用户体验模型与服务质量提升研究"</f>
        <v>移动图书馆的用户体验模型与服务质量提升研究</v>
      </c>
      <c r="D315" s="7" t="str">
        <f>"魏群义， 许天才著"</f>
        <v>魏群义， 许天才著</v>
      </c>
      <c r="E315" s="7" t="str">
        <f>"中央编译出版社"</f>
        <v>中央编译出版社</v>
      </c>
      <c r="F315" s="7" t="str">
        <f>"G250.76/33"</f>
        <v>G250.76/33</v>
      </c>
    </row>
    <row r="316" customHeight="1" spans="1:6">
      <c r="A316" s="6">
        <v>315</v>
      </c>
      <c r="B316" s="7" t="str">
        <f>"978-7-5117-3790-8"</f>
        <v>978-7-5117-3790-8</v>
      </c>
      <c r="C316" s="7" t="str">
        <f>"移动图书馆的用户体验模型与服务质量提升研究"</f>
        <v>移动图书馆的用户体验模型与服务质量提升研究</v>
      </c>
      <c r="D316" s="7" t="str">
        <f>"魏群义， 许天才著"</f>
        <v>魏群义， 许天才著</v>
      </c>
      <c r="E316" s="7" t="str">
        <f>"中央编译出版社"</f>
        <v>中央编译出版社</v>
      </c>
      <c r="F316" s="7" t="str">
        <f>"G250.76/33"</f>
        <v>G250.76/33</v>
      </c>
    </row>
    <row r="317" customHeight="1" spans="1:6">
      <c r="A317" s="6">
        <v>316</v>
      </c>
      <c r="B317" s="8" t="s">
        <v>7071</v>
      </c>
      <c r="C317" s="8" t="s">
        <v>7072</v>
      </c>
      <c r="D317" s="8" t="s">
        <v>7073</v>
      </c>
      <c r="E317" s="8" t="s">
        <v>189</v>
      </c>
      <c r="F317" s="8" t="s">
        <v>7074</v>
      </c>
    </row>
    <row r="318" customHeight="1" spans="1:6">
      <c r="A318" s="6">
        <v>317</v>
      </c>
      <c r="B318" s="8" t="s">
        <v>7071</v>
      </c>
      <c r="C318" s="8" t="s">
        <v>7072</v>
      </c>
      <c r="D318" s="8" t="s">
        <v>7073</v>
      </c>
      <c r="E318" s="8" t="s">
        <v>189</v>
      </c>
      <c r="F318" s="8" t="s">
        <v>7074</v>
      </c>
    </row>
    <row r="319" customHeight="1" spans="1:6">
      <c r="A319" s="6">
        <v>318</v>
      </c>
      <c r="B319" s="7" t="str">
        <f t="shared" ref="B319:B321" si="11">"978-7-5165-2709-2"</f>
        <v>978-7-5165-2709-2</v>
      </c>
      <c r="C319" s="7" t="str">
        <f t="shared" ref="C319:C321" si="12">"信息检索与利用"</f>
        <v>信息检索与利用</v>
      </c>
      <c r="D319" s="7" t="str">
        <f t="shared" ref="D319:D321" si="13">"主编郑光勇"</f>
        <v>主编郑光勇</v>
      </c>
      <c r="E319" s="7" t="str">
        <f t="shared" ref="E319:E321" si="14">"航空工业出版社"</f>
        <v>航空工业出版社</v>
      </c>
      <c r="F319" s="7" t="str">
        <f t="shared" ref="F319:F321" si="15">"G254.9/19=2D"</f>
        <v>G254.9/19=2D</v>
      </c>
    </row>
    <row r="320" customHeight="1" spans="1:6">
      <c r="A320" s="6">
        <v>319</v>
      </c>
      <c r="B320" s="7" t="str">
        <f t="shared" si="11"/>
        <v>978-7-5165-2709-2</v>
      </c>
      <c r="C320" s="7" t="str">
        <f t="shared" si="12"/>
        <v>信息检索与利用</v>
      </c>
      <c r="D320" s="7" t="str">
        <f t="shared" si="13"/>
        <v>主编郑光勇</v>
      </c>
      <c r="E320" s="7" t="str">
        <f t="shared" si="14"/>
        <v>航空工业出版社</v>
      </c>
      <c r="F320" s="7" t="str">
        <f t="shared" si="15"/>
        <v>G254.9/19=2D</v>
      </c>
    </row>
    <row r="321" customHeight="1" spans="1:6">
      <c r="A321" s="6">
        <v>320</v>
      </c>
      <c r="B321" s="7" t="str">
        <f t="shared" si="11"/>
        <v>978-7-5165-2709-2</v>
      </c>
      <c r="C321" s="7" t="str">
        <f t="shared" si="12"/>
        <v>信息检索与利用</v>
      </c>
      <c r="D321" s="7" t="str">
        <f t="shared" si="13"/>
        <v>主编郑光勇</v>
      </c>
      <c r="E321" s="7" t="str">
        <f t="shared" si="14"/>
        <v>航空工业出版社</v>
      </c>
      <c r="F321" s="7" t="str">
        <f t="shared" si="15"/>
        <v>G254.9/19=2D</v>
      </c>
    </row>
    <row r="322" customHeight="1" spans="1:6">
      <c r="A322" s="6">
        <v>321</v>
      </c>
      <c r="B322" s="7" t="str">
        <f>"978-7-5635-6342-5"</f>
        <v>978-7-5635-6342-5</v>
      </c>
      <c r="C322" s="7" t="str">
        <f>"相约图书馆"</f>
        <v>相约图书馆</v>
      </c>
      <c r="D322" s="7" t="str">
        <f>"主编刘宗歧"</f>
        <v>主编刘宗歧</v>
      </c>
      <c r="E322" s="7" t="str">
        <f>"北京邮电大学出版社"</f>
        <v>北京邮电大学出版社</v>
      </c>
      <c r="F322" s="7" t="str">
        <f>"G254.97/45"</f>
        <v>G254.97/45</v>
      </c>
    </row>
    <row r="323" customHeight="1" spans="1:6">
      <c r="A323" s="6">
        <v>322</v>
      </c>
      <c r="B323" s="7" t="str">
        <f>"978-7-5635-6342-5"</f>
        <v>978-7-5635-6342-5</v>
      </c>
      <c r="C323" s="7" t="str">
        <f>"相约图书馆"</f>
        <v>相约图书馆</v>
      </c>
      <c r="D323" s="7" t="str">
        <f>"主编刘宗歧"</f>
        <v>主编刘宗歧</v>
      </c>
      <c r="E323" s="7" t="str">
        <f>"北京邮电大学出版社"</f>
        <v>北京邮电大学出版社</v>
      </c>
      <c r="F323" s="7" t="str">
        <f>"G254.97/45"</f>
        <v>G254.97/45</v>
      </c>
    </row>
    <row r="324" customHeight="1" spans="1:6">
      <c r="A324" s="6">
        <v>323</v>
      </c>
      <c r="B324" s="7" t="str">
        <f>"978-7-121-41464-0"</f>
        <v>978-7-121-41464-0</v>
      </c>
      <c r="C324" s="7" t="str">
        <f>"信息素养与信息资源检索"</f>
        <v>信息素养与信息资源检索</v>
      </c>
      <c r="D324" s="7" t="str">
        <f>"王清晨 ... [等] 编著"</f>
        <v>王清晨 ... [等] 编著</v>
      </c>
      <c r="E324" s="7" t="str">
        <f>"电子工业出版社"</f>
        <v>电子工业出版社</v>
      </c>
      <c r="F324" s="7" t="str">
        <f>"G254.97/46"</f>
        <v>G254.97/46</v>
      </c>
    </row>
    <row r="325" customHeight="1" spans="1:6">
      <c r="A325" s="6">
        <v>324</v>
      </c>
      <c r="B325" s="7" t="str">
        <f>"978-7-121-41464-0"</f>
        <v>978-7-121-41464-0</v>
      </c>
      <c r="C325" s="7" t="str">
        <f>"信息素养与信息资源检索"</f>
        <v>信息素养与信息资源检索</v>
      </c>
      <c r="D325" s="7" t="str">
        <f>"王清晨 ... [等] 编著"</f>
        <v>王清晨 ... [等] 编著</v>
      </c>
      <c r="E325" s="7" t="str">
        <f>"电子工业出版社"</f>
        <v>电子工业出版社</v>
      </c>
      <c r="F325" s="7" t="str">
        <f>"G254.97/46"</f>
        <v>G254.97/46</v>
      </c>
    </row>
    <row r="326" customHeight="1" spans="1:6">
      <c r="A326" s="6">
        <v>325</v>
      </c>
      <c r="B326" s="8" t="s">
        <v>7075</v>
      </c>
      <c r="C326" s="8" t="s">
        <v>7076</v>
      </c>
      <c r="D326" s="8" t="s">
        <v>7077</v>
      </c>
      <c r="E326" s="8" t="s">
        <v>23</v>
      </c>
      <c r="F326" s="8" t="s">
        <v>7078</v>
      </c>
    </row>
    <row r="327" customHeight="1" spans="1:6">
      <c r="A327" s="6">
        <v>326</v>
      </c>
      <c r="B327" s="8" t="s">
        <v>7075</v>
      </c>
      <c r="C327" s="8" t="s">
        <v>7076</v>
      </c>
      <c r="D327" s="8" t="s">
        <v>7077</v>
      </c>
      <c r="E327" s="8" t="s">
        <v>23</v>
      </c>
      <c r="F327" s="8" t="s">
        <v>7078</v>
      </c>
    </row>
    <row r="328" customHeight="1" spans="1:6">
      <c r="A328" s="6">
        <v>327</v>
      </c>
      <c r="B328" s="8" t="s">
        <v>7079</v>
      </c>
      <c r="C328" s="8" t="s">
        <v>7080</v>
      </c>
      <c r="D328" s="8" t="s">
        <v>7081</v>
      </c>
      <c r="E328" s="8" t="s">
        <v>33</v>
      </c>
      <c r="F328" s="8" t="s">
        <v>7082</v>
      </c>
    </row>
    <row r="329" customHeight="1" spans="1:6">
      <c r="A329" s="6">
        <v>328</v>
      </c>
      <c r="B329" s="8" t="s">
        <v>7079</v>
      </c>
      <c r="C329" s="8" t="s">
        <v>7080</v>
      </c>
      <c r="D329" s="8" t="s">
        <v>7081</v>
      </c>
      <c r="E329" s="8" t="s">
        <v>33</v>
      </c>
      <c r="F329" s="8" t="s">
        <v>7082</v>
      </c>
    </row>
    <row r="330" customHeight="1" spans="1:6">
      <c r="A330" s="6">
        <v>329</v>
      </c>
      <c r="B330" s="8" t="s">
        <v>7083</v>
      </c>
      <c r="C330" s="8" t="s">
        <v>7084</v>
      </c>
      <c r="D330" s="8" t="s">
        <v>7085</v>
      </c>
      <c r="E330" s="8" t="s">
        <v>2566</v>
      </c>
      <c r="F330" s="8" t="s">
        <v>7086</v>
      </c>
    </row>
    <row r="331" customHeight="1" spans="1:6">
      <c r="A331" s="6">
        <v>330</v>
      </c>
      <c r="B331" s="8" t="s">
        <v>7083</v>
      </c>
      <c r="C331" s="8" t="s">
        <v>7084</v>
      </c>
      <c r="D331" s="8" t="s">
        <v>7085</v>
      </c>
      <c r="E331" s="8" t="s">
        <v>2566</v>
      </c>
      <c r="F331" s="8" t="s">
        <v>7086</v>
      </c>
    </row>
    <row r="332" customHeight="1" spans="1:6">
      <c r="A332" s="6">
        <v>331</v>
      </c>
      <c r="B332" s="8" t="s">
        <v>7083</v>
      </c>
      <c r="C332" s="8" t="s">
        <v>7084</v>
      </c>
      <c r="D332" s="8" t="s">
        <v>7085</v>
      </c>
      <c r="E332" s="8" t="s">
        <v>2566</v>
      </c>
      <c r="F332" s="8" t="s">
        <v>7086</v>
      </c>
    </row>
    <row r="333" customHeight="1" spans="1:6">
      <c r="A333" s="6">
        <v>332</v>
      </c>
      <c r="B333" s="7" t="str">
        <f>"978-7-03-068627-5"</f>
        <v>978-7-03-068627-5</v>
      </c>
      <c r="C333" s="7" t="str">
        <f>"博物馆工作手册"</f>
        <v>博物馆工作手册</v>
      </c>
      <c r="D333" s="7" t="str">
        <f>"国家文物局博物馆与社会文物司 (科技司) 编"</f>
        <v>国家文物局博物馆与社会文物司 (科技司) 编</v>
      </c>
      <c r="E333" s="7" t="str">
        <f>"科学出版社"</f>
        <v>科学出版社</v>
      </c>
      <c r="F333" s="7" t="str">
        <f>"G26/5"</f>
        <v>G26/5</v>
      </c>
    </row>
    <row r="334" customHeight="1" spans="1:6">
      <c r="A334" s="6">
        <v>333</v>
      </c>
      <c r="B334" s="7" t="str">
        <f>"978-7-03-068627-5"</f>
        <v>978-7-03-068627-5</v>
      </c>
      <c r="C334" s="7" t="str">
        <f>"博物馆工作手册"</f>
        <v>博物馆工作手册</v>
      </c>
      <c r="D334" s="7" t="str">
        <f>"国家文物局博物馆与社会文物司 (科技司) 编"</f>
        <v>国家文物局博物馆与社会文物司 (科技司) 编</v>
      </c>
      <c r="E334" s="7" t="str">
        <f>"科学出版社"</f>
        <v>科学出版社</v>
      </c>
      <c r="F334" s="7" t="str">
        <f>"G26/5"</f>
        <v>G26/5</v>
      </c>
    </row>
    <row r="335" customHeight="1" spans="1:6">
      <c r="A335" s="6">
        <v>334</v>
      </c>
      <c r="B335" s="7" t="str">
        <f>"978-7-303-22646-7"</f>
        <v>978-7-303-22646-7</v>
      </c>
      <c r="C335" s="7" t="str">
        <f>"新博物馆学"</f>
        <v>新博物馆学</v>
      </c>
      <c r="D335" s="7" t="str">
        <f>"(英) 彼得·弗格主编Peter Vergo；王颖译"</f>
        <v>(英) 彼得·弗格主编Peter Vergo；王颖译</v>
      </c>
      <c r="E335" s="7" t="str">
        <f t="shared" ref="E335:E338" si="16">"北京师范大学出版社"</f>
        <v>北京师范大学出版社</v>
      </c>
      <c r="F335" s="7" t="str">
        <f>"G260/12"</f>
        <v>G260/12</v>
      </c>
    </row>
    <row r="336" customHeight="1" spans="1:6">
      <c r="A336" s="6">
        <v>335</v>
      </c>
      <c r="B336" s="7" t="str">
        <f>"978-7-303-22646-7"</f>
        <v>978-7-303-22646-7</v>
      </c>
      <c r="C336" s="7" t="str">
        <f>"新博物馆学"</f>
        <v>新博物馆学</v>
      </c>
      <c r="D336" s="7" t="str">
        <f>"(英) 彼得·弗格主编Peter Vergo；王颖译"</f>
        <v>(英) 彼得·弗格主编Peter Vergo；王颖译</v>
      </c>
      <c r="E336" s="7" t="str">
        <f t="shared" si="16"/>
        <v>北京师范大学出版社</v>
      </c>
      <c r="F336" s="7" t="str">
        <f>"G260/12"</f>
        <v>G260/12</v>
      </c>
    </row>
    <row r="337" customHeight="1" spans="1:6">
      <c r="A337" s="6">
        <v>336</v>
      </c>
      <c r="B337" s="7" t="str">
        <f>"978-7-303-24493-5"</f>
        <v>978-7-303-24493-5</v>
      </c>
      <c r="C337" s="7" t="str">
        <f>"现代科学的博物馆"</f>
        <v>现代科学的博物馆</v>
      </c>
      <c r="D337" s="7" t="str">
        <f>"(瑞典) 斯万特·林德奎斯特主编Svante Lindqvist；蒋澈译"</f>
        <v>(瑞典) 斯万特·林德奎斯特主编Svante Lindqvist；蒋澈译</v>
      </c>
      <c r="E337" s="7" t="str">
        <f t="shared" si="16"/>
        <v>北京师范大学出版社</v>
      </c>
      <c r="F337" s="7" t="str">
        <f>"G260/13"</f>
        <v>G260/13</v>
      </c>
    </row>
    <row r="338" customHeight="1" spans="1:6">
      <c r="A338" s="6">
        <v>337</v>
      </c>
      <c r="B338" s="7" t="str">
        <f>"978-7-303-24493-5"</f>
        <v>978-7-303-24493-5</v>
      </c>
      <c r="C338" s="7" t="str">
        <f>"现代科学的博物馆"</f>
        <v>现代科学的博物馆</v>
      </c>
      <c r="D338" s="7" t="str">
        <f>"(瑞典) 斯万特·林德奎斯特主编Svante Lindqvist；蒋澈译"</f>
        <v>(瑞典) 斯万特·林德奎斯特主编Svante Lindqvist；蒋澈译</v>
      </c>
      <c r="E338" s="7" t="str">
        <f t="shared" si="16"/>
        <v>北京师范大学出版社</v>
      </c>
      <c r="F338" s="7" t="str">
        <f>"G260/13"</f>
        <v>G260/13</v>
      </c>
    </row>
    <row r="339" customHeight="1" spans="1:6">
      <c r="A339" s="6">
        <v>338</v>
      </c>
      <c r="B339" s="7" t="str">
        <f>"978-7-5439-8348-9"</f>
        <v>978-7-5439-8348-9</v>
      </c>
      <c r="C339" s="7" t="str">
        <f>"邮票中的百年党史"</f>
        <v>邮票中的百年党史</v>
      </c>
      <c r="D339" s="7" t="str">
        <f>"李近朱著"</f>
        <v>李近朱著</v>
      </c>
      <c r="E339" s="7" t="str">
        <f>"上海科学技术文献出版社"</f>
        <v>上海科学技术文献出版社</v>
      </c>
      <c r="F339" s="7" t="str">
        <f>"G262.2-64/6"</f>
        <v>G262.2-64/6</v>
      </c>
    </row>
    <row r="340" customHeight="1" spans="1:6">
      <c r="A340" s="6">
        <v>339</v>
      </c>
      <c r="B340" s="7" t="str">
        <f>"978-7-5439-8348-9"</f>
        <v>978-7-5439-8348-9</v>
      </c>
      <c r="C340" s="7" t="str">
        <f>"邮票中的百年党史"</f>
        <v>邮票中的百年党史</v>
      </c>
      <c r="D340" s="7" t="str">
        <f>"李近朱著"</f>
        <v>李近朱著</v>
      </c>
      <c r="E340" s="7" t="str">
        <f>"上海科学技术文献出版社"</f>
        <v>上海科学技术文献出版社</v>
      </c>
      <c r="F340" s="7" t="str">
        <f>"G262.2-64/6"</f>
        <v>G262.2-64/6</v>
      </c>
    </row>
    <row r="341" customHeight="1" spans="1:6">
      <c r="A341" s="6">
        <v>340</v>
      </c>
      <c r="B341" s="7" t="str">
        <f>"978-7-5010-7078-7"</f>
        <v>978-7-5010-7078-7</v>
      </c>
      <c r="C341" s="7" t="str">
        <f>"博物馆藏品保护英汉词汇手册"</f>
        <v>博物馆藏品保护英汉词汇手册</v>
      </c>
      <c r="D341" s="7" t="str">
        <f>"中国博物馆协会编"</f>
        <v>中国博物馆协会编</v>
      </c>
      <c r="E341" s="7" t="str">
        <f>"文物出版社"</f>
        <v>文物出版社</v>
      </c>
      <c r="F341" s="7" t="str">
        <f>"G264/6"</f>
        <v>G264/6</v>
      </c>
    </row>
    <row r="342" customHeight="1" spans="1:6">
      <c r="A342" s="6">
        <v>341</v>
      </c>
      <c r="B342" s="7" t="str">
        <f>"978-7-5010-7078-7"</f>
        <v>978-7-5010-7078-7</v>
      </c>
      <c r="C342" s="7" t="str">
        <f>"博物馆藏品保护英汉词汇手册"</f>
        <v>博物馆藏品保护英汉词汇手册</v>
      </c>
      <c r="D342" s="7" t="str">
        <f>"中国博物馆协会编"</f>
        <v>中国博物馆协会编</v>
      </c>
      <c r="E342" s="7" t="str">
        <f>"文物出版社"</f>
        <v>文物出版社</v>
      </c>
      <c r="F342" s="7" t="str">
        <f>"G264/6"</f>
        <v>G264/6</v>
      </c>
    </row>
    <row r="343" customHeight="1" spans="1:6">
      <c r="A343" s="6">
        <v>342</v>
      </c>
      <c r="B343" s="7" t="str">
        <f>"978-7-5699-3440-3"</f>
        <v>978-7-5699-3440-3</v>
      </c>
      <c r="C343" s="7" t="str">
        <f>"中国国家博物馆"</f>
        <v>中国国家博物馆</v>
      </c>
      <c r="D343" s="7" t="str">
        <f>"王春法主编"</f>
        <v>王春法主编</v>
      </c>
      <c r="E343" s="7" t="str">
        <f>"北京时代华文书局"</f>
        <v>北京时代华文书局</v>
      </c>
      <c r="F343" s="7" t="str">
        <f>"G269.26/10"</f>
        <v>G269.26/10</v>
      </c>
    </row>
    <row r="344" customHeight="1" spans="1:6">
      <c r="A344" s="6">
        <v>343</v>
      </c>
      <c r="B344" s="7" t="str">
        <f>"978-7-306-07123-1"</f>
        <v>978-7-306-07123-1</v>
      </c>
      <c r="C344" s="7" t="str">
        <f>"数字档案馆与信息技术"</f>
        <v>数字档案馆与信息技术</v>
      </c>
      <c r="D344" s="7" t="str">
        <f>"徐健主编"</f>
        <v>徐健主编</v>
      </c>
      <c r="E344" s="7" t="str">
        <f>"中山大学出版社"</f>
        <v>中山大学出版社</v>
      </c>
      <c r="F344" s="7" t="str">
        <f>"G270.7/10"</f>
        <v>G270.7/10</v>
      </c>
    </row>
    <row r="345" customHeight="1" spans="1:6">
      <c r="A345" s="6">
        <v>344</v>
      </c>
      <c r="B345" s="7" t="str">
        <f>"978-7-306-07123-1"</f>
        <v>978-7-306-07123-1</v>
      </c>
      <c r="C345" s="7" t="str">
        <f>"数字档案馆与信息技术"</f>
        <v>数字档案馆与信息技术</v>
      </c>
      <c r="D345" s="7" t="str">
        <f>"徐健主编"</f>
        <v>徐健主编</v>
      </c>
      <c r="E345" s="7" t="str">
        <f>"中山大学出版社"</f>
        <v>中山大学出版社</v>
      </c>
      <c r="F345" s="7" t="str">
        <f>"G270.7/10"</f>
        <v>G270.7/10</v>
      </c>
    </row>
    <row r="346" customHeight="1" spans="1:6">
      <c r="A346" s="6">
        <v>345</v>
      </c>
      <c r="B346" s="7" t="str">
        <f t="shared" ref="B346:B348" si="17">"978-7-5638-3262-0"</f>
        <v>978-7-5638-3262-0</v>
      </c>
      <c r="C346" s="7" t="str">
        <f t="shared" ref="C346:C348" si="18">"档案工作综合实践教程"</f>
        <v>档案工作综合实践教程</v>
      </c>
      <c r="D346" s="7" t="str">
        <f t="shared" ref="D346:D348" si="19">"主编吴晓红"</f>
        <v>主编吴晓红</v>
      </c>
      <c r="E346" s="7" t="str">
        <f t="shared" ref="E346:E348" si="20">"首都经济贸易大学出版社"</f>
        <v>首都经济贸易大学出版社</v>
      </c>
      <c r="F346" s="7" t="str">
        <f t="shared" ref="F346:F348" si="21">"G275/6=2D"</f>
        <v>G275/6=2D</v>
      </c>
    </row>
    <row r="347" customHeight="1" spans="1:6">
      <c r="A347" s="6">
        <v>346</v>
      </c>
      <c r="B347" s="7" t="str">
        <f t="shared" si="17"/>
        <v>978-7-5638-3262-0</v>
      </c>
      <c r="C347" s="7" t="str">
        <f t="shared" si="18"/>
        <v>档案工作综合实践教程</v>
      </c>
      <c r="D347" s="7" t="str">
        <f t="shared" si="19"/>
        <v>主编吴晓红</v>
      </c>
      <c r="E347" s="7" t="str">
        <f t="shared" si="20"/>
        <v>首都经济贸易大学出版社</v>
      </c>
      <c r="F347" s="7" t="str">
        <f t="shared" si="21"/>
        <v>G275/6=2D</v>
      </c>
    </row>
    <row r="348" customHeight="1" spans="1:6">
      <c r="A348" s="6">
        <v>347</v>
      </c>
      <c r="B348" s="7" t="str">
        <f t="shared" si="17"/>
        <v>978-7-5638-3262-0</v>
      </c>
      <c r="C348" s="7" t="str">
        <f t="shared" si="18"/>
        <v>档案工作综合实践教程</v>
      </c>
      <c r="D348" s="7" t="str">
        <f t="shared" si="19"/>
        <v>主编吴晓红</v>
      </c>
      <c r="E348" s="7" t="str">
        <f t="shared" si="20"/>
        <v>首都经济贸易大学出版社</v>
      </c>
      <c r="F348" s="7" t="str">
        <f t="shared" si="21"/>
        <v>G275/6=2D</v>
      </c>
    </row>
    <row r="349" customHeight="1" spans="1:6">
      <c r="A349" s="6">
        <v>348</v>
      </c>
      <c r="B349" s="7" t="str">
        <f>"978-7-5428-7567-9"</f>
        <v>978-7-5428-7567-9</v>
      </c>
      <c r="C349" s="7" t="str">
        <f>"地外文明探索：从科学走向幻想"</f>
        <v>地外文明探索：从科学走向幻想</v>
      </c>
      <c r="D349" s="7" t="str">
        <f>"穆蕴秋， 江晓原著"</f>
        <v>穆蕴秋， 江晓原著</v>
      </c>
      <c r="E349" s="7" t="str">
        <f>"上海科技教育出版社"</f>
        <v>上海科技教育出版社</v>
      </c>
      <c r="F349" s="7" t="str">
        <f>"G3/12"</f>
        <v>G3/12</v>
      </c>
    </row>
    <row r="350" customHeight="1" spans="1:6">
      <c r="A350" s="6">
        <v>349</v>
      </c>
      <c r="B350" s="7" t="str">
        <f>"978-7-5428-7567-9"</f>
        <v>978-7-5428-7567-9</v>
      </c>
      <c r="C350" s="7" t="str">
        <f>"地外文明探索：从科学走向幻想"</f>
        <v>地外文明探索：从科学走向幻想</v>
      </c>
      <c r="D350" s="7" t="str">
        <f>"穆蕴秋， 江晓原著"</f>
        <v>穆蕴秋， 江晓原著</v>
      </c>
      <c r="E350" s="7" t="str">
        <f>"上海科技教育出版社"</f>
        <v>上海科技教育出版社</v>
      </c>
      <c r="F350" s="7" t="str">
        <f>"G3/12"</f>
        <v>G3/12</v>
      </c>
    </row>
    <row r="351" customHeight="1" spans="1:6">
      <c r="A351" s="6">
        <v>350</v>
      </c>
      <c r="B351" s="7" t="str">
        <f t="shared" ref="B351:B353" si="22">"978-7-108-06283-3"</f>
        <v>978-7-108-06283-3</v>
      </c>
      <c r="C351" s="7" t="str">
        <f t="shared" ref="C351:C353" si="23">"大背叛：科学中的欺诈"</f>
        <v>大背叛：科学中的欺诈</v>
      </c>
      <c r="D351" s="7" t="str">
        <f t="shared" ref="D351:D353" si="24">"(美) 霍勒斯·弗里兰·贾德森著；张铁梅， 徐国强译"</f>
        <v>(美) 霍勒斯·弗里兰·贾德森著；张铁梅， 徐国强译</v>
      </c>
      <c r="E351" s="7" t="str">
        <f t="shared" ref="E351:E353" si="25">"三联书店"</f>
        <v>三联书店</v>
      </c>
      <c r="F351" s="7" t="str">
        <f t="shared" ref="F351:F353" si="26">"G301/116=2D"</f>
        <v>G301/116=2D</v>
      </c>
    </row>
    <row r="352" customHeight="1" spans="1:6">
      <c r="A352" s="6">
        <v>351</v>
      </c>
      <c r="B352" s="7" t="str">
        <f t="shared" si="22"/>
        <v>978-7-108-06283-3</v>
      </c>
      <c r="C352" s="7" t="str">
        <f t="shared" si="23"/>
        <v>大背叛：科学中的欺诈</v>
      </c>
      <c r="D352" s="7" t="str">
        <f t="shared" si="24"/>
        <v>(美) 霍勒斯·弗里兰·贾德森著；张铁梅， 徐国强译</v>
      </c>
      <c r="E352" s="7" t="str">
        <f t="shared" si="25"/>
        <v>三联书店</v>
      </c>
      <c r="F352" s="7" t="str">
        <f t="shared" si="26"/>
        <v>G301/116=2D</v>
      </c>
    </row>
    <row r="353" customHeight="1" spans="1:6">
      <c r="A353" s="6">
        <v>352</v>
      </c>
      <c r="B353" s="7" t="str">
        <f t="shared" si="22"/>
        <v>978-7-108-06283-3</v>
      </c>
      <c r="C353" s="7" t="str">
        <f t="shared" si="23"/>
        <v>大背叛：科学中的欺诈</v>
      </c>
      <c r="D353" s="7" t="str">
        <f t="shared" si="24"/>
        <v>(美) 霍勒斯·弗里兰·贾德森著；张铁梅， 徐国强译</v>
      </c>
      <c r="E353" s="7" t="str">
        <f t="shared" si="25"/>
        <v>三联书店</v>
      </c>
      <c r="F353" s="7" t="str">
        <f t="shared" si="26"/>
        <v>G301/116=2D</v>
      </c>
    </row>
    <row r="354" customHeight="1" spans="1:6">
      <c r="A354" s="6">
        <v>353</v>
      </c>
      <c r="B354" s="7" t="str">
        <f>"978-7-100-19658-1"</f>
        <v>978-7-100-19658-1</v>
      </c>
      <c r="C354" s="7" t="str">
        <f>"科学传奇"</f>
        <v>科学传奇</v>
      </c>
      <c r="D354" s="7" t="str">
        <f>"(美) 张天蓉， 葛惟昆著"</f>
        <v>(美) 张天蓉， 葛惟昆著</v>
      </c>
      <c r="E354" s="7" t="str">
        <f>"商务印书馆"</f>
        <v>商务印书馆</v>
      </c>
      <c r="F354" s="7" t="str">
        <f>"G301/117"</f>
        <v>G301/117</v>
      </c>
    </row>
    <row r="355" customHeight="1" spans="1:6">
      <c r="A355" s="6">
        <v>354</v>
      </c>
      <c r="B355" s="7" t="str">
        <f>"978-7-100-19658-1"</f>
        <v>978-7-100-19658-1</v>
      </c>
      <c r="C355" s="7" t="str">
        <f>"科学传奇"</f>
        <v>科学传奇</v>
      </c>
      <c r="D355" s="7" t="str">
        <f>"(美) 张天蓉， 葛惟昆著"</f>
        <v>(美) 张天蓉， 葛惟昆著</v>
      </c>
      <c r="E355" s="7" t="str">
        <f>"商务印书馆"</f>
        <v>商务印书馆</v>
      </c>
      <c r="F355" s="7" t="str">
        <f>"G301/117"</f>
        <v>G301/117</v>
      </c>
    </row>
    <row r="356" customHeight="1" spans="1:6">
      <c r="A356" s="6">
        <v>355</v>
      </c>
      <c r="B356" s="8" t="s">
        <v>7087</v>
      </c>
      <c r="C356" s="8" t="s">
        <v>7088</v>
      </c>
      <c r="D356" s="8" t="s">
        <v>7089</v>
      </c>
      <c r="E356" s="8" t="s">
        <v>2566</v>
      </c>
      <c r="F356" s="8" t="s">
        <v>7090</v>
      </c>
    </row>
    <row r="357" customHeight="1" spans="1:6">
      <c r="A357" s="6">
        <v>356</v>
      </c>
      <c r="B357" s="8" t="s">
        <v>7087</v>
      </c>
      <c r="C357" s="8" t="s">
        <v>7088</v>
      </c>
      <c r="D357" s="8" t="s">
        <v>7089</v>
      </c>
      <c r="E357" s="8" t="s">
        <v>2566</v>
      </c>
      <c r="F357" s="8" t="s">
        <v>7090</v>
      </c>
    </row>
    <row r="358" customHeight="1" spans="1:6">
      <c r="A358" s="6">
        <v>357</v>
      </c>
      <c r="B358" s="8" t="s">
        <v>7087</v>
      </c>
      <c r="C358" s="8" t="s">
        <v>7088</v>
      </c>
      <c r="D358" s="8" t="s">
        <v>7089</v>
      </c>
      <c r="E358" s="8" t="s">
        <v>2566</v>
      </c>
      <c r="F358" s="8" t="s">
        <v>7090</v>
      </c>
    </row>
    <row r="359" customHeight="1" spans="1:6">
      <c r="A359" s="6">
        <v>358</v>
      </c>
      <c r="B359" s="8" t="s">
        <v>7091</v>
      </c>
      <c r="C359" s="8" t="s">
        <v>7092</v>
      </c>
      <c r="D359" s="8" t="s">
        <v>7093</v>
      </c>
      <c r="E359" s="8" t="s">
        <v>197</v>
      </c>
      <c r="F359" s="8" t="s">
        <v>7094</v>
      </c>
    </row>
    <row r="360" customHeight="1" spans="1:6">
      <c r="A360" s="6">
        <v>359</v>
      </c>
      <c r="B360" s="7" t="str">
        <f t="shared" ref="B360:B362" si="27">"978-7-5648-4212-3"</f>
        <v>978-7-5648-4212-3</v>
      </c>
      <c r="C360" s="7" t="str">
        <f t="shared" ref="C360:C362" si="28">"人文素养六题"</f>
        <v>人文素养六题</v>
      </c>
      <c r="D360" s="7" t="str">
        <f t="shared" ref="D360:D362" si="29">"刘湘溶著"</f>
        <v>刘湘溶著</v>
      </c>
      <c r="E360" s="7" t="str">
        <f t="shared" ref="E360:E362" si="30">"湖南师范大学出版社"</f>
        <v>湖南师范大学出版社</v>
      </c>
      <c r="F360" s="7" t="str">
        <f t="shared" ref="F360:F362" si="31">"G40-012/35"</f>
        <v>G40-012/35</v>
      </c>
    </row>
    <row r="361" customHeight="1" spans="1:6">
      <c r="A361" s="6">
        <v>360</v>
      </c>
      <c r="B361" s="7" t="str">
        <f t="shared" si="27"/>
        <v>978-7-5648-4212-3</v>
      </c>
      <c r="C361" s="7" t="str">
        <f t="shared" si="28"/>
        <v>人文素养六题</v>
      </c>
      <c r="D361" s="7" t="str">
        <f t="shared" si="29"/>
        <v>刘湘溶著</v>
      </c>
      <c r="E361" s="7" t="str">
        <f t="shared" si="30"/>
        <v>湖南师范大学出版社</v>
      </c>
      <c r="F361" s="7" t="str">
        <f t="shared" si="31"/>
        <v>G40-012/35</v>
      </c>
    </row>
    <row r="362" customHeight="1" spans="1:6">
      <c r="A362" s="6">
        <v>361</v>
      </c>
      <c r="B362" s="7" t="str">
        <f t="shared" si="27"/>
        <v>978-7-5648-4212-3</v>
      </c>
      <c r="C362" s="7" t="str">
        <f t="shared" si="28"/>
        <v>人文素养六题</v>
      </c>
      <c r="D362" s="7" t="str">
        <f t="shared" si="29"/>
        <v>刘湘溶著</v>
      </c>
      <c r="E362" s="7" t="str">
        <f t="shared" si="30"/>
        <v>湖南师范大学出版社</v>
      </c>
      <c r="F362" s="7" t="str">
        <f t="shared" si="31"/>
        <v>G40-012/35</v>
      </c>
    </row>
    <row r="363" customHeight="1" spans="1:6">
      <c r="A363" s="6">
        <v>362</v>
      </c>
      <c r="B363" s="8" t="s">
        <v>7095</v>
      </c>
      <c r="C363" s="8" t="s">
        <v>7096</v>
      </c>
      <c r="D363" s="8" t="s">
        <v>7097</v>
      </c>
      <c r="E363" s="8" t="s">
        <v>197</v>
      </c>
      <c r="F363" s="8" t="s">
        <v>7098</v>
      </c>
    </row>
    <row r="364" customHeight="1" spans="1:6">
      <c r="A364" s="6">
        <v>363</v>
      </c>
      <c r="B364" s="8" t="s">
        <v>7095</v>
      </c>
      <c r="C364" s="8" t="s">
        <v>7096</v>
      </c>
      <c r="D364" s="8" t="s">
        <v>7097</v>
      </c>
      <c r="E364" s="8" t="s">
        <v>197</v>
      </c>
      <c r="F364" s="8" t="s">
        <v>7098</v>
      </c>
    </row>
    <row r="365" customHeight="1" spans="1:6">
      <c r="A365" s="6">
        <v>364</v>
      </c>
      <c r="B365" s="8" t="s">
        <v>7099</v>
      </c>
      <c r="C365" s="8" t="s">
        <v>7100</v>
      </c>
      <c r="D365" s="8" t="s">
        <v>7101</v>
      </c>
      <c r="E365" s="8" t="s">
        <v>549</v>
      </c>
      <c r="F365" s="8" t="s">
        <v>7102</v>
      </c>
    </row>
    <row r="366" customHeight="1" spans="1:6">
      <c r="A366" s="6">
        <v>365</v>
      </c>
      <c r="B366" s="8" t="s">
        <v>7099</v>
      </c>
      <c r="C366" s="8" t="s">
        <v>7100</v>
      </c>
      <c r="D366" s="8" t="s">
        <v>7101</v>
      </c>
      <c r="E366" s="8" t="s">
        <v>549</v>
      </c>
      <c r="F366" s="8" t="s">
        <v>7102</v>
      </c>
    </row>
    <row r="367" customHeight="1" spans="1:6">
      <c r="A367" s="6">
        <v>366</v>
      </c>
      <c r="B367" s="7" t="str">
        <f>"978-7-5203-8490-2"</f>
        <v>978-7-5203-8490-2</v>
      </c>
      <c r="C367" s="7" t="str">
        <f>"教师教学设计能力研究：理论、方法与案例"</f>
        <v>教师教学设计能力研究：理论、方法与案例</v>
      </c>
      <c r="D367" s="7" t="str">
        <f>"刘新阳著"</f>
        <v>刘新阳著</v>
      </c>
      <c r="E367" s="7" t="str">
        <f>"中国社会科学出版社"</f>
        <v>中国社会科学出版社</v>
      </c>
      <c r="F367" s="7" t="str">
        <f>"G42/48"</f>
        <v>G42/48</v>
      </c>
    </row>
    <row r="368" customHeight="1" spans="1:6">
      <c r="A368" s="6">
        <v>367</v>
      </c>
      <c r="B368" s="7" t="str">
        <f>"978-7-5203-8490-2"</f>
        <v>978-7-5203-8490-2</v>
      </c>
      <c r="C368" s="7" t="str">
        <f>"教师教学设计能力研究：理论、方法与案例"</f>
        <v>教师教学设计能力研究：理论、方法与案例</v>
      </c>
      <c r="D368" s="7" t="str">
        <f>"刘新阳著"</f>
        <v>刘新阳著</v>
      </c>
      <c r="E368" s="7" t="str">
        <f>"中国社会科学出版社"</f>
        <v>中国社会科学出版社</v>
      </c>
      <c r="F368" s="7" t="str">
        <f>"G42/48"</f>
        <v>G42/48</v>
      </c>
    </row>
    <row r="369" customHeight="1" spans="1:6">
      <c r="A369" s="6">
        <v>368</v>
      </c>
      <c r="B369" s="7" t="str">
        <f>"978-7-5130-7190-1"</f>
        <v>978-7-5130-7190-1</v>
      </c>
      <c r="C369" s="7" t="str">
        <f>"翻转学习的设计与实现"</f>
        <v>翻转学习的设计与实现</v>
      </c>
      <c r="D369" s="7" t="str">
        <f>"杨建伟著"</f>
        <v>杨建伟著</v>
      </c>
      <c r="E369" s="7" t="str">
        <f>"知识产权出版社"</f>
        <v>知识产权出版社</v>
      </c>
      <c r="F369" s="7" t="str">
        <f>"G434/140"</f>
        <v>G434/140</v>
      </c>
    </row>
    <row r="370" customHeight="1" spans="1:6">
      <c r="A370" s="6">
        <v>369</v>
      </c>
      <c r="B370" s="7" t="str">
        <f>"978-7-5130-7190-1"</f>
        <v>978-7-5130-7190-1</v>
      </c>
      <c r="C370" s="7" t="str">
        <f>"翻转学习的设计与实现"</f>
        <v>翻转学习的设计与实现</v>
      </c>
      <c r="D370" s="7" t="str">
        <f>"杨建伟著"</f>
        <v>杨建伟著</v>
      </c>
      <c r="E370" s="7" t="str">
        <f>"知识产权出版社"</f>
        <v>知识产权出版社</v>
      </c>
      <c r="F370" s="7" t="str">
        <f>"G434/140"</f>
        <v>G434/140</v>
      </c>
    </row>
    <row r="371" customHeight="1" spans="1:6">
      <c r="A371" s="6">
        <v>370</v>
      </c>
      <c r="B371" s="8" t="s">
        <v>7103</v>
      </c>
      <c r="C371" s="8" t="s">
        <v>7104</v>
      </c>
      <c r="D371" s="8" t="s">
        <v>7105</v>
      </c>
      <c r="E371" s="8" t="s">
        <v>4896</v>
      </c>
      <c r="F371" s="8" t="s">
        <v>7106</v>
      </c>
    </row>
    <row r="372" customHeight="1" spans="1:6">
      <c r="A372" s="6">
        <v>371</v>
      </c>
      <c r="B372" s="8" t="s">
        <v>7103</v>
      </c>
      <c r="C372" s="8" t="s">
        <v>7104</v>
      </c>
      <c r="D372" s="8" t="s">
        <v>7105</v>
      </c>
      <c r="E372" s="8" t="s">
        <v>4896</v>
      </c>
      <c r="F372" s="8" t="s">
        <v>7106</v>
      </c>
    </row>
    <row r="373" customHeight="1" spans="1:6">
      <c r="A373" s="6">
        <v>372</v>
      </c>
      <c r="B373" s="8" t="s">
        <v>7107</v>
      </c>
      <c r="C373" s="8" t="s">
        <v>7108</v>
      </c>
      <c r="D373" s="8" t="s">
        <v>7109</v>
      </c>
      <c r="E373" s="8" t="s">
        <v>197</v>
      </c>
      <c r="F373" s="8" t="s">
        <v>7110</v>
      </c>
    </row>
    <row r="374" customHeight="1" spans="1:6">
      <c r="A374" s="6">
        <v>373</v>
      </c>
      <c r="B374" s="7" t="str">
        <f t="shared" ref="B374:B376" si="32">"978-7-308-21317-2"</f>
        <v>978-7-308-21317-2</v>
      </c>
      <c r="C374" s="7" t="str">
        <f t="shared" ref="C374:C376" si="33">"大学生心理健康教程"</f>
        <v>大学生心理健康教程</v>
      </c>
      <c r="D374" s="7" t="str">
        <f t="shared" ref="D374:D376" si="34">"主编马建青"</f>
        <v>主编马建青</v>
      </c>
      <c r="E374" s="7" t="str">
        <f t="shared" ref="E374:E376" si="35">"浙江大学出版社"</f>
        <v>浙江大学出版社</v>
      </c>
      <c r="F374" s="7" t="str">
        <f t="shared" ref="F374:F376" si="36">"G444/116=3D"</f>
        <v>G444/116=3D</v>
      </c>
    </row>
    <row r="375" customHeight="1" spans="1:6">
      <c r="A375" s="6">
        <v>374</v>
      </c>
      <c r="B375" s="7" t="str">
        <f t="shared" si="32"/>
        <v>978-7-308-21317-2</v>
      </c>
      <c r="C375" s="7" t="str">
        <f t="shared" si="33"/>
        <v>大学生心理健康教程</v>
      </c>
      <c r="D375" s="7" t="str">
        <f t="shared" si="34"/>
        <v>主编马建青</v>
      </c>
      <c r="E375" s="7" t="str">
        <f t="shared" si="35"/>
        <v>浙江大学出版社</v>
      </c>
      <c r="F375" s="7" t="str">
        <f t="shared" si="36"/>
        <v>G444/116=3D</v>
      </c>
    </row>
    <row r="376" customHeight="1" spans="1:6">
      <c r="A376" s="6">
        <v>375</v>
      </c>
      <c r="B376" s="7" t="str">
        <f t="shared" si="32"/>
        <v>978-7-308-21317-2</v>
      </c>
      <c r="C376" s="7" t="str">
        <f t="shared" si="33"/>
        <v>大学生心理健康教程</v>
      </c>
      <c r="D376" s="7" t="str">
        <f t="shared" si="34"/>
        <v>主编马建青</v>
      </c>
      <c r="E376" s="7" t="str">
        <f t="shared" si="35"/>
        <v>浙江大学出版社</v>
      </c>
      <c r="F376" s="7" t="str">
        <f t="shared" si="36"/>
        <v>G444/116=3D</v>
      </c>
    </row>
    <row r="377" customHeight="1" spans="1:6">
      <c r="A377" s="6">
        <v>376</v>
      </c>
      <c r="B377" s="7" t="str">
        <f>"978-7-5426-7422-7"</f>
        <v>978-7-5426-7422-7</v>
      </c>
      <c r="C377" s="7" t="str">
        <f>"心理抚养"</f>
        <v>心理抚养</v>
      </c>
      <c r="D377" s="7" t="str">
        <f>"李玫瑾著"</f>
        <v>李玫瑾著</v>
      </c>
      <c r="E377" s="7" t="str">
        <f>"上海三联书店"</f>
        <v>上海三联书店</v>
      </c>
      <c r="F377" s="7" t="str">
        <f>"G444/117"</f>
        <v>G444/117</v>
      </c>
    </row>
    <row r="378" customHeight="1" spans="1:6">
      <c r="A378" s="6">
        <v>377</v>
      </c>
      <c r="B378" s="7" t="str">
        <f>"978-7-5426-7422-7"</f>
        <v>978-7-5426-7422-7</v>
      </c>
      <c r="C378" s="7" t="str">
        <f>"心理抚养"</f>
        <v>心理抚养</v>
      </c>
      <c r="D378" s="7" t="str">
        <f>"李玫瑾著"</f>
        <v>李玫瑾著</v>
      </c>
      <c r="E378" s="7" t="str">
        <f>"上海三联书店"</f>
        <v>上海三联书店</v>
      </c>
      <c r="F378" s="7" t="str">
        <f>"G444/117"</f>
        <v>G444/117</v>
      </c>
    </row>
    <row r="379" customHeight="1" spans="1:6">
      <c r="A379" s="6">
        <v>378</v>
      </c>
      <c r="B379" s="7" t="str">
        <f t="shared" ref="B379:B381" si="37">"978-7-209-12615-1"</f>
        <v>978-7-209-12615-1</v>
      </c>
      <c r="C379" s="7" t="str">
        <f t="shared" ref="C379:C381" si="38">"心理健康与自我成长"</f>
        <v>心理健康与自我成长</v>
      </c>
      <c r="D379" s="7" t="str">
        <f t="shared" ref="D379:D381" si="39">"主编赵友春， 陈爽"</f>
        <v>主编赵友春， 陈爽</v>
      </c>
      <c r="E379" s="7" t="str">
        <f t="shared" ref="E379:E381" si="40">"山东人民出版社"</f>
        <v>山东人民出版社</v>
      </c>
      <c r="F379" s="7" t="str">
        <f t="shared" ref="F379:F381" si="41">"G444/118"</f>
        <v>G444/118</v>
      </c>
    </row>
    <row r="380" customHeight="1" spans="1:6">
      <c r="A380" s="6">
        <v>379</v>
      </c>
      <c r="B380" s="7" t="str">
        <f t="shared" si="37"/>
        <v>978-7-209-12615-1</v>
      </c>
      <c r="C380" s="7" t="str">
        <f t="shared" si="38"/>
        <v>心理健康与自我成长</v>
      </c>
      <c r="D380" s="7" t="str">
        <f t="shared" si="39"/>
        <v>主编赵友春， 陈爽</v>
      </c>
      <c r="E380" s="7" t="str">
        <f t="shared" si="40"/>
        <v>山东人民出版社</v>
      </c>
      <c r="F380" s="7" t="str">
        <f t="shared" si="41"/>
        <v>G444/118</v>
      </c>
    </row>
    <row r="381" customHeight="1" spans="1:6">
      <c r="A381" s="6">
        <v>380</v>
      </c>
      <c r="B381" s="7" t="str">
        <f t="shared" si="37"/>
        <v>978-7-209-12615-1</v>
      </c>
      <c r="C381" s="7" t="str">
        <f t="shared" si="38"/>
        <v>心理健康与自我成长</v>
      </c>
      <c r="D381" s="7" t="str">
        <f t="shared" si="39"/>
        <v>主编赵友春， 陈爽</v>
      </c>
      <c r="E381" s="7" t="str">
        <f t="shared" si="40"/>
        <v>山东人民出版社</v>
      </c>
      <c r="F381" s="7" t="str">
        <f t="shared" si="41"/>
        <v>G444/118</v>
      </c>
    </row>
    <row r="382" customHeight="1" spans="1:6">
      <c r="A382" s="6">
        <v>381</v>
      </c>
      <c r="B382" s="7" t="str">
        <f>"978-7-5201-8786-2"</f>
        <v>978-7-5201-8786-2</v>
      </c>
      <c r="C382" s="7" t="str">
        <f>"高校心理健康教育发展40年"</f>
        <v>高校心理健康教育发展40年</v>
      </c>
      <c r="D382" s="7" t="str">
        <f>"郑安云， 张文芳主编"</f>
        <v>郑安云， 张文芳主编</v>
      </c>
      <c r="E382" s="7" t="str">
        <f>"社会科学文献出版社"</f>
        <v>社会科学文献出版社</v>
      </c>
      <c r="F382" s="7" t="str">
        <f>"G444/119"</f>
        <v>G444/119</v>
      </c>
    </row>
    <row r="383" customHeight="1" spans="1:6">
      <c r="A383" s="6">
        <v>382</v>
      </c>
      <c r="B383" s="7" t="str">
        <f>"978-7-5201-8786-2"</f>
        <v>978-7-5201-8786-2</v>
      </c>
      <c r="C383" s="7" t="str">
        <f>"高校心理健康教育发展40年"</f>
        <v>高校心理健康教育发展40年</v>
      </c>
      <c r="D383" s="7" t="str">
        <f>"郑安云， 张文芳主编"</f>
        <v>郑安云， 张文芳主编</v>
      </c>
      <c r="E383" s="7" t="str">
        <f>"社会科学文献出版社"</f>
        <v>社会科学文献出版社</v>
      </c>
      <c r="F383" s="7" t="str">
        <f>"G444/119"</f>
        <v>G444/119</v>
      </c>
    </row>
    <row r="384" customHeight="1" spans="1:6">
      <c r="A384" s="6">
        <v>383</v>
      </c>
      <c r="B384" s="7" t="str">
        <f t="shared" ref="B384:B386" si="42">"978-7-5689-2956-1"</f>
        <v>978-7-5689-2956-1</v>
      </c>
      <c r="C384" s="7" t="str">
        <f t="shared" ref="C384:C386" si="43">"大学生心理健康与积极成长"</f>
        <v>大学生心理健康与积极成长</v>
      </c>
      <c r="D384" s="7" t="str">
        <f t="shared" ref="D384:D386" si="44">"主编何杰民， 王梦梅"</f>
        <v>主编何杰民， 王梦梅</v>
      </c>
      <c r="E384" s="7" t="str">
        <f t="shared" ref="E384:E386" si="45">"重庆大学出版社"</f>
        <v>重庆大学出版社</v>
      </c>
      <c r="F384" s="7" t="str">
        <f t="shared" ref="F384:F386" si="46">"G444/120"</f>
        <v>G444/120</v>
      </c>
    </row>
    <row r="385" customHeight="1" spans="1:6">
      <c r="A385" s="6">
        <v>384</v>
      </c>
      <c r="B385" s="7" t="str">
        <f t="shared" si="42"/>
        <v>978-7-5689-2956-1</v>
      </c>
      <c r="C385" s="7" t="str">
        <f t="shared" si="43"/>
        <v>大学生心理健康与积极成长</v>
      </c>
      <c r="D385" s="7" t="str">
        <f t="shared" si="44"/>
        <v>主编何杰民， 王梦梅</v>
      </c>
      <c r="E385" s="7" t="str">
        <f t="shared" si="45"/>
        <v>重庆大学出版社</v>
      </c>
      <c r="F385" s="7" t="str">
        <f t="shared" si="46"/>
        <v>G444/120</v>
      </c>
    </row>
    <row r="386" customHeight="1" spans="1:6">
      <c r="A386" s="6">
        <v>385</v>
      </c>
      <c r="B386" s="7" t="str">
        <f t="shared" si="42"/>
        <v>978-7-5689-2956-1</v>
      </c>
      <c r="C386" s="7" t="str">
        <f t="shared" si="43"/>
        <v>大学生心理健康与积极成长</v>
      </c>
      <c r="D386" s="7" t="str">
        <f t="shared" si="44"/>
        <v>主编何杰民， 王梦梅</v>
      </c>
      <c r="E386" s="7" t="str">
        <f t="shared" si="45"/>
        <v>重庆大学出版社</v>
      </c>
      <c r="F386" s="7" t="str">
        <f t="shared" si="46"/>
        <v>G444/120</v>
      </c>
    </row>
    <row r="387" customHeight="1" spans="1:6">
      <c r="A387" s="6">
        <v>386</v>
      </c>
      <c r="B387" s="8" t="s">
        <v>7111</v>
      </c>
      <c r="C387" s="8" t="s">
        <v>7112</v>
      </c>
      <c r="D387" s="8" t="s">
        <v>7113</v>
      </c>
      <c r="E387" s="8" t="s">
        <v>571</v>
      </c>
      <c r="F387" s="8" t="s">
        <v>7114</v>
      </c>
    </row>
    <row r="388" customHeight="1" spans="1:6">
      <c r="A388" s="6">
        <v>387</v>
      </c>
      <c r="B388" s="8" t="s">
        <v>7111</v>
      </c>
      <c r="C388" s="8" t="s">
        <v>7112</v>
      </c>
      <c r="D388" s="8" t="s">
        <v>7113</v>
      </c>
      <c r="E388" s="8" t="s">
        <v>571</v>
      </c>
      <c r="F388" s="8" t="s">
        <v>7114</v>
      </c>
    </row>
    <row r="389" customHeight="1" spans="1:6">
      <c r="A389" s="6">
        <v>388</v>
      </c>
      <c r="B389" s="8" t="s">
        <v>7111</v>
      </c>
      <c r="C389" s="8" t="s">
        <v>7112</v>
      </c>
      <c r="D389" s="8" t="s">
        <v>7113</v>
      </c>
      <c r="E389" s="8" t="s">
        <v>571</v>
      </c>
      <c r="F389" s="8" t="s">
        <v>7114</v>
      </c>
    </row>
    <row r="390" customHeight="1" spans="1:6">
      <c r="A390" s="6">
        <v>389</v>
      </c>
      <c r="B390" s="8" t="s">
        <v>7115</v>
      </c>
      <c r="C390" s="8" t="s">
        <v>7116</v>
      </c>
      <c r="D390" s="8" t="s">
        <v>5524</v>
      </c>
      <c r="E390" s="8" t="s">
        <v>2135</v>
      </c>
      <c r="F390" s="8" t="s">
        <v>7117</v>
      </c>
    </row>
    <row r="391" customHeight="1" spans="1:6">
      <c r="A391" s="6">
        <v>390</v>
      </c>
      <c r="B391" s="8" t="s">
        <v>7115</v>
      </c>
      <c r="C391" s="8" t="s">
        <v>7116</v>
      </c>
      <c r="D391" s="8" t="s">
        <v>5524</v>
      </c>
      <c r="E391" s="8" t="s">
        <v>2135</v>
      </c>
      <c r="F391" s="8" t="s">
        <v>7117</v>
      </c>
    </row>
    <row r="392" customHeight="1" spans="1:6">
      <c r="A392" s="6">
        <v>391</v>
      </c>
      <c r="B392" s="8" t="s">
        <v>7118</v>
      </c>
      <c r="C392" s="8" t="s">
        <v>7119</v>
      </c>
      <c r="D392" s="8" t="s">
        <v>7120</v>
      </c>
      <c r="E392" s="8" t="s">
        <v>2566</v>
      </c>
      <c r="F392" s="8" t="s">
        <v>7121</v>
      </c>
    </row>
    <row r="393" customHeight="1" spans="1:6">
      <c r="A393" s="6">
        <v>392</v>
      </c>
      <c r="B393" s="8" t="s">
        <v>7118</v>
      </c>
      <c r="C393" s="8" t="s">
        <v>7119</v>
      </c>
      <c r="D393" s="8" t="s">
        <v>7120</v>
      </c>
      <c r="E393" s="8" t="s">
        <v>2566</v>
      </c>
      <c r="F393" s="8" t="s">
        <v>7121</v>
      </c>
    </row>
    <row r="394" customHeight="1" spans="1:6">
      <c r="A394" s="6">
        <v>393</v>
      </c>
      <c r="B394" s="8" t="s">
        <v>7118</v>
      </c>
      <c r="C394" s="8" t="s">
        <v>7119</v>
      </c>
      <c r="D394" s="8" t="s">
        <v>7120</v>
      </c>
      <c r="E394" s="8" t="s">
        <v>2566</v>
      </c>
      <c r="F394" s="8" t="s">
        <v>7121</v>
      </c>
    </row>
    <row r="395" customHeight="1" spans="1:6">
      <c r="A395" s="6">
        <v>394</v>
      </c>
      <c r="B395" s="8" t="s">
        <v>7122</v>
      </c>
      <c r="C395" s="8" t="s">
        <v>7123</v>
      </c>
      <c r="D395" s="8" t="s">
        <v>7124</v>
      </c>
      <c r="E395" s="8" t="s">
        <v>189</v>
      </c>
      <c r="F395" s="8" t="s">
        <v>7125</v>
      </c>
    </row>
    <row r="396" customHeight="1" spans="1:6">
      <c r="A396" s="6">
        <v>395</v>
      </c>
      <c r="B396" s="8" t="s">
        <v>7122</v>
      </c>
      <c r="C396" s="8" t="s">
        <v>7123</v>
      </c>
      <c r="D396" s="8" t="s">
        <v>7124</v>
      </c>
      <c r="E396" s="8" t="s">
        <v>189</v>
      </c>
      <c r="F396" s="8" t="s">
        <v>7125</v>
      </c>
    </row>
    <row r="397" customHeight="1" spans="1:6">
      <c r="A397" s="6">
        <v>396</v>
      </c>
      <c r="B397" s="8" t="s">
        <v>7126</v>
      </c>
      <c r="C397" s="8" t="s">
        <v>7127</v>
      </c>
      <c r="D397" s="8" t="s">
        <v>7128</v>
      </c>
      <c r="E397" s="8" t="s">
        <v>7129</v>
      </c>
      <c r="F397" s="8" t="s">
        <v>7130</v>
      </c>
    </row>
    <row r="398" customHeight="1" spans="1:6">
      <c r="A398" s="6">
        <v>397</v>
      </c>
      <c r="B398" s="8" t="s">
        <v>7126</v>
      </c>
      <c r="C398" s="8" t="s">
        <v>7127</v>
      </c>
      <c r="D398" s="8" t="s">
        <v>7128</v>
      </c>
      <c r="E398" s="8" t="s">
        <v>7129</v>
      </c>
      <c r="F398" s="8" t="s">
        <v>7130</v>
      </c>
    </row>
    <row r="399" customHeight="1" spans="1:6">
      <c r="A399" s="6">
        <v>398</v>
      </c>
      <c r="B399" s="8" t="s">
        <v>7126</v>
      </c>
      <c r="C399" s="8" t="s">
        <v>7127</v>
      </c>
      <c r="D399" s="8" t="s">
        <v>7128</v>
      </c>
      <c r="E399" s="8" t="s">
        <v>7129</v>
      </c>
      <c r="F399" s="8" t="s">
        <v>7131</v>
      </c>
    </row>
    <row r="400" customHeight="1" spans="1:6">
      <c r="A400" s="6">
        <v>399</v>
      </c>
      <c r="B400" s="8" t="s">
        <v>7126</v>
      </c>
      <c r="C400" s="8" t="s">
        <v>7127</v>
      </c>
      <c r="D400" s="8" t="s">
        <v>7128</v>
      </c>
      <c r="E400" s="8" t="s">
        <v>7129</v>
      </c>
      <c r="F400" s="8" t="s">
        <v>7131</v>
      </c>
    </row>
    <row r="401" customHeight="1" spans="1:6">
      <c r="A401" s="6">
        <v>400</v>
      </c>
      <c r="B401" s="7" t="str">
        <f t="shared" ref="B401:B403" si="47">"978-7-5695-2308-9"</f>
        <v>978-7-5695-2308-9</v>
      </c>
      <c r="C401" s="7" t="str">
        <f t="shared" ref="C401:C403" si="48">"教师专业发展与职业道德修养"</f>
        <v>教师专业发展与职业道德修养</v>
      </c>
      <c r="D401" s="7" t="str">
        <f t="shared" ref="D401:D403" si="49">"主编龙宝新"</f>
        <v>主编龙宝新</v>
      </c>
      <c r="E401" s="7" t="str">
        <f t="shared" ref="E401:E403" si="50">"陕西师范大学出版总社"</f>
        <v>陕西师范大学出版总社</v>
      </c>
      <c r="F401" s="7" t="str">
        <f t="shared" ref="F401:F403" si="51">"G451.2/80=2D"</f>
        <v>G451.2/80=2D</v>
      </c>
    </row>
    <row r="402" customHeight="1" spans="1:6">
      <c r="A402" s="6">
        <v>401</v>
      </c>
      <c r="B402" s="7" t="str">
        <f t="shared" si="47"/>
        <v>978-7-5695-2308-9</v>
      </c>
      <c r="C402" s="7" t="str">
        <f t="shared" si="48"/>
        <v>教师专业发展与职业道德修养</v>
      </c>
      <c r="D402" s="7" t="str">
        <f t="shared" si="49"/>
        <v>主编龙宝新</v>
      </c>
      <c r="E402" s="7" t="str">
        <f t="shared" si="50"/>
        <v>陕西师范大学出版总社</v>
      </c>
      <c r="F402" s="7" t="str">
        <f t="shared" si="51"/>
        <v>G451.2/80=2D</v>
      </c>
    </row>
    <row r="403" customHeight="1" spans="1:6">
      <c r="A403" s="6">
        <v>402</v>
      </c>
      <c r="B403" s="7" t="str">
        <f t="shared" si="47"/>
        <v>978-7-5695-2308-9</v>
      </c>
      <c r="C403" s="7" t="str">
        <f t="shared" si="48"/>
        <v>教师专业发展与职业道德修养</v>
      </c>
      <c r="D403" s="7" t="str">
        <f t="shared" si="49"/>
        <v>主编龙宝新</v>
      </c>
      <c r="E403" s="7" t="str">
        <f t="shared" si="50"/>
        <v>陕西师范大学出版总社</v>
      </c>
      <c r="F403" s="7" t="str">
        <f t="shared" si="51"/>
        <v>G451.2/80=2D</v>
      </c>
    </row>
    <row r="404" customHeight="1" spans="1:6">
      <c r="A404" s="6">
        <v>403</v>
      </c>
      <c r="B404" s="7" t="str">
        <f t="shared" ref="B404:B406" si="52">"978-7-5702-1165-4"</f>
        <v>978-7-5702-1165-4</v>
      </c>
      <c r="C404" s="7" t="str">
        <f t="shared" ref="C404:C406" si="53">"我所理解的师德"</f>
        <v>我所理解的师德</v>
      </c>
      <c r="D404" s="7" t="str">
        <f t="shared" ref="D404:D406" si="54">"(苏) 苏霍姆林斯基著；魏禾译"</f>
        <v>(苏) 苏霍姆林斯基著；魏禾译</v>
      </c>
      <c r="E404" s="7" t="str">
        <f t="shared" ref="E404:E406" si="55">"长江文艺出版社"</f>
        <v>长江文艺出版社</v>
      </c>
      <c r="F404" s="7" t="str">
        <f t="shared" ref="F404:F406" si="56">"G451.6/121"</f>
        <v>G451.6/121</v>
      </c>
    </row>
    <row r="405" customHeight="1" spans="1:6">
      <c r="A405" s="6">
        <v>404</v>
      </c>
      <c r="B405" s="7" t="str">
        <f t="shared" si="52"/>
        <v>978-7-5702-1165-4</v>
      </c>
      <c r="C405" s="7" t="str">
        <f t="shared" si="53"/>
        <v>我所理解的师德</v>
      </c>
      <c r="D405" s="7" t="str">
        <f t="shared" si="54"/>
        <v>(苏) 苏霍姆林斯基著；魏禾译</v>
      </c>
      <c r="E405" s="7" t="str">
        <f t="shared" si="55"/>
        <v>长江文艺出版社</v>
      </c>
      <c r="F405" s="7" t="str">
        <f t="shared" si="56"/>
        <v>G451.6/121</v>
      </c>
    </row>
    <row r="406" customHeight="1" spans="1:6">
      <c r="A406" s="6">
        <v>405</v>
      </c>
      <c r="B406" s="7" t="str">
        <f t="shared" si="52"/>
        <v>978-7-5702-1165-4</v>
      </c>
      <c r="C406" s="7" t="str">
        <f t="shared" si="53"/>
        <v>我所理解的师德</v>
      </c>
      <c r="D406" s="7" t="str">
        <f t="shared" si="54"/>
        <v>(苏) 苏霍姆林斯基著；魏禾译</v>
      </c>
      <c r="E406" s="7" t="str">
        <f t="shared" si="55"/>
        <v>长江文艺出版社</v>
      </c>
      <c r="F406" s="7" t="str">
        <f t="shared" si="56"/>
        <v>G451.6/121</v>
      </c>
    </row>
    <row r="407" customHeight="1" spans="1:6">
      <c r="A407" s="6">
        <v>406</v>
      </c>
      <c r="B407" s="7" t="str">
        <f>"978-7-5130-7940-2"</f>
        <v>978-7-5130-7940-2</v>
      </c>
      <c r="C407" s="7" t="str">
        <f>"中国教育装备行业蓝皮书．2021版"</f>
        <v>中国教育装备行业蓝皮书．2021版</v>
      </c>
      <c r="D407" s="7" t="str">
        <f>"中国教育装备行业协会编"</f>
        <v>中国教育装备行业协会编</v>
      </c>
      <c r="E407" s="7" t="str">
        <f>"知识产权出版社"</f>
        <v>知识产权出版社</v>
      </c>
      <c r="F407" s="7" t="str">
        <f>"G484/2/2021"</f>
        <v>G484/2/2021</v>
      </c>
    </row>
    <row r="408" customHeight="1" spans="1:6">
      <c r="A408" s="6">
        <v>407</v>
      </c>
      <c r="B408" s="7" t="str">
        <f>"978-7-5130-7940-2"</f>
        <v>978-7-5130-7940-2</v>
      </c>
      <c r="C408" s="7" t="str">
        <f>"中国教育装备行业蓝皮书．2021版"</f>
        <v>中国教育装备行业蓝皮书．2021版</v>
      </c>
      <c r="D408" s="7" t="str">
        <f>"中国教育装备行业协会编"</f>
        <v>中国教育装备行业协会编</v>
      </c>
      <c r="E408" s="7" t="str">
        <f>"知识产权出版社"</f>
        <v>知识产权出版社</v>
      </c>
      <c r="F408" s="7" t="str">
        <f>"G484/2/2021"</f>
        <v>G484/2/2021</v>
      </c>
    </row>
    <row r="409" customHeight="1" spans="1:6">
      <c r="A409" s="6">
        <v>408</v>
      </c>
      <c r="B409" s="8" t="s">
        <v>7132</v>
      </c>
      <c r="C409" s="8" t="s">
        <v>7133</v>
      </c>
      <c r="D409" s="8" t="s">
        <v>7134</v>
      </c>
      <c r="E409" s="8" t="s">
        <v>549</v>
      </c>
      <c r="F409" s="8" t="s">
        <v>7135</v>
      </c>
    </row>
    <row r="410" customHeight="1" spans="1:6">
      <c r="A410" s="6">
        <v>409</v>
      </c>
      <c r="B410" s="8" t="s">
        <v>7132</v>
      </c>
      <c r="C410" s="8" t="s">
        <v>7133</v>
      </c>
      <c r="D410" s="8" t="s">
        <v>7134</v>
      </c>
      <c r="E410" s="8" t="s">
        <v>549</v>
      </c>
      <c r="F410" s="8" t="s">
        <v>7135</v>
      </c>
    </row>
    <row r="411" customHeight="1" spans="1:6">
      <c r="A411" s="6">
        <v>410</v>
      </c>
      <c r="B411" s="8" t="s">
        <v>7136</v>
      </c>
      <c r="C411" s="8" t="s">
        <v>7137</v>
      </c>
      <c r="D411" s="8" t="s">
        <v>7138</v>
      </c>
      <c r="E411" s="8" t="s">
        <v>549</v>
      </c>
      <c r="F411" s="8" t="s">
        <v>7139</v>
      </c>
    </row>
    <row r="412" customHeight="1" spans="1:6">
      <c r="A412" s="6">
        <v>411</v>
      </c>
      <c r="B412" s="8" t="s">
        <v>7136</v>
      </c>
      <c r="C412" s="8" t="s">
        <v>7137</v>
      </c>
      <c r="D412" s="8" t="s">
        <v>7138</v>
      </c>
      <c r="E412" s="8" t="s">
        <v>549</v>
      </c>
      <c r="F412" s="8" t="s">
        <v>7139</v>
      </c>
    </row>
    <row r="413" customHeight="1" spans="1:6">
      <c r="A413" s="6">
        <v>412</v>
      </c>
      <c r="B413" s="7" t="str">
        <f>"978-7-5720-0634-0"</f>
        <v>978-7-5720-0634-0</v>
      </c>
      <c r="C413" s="7" t="str">
        <f>"顶尖学校：芬兰学校的领导与管理：finnish school leadership and management"</f>
        <v>顶尖学校：芬兰学校的领导与管理：finnish school leadership and management</v>
      </c>
      <c r="D413" s="7" t="str">
        <f>"(芬兰) 艾瑞·博卡著Ari Pokka；马敏译"</f>
        <v>(芬兰) 艾瑞·博卡著Ari Pokka；马敏译</v>
      </c>
      <c r="E413" s="7" t="str">
        <f>"上海教育出版社"</f>
        <v>上海教育出版社</v>
      </c>
      <c r="F413" s="7" t="str">
        <f>"G553.1/2"</f>
        <v>G553.1/2</v>
      </c>
    </row>
    <row r="414" customHeight="1" spans="1:6">
      <c r="A414" s="6">
        <v>413</v>
      </c>
      <c r="B414" s="7" t="str">
        <f>"978-7-5720-0634-0"</f>
        <v>978-7-5720-0634-0</v>
      </c>
      <c r="C414" s="7" t="str">
        <f>"顶尖学校：芬兰学校的领导与管理：finnish school leadership and management"</f>
        <v>顶尖学校：芬兰学校的领导与管理：finnish school leadership and management</v>
      </c>
      <c r="D414" s="7" t="str">
        <f>"(芬兰) 艾瑞·博卡著Ari Pokka；马敏译"</f>
        <v>(芬兰) 艾瑞·博卡著Ari Pokka；马敏译</v>
      </c>
      <c r="E414" s="7" t="str">
        <f>"上海教育出版社"</f>
        <v>上海教育出版社</v>
      </c>
      <c r="F414" s="7" t="str">
        <f>"G553.1/2"</f>
        <v>G553.1/2</v>
      </c>
    </row>
    <row r="415" customHeight="1" spans="1:6">
      <c r="A415" s="6">
        <v>414</v>
      </c>
      <c r="B415" s="8" t="s">
        <v>2054</v>
      </c>
      <c r="C415" s="8" t="s">
        <v>7140</v>
      </c>
      <c r="D415" s="8" t="s">
        <v>7141</v>
      </c>
      <c r="E415" s="8" t="s">
        <v>2057</v>
      </c>
      <c r="F415" s="8" t="s">
        <v>7142</v>
      </c>
    </row>
    <row r="416" customHeight="1" spans="1:6">
      <c r="A416" s="6">
        <v>415</v>
      </c>
      <c r="B416" s="7" t="str">
        <f>"978-7-5208-1747-9"</f>
        <v>978-7-5208-1747-9</v>
      </c>
      <c r="C416" s="7" t="str">
        <f>"托育服务机构设置与供给需求研究"</f>
        <v>托育服务机构设置与供给需求研究</v>
      </c>
      <c r="D416" s="7" t="str">
        <f>"贺修炎著"</f>
        <v>贺修炎著</v>
      </c>
      <c r="E416" s="7" t="str">
        <f>"中国商业出版社"</f>
        <v>中国商业出版社</v>
      </c>
      <c r="F416" s="7" t="str">
        <f>"G61/92"</f>
        <v>G61/92</v>
      </c>
    </row>
    <row r="417" customHeight="1" spans="1:6">
      <c r="A417" s="6">
        <v>416</v>
      </c>
      <c r="B417" s="7" t="str">
        <f>"978-7-5208-1747-9"</f>
        <v>978-7-5208-1747-9</v>
      </c>
      <c r="C417" s="7" t="str">
        <f>"托育服务机构设置与供给需求研究"</f>
        <v>托育服务机构设置与供给需求研究</v>
      </c>
      <c r="D417" s="7" t="str">
        <f>"贺修炎著"</f>
        <v>贺修炎著</v>
      </c>
      <c r="E417" s="7" t="str">
        <f>"中国商业出版社"</f>
        <v>中国商业出版社</v>
      </c>
      <c r="F417" s="7" t="str">
        <f>"G61/92"</f>
        <v>G61/92</v>
      </c>
    </row>
    <row r="418" customHeight="1" spans="1:6">
      <c r="A418" s="6">
        <v>417</v>
      </c>
      <c r="B418" s="8" t="s">
        <v>7143</v>
      </c>
      <c r="C418" s="8" t="s">
        <v>7144</v>
      </c>
      <c r="D418" s="8" t="s">
        <v>7145</v>
      </c>
      <c r="E418" s="8" t="s">
        <v>33</v>
      </c>
      <c r="F418" s="8" t="s">
        <v>7146</v>
      </c>
    </row>
    <row r="419" customHeight="1" spans="1:6">
      <c r="A419" s="6">
        <v>418</v>
      </c>
      <c r="B419" s="8" t="s">
        <v>7143</v>
      </c>
      <c r="C419" s="8" t="s">
        <v>7144</v>
      </c>
      <c r="D419" s="8" t="s">
        <v>7145</v>
      </c>
      <c r="E419" s="8" t="s">
        <v>33</v>
      </c>
      <c r="F419" s="8" t="s">
        <v>7146</v>
      </c>
    </row>
    <row r="420" customHeight="1" spans="1:6">
      <c r="A420" s="6">
        <v>419</v>
      </c>
      <c r="B420" s="7" t="str">
        <f>"978-7-306-07113-2"</f>
        <v>978-7-306-07113-2</v>
      </c>
      <c r="C420" s="7" t="str">
        <f>"核心素养视域下的互动生态教学"</f>
        <v>核心素养视域下的互动生态教学</v>
      </c>
      <c r="D420" s="7" t="str">
        <f>"包明主编"</f>
        <v>包明主编</v>
      </c>
      <c r="E420" s="7" t="str">
        <f>"中山大学出版社"</f>
        <v>中山大学出版社</v>
      </c>
      <c r="F420" s="7" t="str">
        <f>"G632.0/106"</f>
        <v>G632.0/106</v>
      </c>
    </row>
    <row r="421" customHeight="1" spans="1:6">
      <c r="A421" s="6">
        <v>420</v>
      </c>
      <c r="B421" s="7" t="str">
        <f>"978-7-306-07113-2"</f>
        <v>978-7-306-07113-2</v>
      </c>
      <c r="C421" s="7" t="str">
        <f>"核心素养视域下的互动生态教学"</f>
        <v>核心素养视域下的互动生态教学</v>
      </c>
      <c r="D421" s="7" t="str">
        <f>"包明主编"</f>
        <v>包明主编</v>
      </c>
      <c r="E421" s="7" t="str">
        <f>"中山大学出版社"</f>
        <v>中山大学出版社</v>
      </c>
      <c r="F421" s="7" t="str">
        <f>"G632.0/106"</f>
        <v>G632.0/106</v>
      </c>
    </row>
    <row r="422" customHeight="1" spans="1:6">
      <c r="A422" s="6">
        <v>421</v>
      </c>
      <c r="B422" s="8" t="s">
        <v>7147</v>
      </c>
      <c r="C422" s="8" t="s">
        <v>7148</v>
      </c>
      <c r="D422" s="8" t="s">
        <v>7149</v>
      </c>
      <c r="E422" s="8" t="s">
        <v>549</v>
      </c>
      <c r="F422" s="8" t="s">
        <v>7150</v>
      </c>
    </row>
    <row r="423" customHeight="1" spans="1:6">
      <c r="A423" s="6">
        <v>422</v>
      </c>
      <c r="B423" s="8" t="s">
        <v>7147</v>
      </c>
      <c r="C423" s="8" t="s">
        <v>7148</v>
      </c>
      <c r="D423" s="8" t="s">
        <v>7149</v>
      </c>
      <c r="E423" s="8" t="s">
        <v>549</v>
      </c>
      <c r="F423" s="8" t="s">
        <v>7150</v>
      </c>
    </row>
    <row r="424" customHeight="1" spans="1:6">
      <c r="A424" s="6">
        <v>423</v>
      </c>
      <c r="B424" s="8" t="s">
        <v>7147</v>
      </c>
      <c r="C424" s="8" t="s">
        <v>7148</v>
      </c>
      <c r="D424" s="8" t="s">
        <v>7149</v>
      </c>
      <c r="E424" s="8" t="s">
        <v>549</v>
      </c>
      <c r="F424" s="8" t="s">
        <v>7150</v>
      </c>
    </row>
    <row r="425" customHeight="1" spans="1:6">
      <c r="A425" s="6">
        <v>424</v>
      </c>
      <c r="B425" s="8" t="s">
        <v>7151</v>
      </c>
      <c r="C425" s="8" t="s">
        <v>7152</v>
      </c>
      <c r="D425" s="8" t="s">
        <v>7153</v>
      </c>
      <c r="E425" s="8" t="s">
        <v>549</v>
      </c>
      <c r="F425" s="8" t="s">
        <v>7154</v>
      </c>
    </row>
    <row r="426" customHeight="1" spans="1:6">
      <c r="A426" s="6">
        <v>425</v>
      </c>
      <c r="B426" s="8" t="s">
        <v>7151</v>
      </c>
      <c r="C426" s="8" t="s">
        <v>7152</v>
      </c>
      <c r="D426" s="8" t="s">
        <v>7153</v>
      </c>
      <c r="E426" s="8" t="s">
        <v>549</v>
      </c>
      <c r="F426" s="8" t="s">
        <v>7154</v>
      </c>
    </row>
    <row r="427" customHeight="1" spans="1:6">
      <c r="A427" s="6">
        <v>426</v>
      </c>
      <c r="B427" s="7" t="str">
        <f t="shared" ref="B427:B429" si="57">"978-7-5450-8146-6"</f>
        <v>978-7-5450-8146-6</v>
      </c>
      <c r="C427" s="7" t="str">
        <f t="shared" ref="C427:C429" si="58">"主题情境探究教学例论"</f>
        <v>主题情境探究教学例论</v>
      </c>
      <c r="D427" s="7" t="str">
        <f t="shared" ref="D427:D429" si="59">"严卫林， 沈青青著"</f>
        <v>严卫林， 沈青青著</v>
      </c>
      <c r="E427" s="7" t="str">
        <f t="shared" ref="E427:E429" si="60">"陕西人民教育出版社"</f>
        <v>陕西人民教育出版社</v>
      </c>
      <c r="F427" s="7" t="str">
        <f t="shared" ref="F427:F429" si="61">"G633.202/10"</f>
        <v>G633.202/10</v>
      </c>
    </row>
    <row r="428" customHeight="1" spans="1:6">
      <c r="A428" s="6">
        <v>427</v>
      </c>
      <c r="B428" s="7" t="str">
        <f t="shared" si="57"/>
        <v>978-7-5450-8146-6</v>
      </c>
      <c r="C428" s="7" t="str">
        <f t="shared" si="58"/>
        <v>主题情境探究教学例论</v>
      </c>
      <c r="D428" s="7" t="str">
        <f t="shared" si="59"/>
        <v>严卫林， 沈青青著</v>
      </c>
      <c r="E428" s="7" t="str">
        <f t="shared" si="60"/>
        <v>陕西人民教育出版社</v>
      </c>
      <c r="F428" s="7" t="str">
        <f t="shared" si="61"/>
        <v>G633.202/10</v>
      </c>
    </row>
    <row r="429" customHeight="1" spans="1:6">
      <c r="A429" s="6">
        <v>428</v>
      </c>
      <c r="B429" s="7" t="str">
        <f t="shared" si="57"/>
        <v>978-7-5450-8146-6</v>
      </c>
      <c r="C429" s="7" t="str">
        <f t="shared" si="58"/>
        <v>主题情境探究教学例论</v>
      </c>
      <c r="D429" s="7" t="str">
        <f t="shared" si="59"/>
        <v>严卫林， 沈青青著</v>
      </c>
      <c r="E429" s="7" t="str">
        <f t="shared" si="60"/>
        <v>陕西人民教育出版社</v>
      </c>
      <c r="F429" s="7" t="str">
        <f t="shared" si="61"/>
        <v>G633.202/10</v>
      </c>
    </row>
    <row r="430" customHeight="1" spans="1:6">
      <c r="A430" s="6">
        <v>429</v>
      </c>
      <c r="B430" s="8" t="s">
        <v>7155</v>
      </c>
      <c r="C430" s="8" t="s">
        <v>7156</v>
      </c>
      <c r="D430" s="8" t="s">
        <v>7157</v>
      </c>
      <c r="E430" s="8" t="s">
        <v>298</v>
      </c>
      <c r="F430" s="8" t="s">
        <v>7158</v>
      </c>
    </row>
    <row r="431" customHeight="1" spans="1:6">
      <c r="A431" s="6">
        <v>430</v>
      </c>
      <c r="B431" s="8" t="s">
        <v>7155</v>
      </c>
      <c r="C431" s="8" t="s">
        <v>7156</v>
      </c>
      <c r="D431" s="8" t="s">
        <v>7157</v>
      </c>
      <c r="E431" s="8" t="s">
        <v>298</v>
      </c>
      <c r="F431" s="8" t="s">
        <v>7158</v>
      </c>
    </row>
    <row r="432" customHeight="1" spans="1:6">
      <c r="A432" s="6">
        <v>431</v>
      </c>
      <c r="B432" s="8" t="s">
        <v>7159</v>
      </c>
      <c r="C432" s="8" t="s">
        <v>7160</v>
      </c>
      <c r="D432" s="8" t="s">
        <v>7161</v>
      </c>
      <c r="E432" s="8" t="s">
        <v>2566</v>
      </c>
      <c r="F432" s="8" t="s">
        <v>7162</v>
      </c>
    </row>
    <row r="433" customHeight="1" spans="1:6">
      <c r="A433" s="6">
        <v>432</v>
      </c>
      <c r="B433" s="8" t="s">
        <v>7159</v>
      </c>
      <c r="C433" s="8" t="s">
        <v>7160</v>
      </c>
      <c r="D433" s="8" t="s">
        <v>7161</v>
      </c>
      <c r="E433" s="8" t="s">
        <v>2566</v>
      </c>
      <c r="F433" s="8" t="s">
        <v>7162</v>
      </c>
    </row>
    <row r="434" customHeight="1" spans="1:6">
      <c r="A434" s="6">
        <v>433</v>
      </c>
      <c r="B434" s="7" t="str">
        <f>"978-7-108-07004-3"</f>
        <v>978-7-108-07004-3</v>
      </c>
      <c r="C434" s="7" t="str">
        <f>"作文十九问"</f>
        <v>作文十九问</v>
      </c>
      <c r="D434" s="7" t="str">
        <f>"王鼎钧著"</f>
        <v>王鼎钧著</v>
      </c>
      <c r="E434" s="7" t="str">
        <f>"三联书店"</f>
        <v>三联书店</v>
      </c>
      <c r="F434" s="7" t="str">
        <f>"G634.343/25"</f>
        <v>G634.343/25</v>
      </c>
    </row>
    <row r="435" customHeight="1" spans="1:6">
      <c r="A435" s="6">
        <v>434</v>
      </c>
      <c r="B435" s="7" t="str">
        <f>"978-7-108-07004-3"</f>
        <v>978-7-108-07004-3</v>
      </c>
      <c r="C435" s="7" t="str">
        <f>"作文十九问"</f>
        <v>作文十九问</v>
      </c>
      <c r="D435" s="7" t="str">
        <f>"王鼎钧著"</f>
        <v>王鼎钧著</v>
      </c>
      <c r="E435" s="7" t="str">
        <f>"三联书店"</f>
        <v>三联书店</v>
      </c>
      <c r="F435" s="7" t="str">
        <f>"G634.343/25"</f>
        <v>G634.343/25</v>
      </c>
    </row>
    <row r="436" customHeight="1" spans="1:6">
      <c r="A436" s="6">
        <v>435</v>
      </c>
      <c r="B436" s="8" t="s">
        <v>7163</v>
      </c>
      <c r="C436" s="8" t="s">
        <v>7164</v>
      </c>
      <c r="D436" s="8" t="s">
        <v>7165</v>
      </c>
      <c r="E436" s="8" t="s">
        <v>549</v>
      </c>
      <c r="F436" s="8" t="s">
        <v>7166</v>
      </c>
    </row>
    <row r="437" customHeight="1" spans="1:6">
      <c r="A437" s="6">
        <v>436</v>
      </c>
      <c r="B437" s="8" t="s">
        <v>7163</v>
      </c>
      <c r="C437" s="8" t="s">
        <v>7164</v>
      </c>
      <c r="D437" s="8" t="s">
        <v>7165</v>
      </c>
      <c r="E437" s="8" t="s">
        <v>549</v>
      </c>
      <c r="F437" s="8" t="s">
        <v>7166</v>
      </c>
    </row>
    <row r="438" customHeight="1" spans="1:6">
      <c r="A438" s="6">
        <v>437</v>
      </c>
      <c r="B438" s="8" t="s">
        <v>7167</v>
      </c>
      <c r="C438" s="8" t="s">
        <v>7168</v>
      </c>
      <c r="D438" s="8" t="s">
        <v>7169</v>
      </c>
      <c r="E438" s="8" t="s">
        <v>33</v>
      </c>
      <c r="F438" s="8" t="s">
        <v>7170</v>
      </c>
    </row>
    <row r="439" customHeight="1" spans="1:6">
      <c r="A439" s="6">
        <v>438</v>
      </c>
      <c r="B439" s="8" t="s">
        <v>7167</v>
      </c>
      <c r="C439" s="8" t="s">
        <v>7168</v>
      </c>
      <c r="D439" s="8" t="s">
        <v>7169</v>
      </c>
      <c r="E439" s="8" t="s">
        <v>33</v>
      </c>
      <c r="F439" s="8" t="s">
        <v>7170</v>
      </c>
    </row>
    <row r="440" customHeight="1" spans="1:6">
      <c r="A440" s="6">
        <v>439</v>
      </c>
      <c r="B440" s="7" t="str">
        <f>"978-7-5475-1824-3"</f>
        <v>978-7-5475-1824-3</v>
      </c>
      <c r="C440" s="7" t="str">
        <f>"新媒介与学校内涵发展转型"</f>
        <v>新媒介与学校内涵发展转型</v>
      </c>
      <c r="D440" s="7" t="str">
        <f>"王冰著"</f>
        <v>王冰著</v>
      </c>
      <c r="E440" s="7" t="str">
        <f>"中西书局"</f>
        <v>中西书局</v>
      </c>
      <c r="F440" s="7" t="str">
        <f>"G637/51"</f>
        <v>G637/51</v>
      </c>
    </row>
    <row r="441" customHeight="1" spans="1:6">
      <c r="A441" s="6">
        <v>440</v>
      </c>
      <c r="B441" s="7" t="str">
        <f>"978-7-5475-1824-3"</f>
        <v>978-7-5475-1824-3</v>
      </c>
      <c r="C441" s="7" t="str">
        <f>"新媒介与学校内涵发展转型"</f>
        <v>新媒介与学校内涵发展转型</v>
      </c>
      <c r="D441" s="7" t="str">
        <f>"王冰著"</f>
        <v>王冰著</v>
      </c>
      <c r="E441" s="7" t="str">
        <f>"中西书局"</f>
        <v>中西书局</v>
      </c>
      <c r="F441" s="7" t="str">
        <f>"G637/51"</f>
        <v>G637/51</v>
      </c>
    </row>
    <row r="442" customHeight="1" spans="1:6">
      <c r="A442" s="6">
        <v>441</v>
      </c>
      <c r="B442" s="8" t="s">
        <v>7171</v>
      </c>
      <c r="C442" s="8" t="s">
        <v>7172</v>
      </c>
      <c r="D442" s="8" t="s">
        <v>7173</v>
      </c>
      <c r="E442" s="8" t="s">
        <v>549</v>
      </c>
      <c r="F442" s="8" t="s">
        <v>7174</v>
      </c>
    </row>
    <row r="443" customHeight="1" spans="1:6">
      <c r="A443" s="6">
        <v>442</v>
      </c>
      <c r="B443" s="8" t="s">
        <v>7171</v>
      </c>
      <c r="C443" s="8" t="s">
        <v>7172</v>
      </c>
      <c r="D443" s="8" t="s">
        <v>7173</v>
      </c>
      <c r="E443" s="8" t="s">
        <v>549</v>
      </c>
      <c r="F443" s="8" t="s">
        <v>7174</v>
      </c>
    </row>
    <row r="444" customHeight="1" spans="1:6">
      <c r="A444" s="6">
        <v>443</v>
      </c>
      <c r="B444" s="7" t="str">
        <f>"978-7-5096-7408-6"</f>
        <v>978-7-5096-7408-6</v>
      </c>
      <c r="C444" s="7" t="str">
        <f>"大学生创新行为与学业成就：概念、测量与影响因素：concept， measurement and influencing factors"</f>
        <v>大学生创新行为与学业成就：概念、测量与影响因素：concept， measurement and influencing factors</v>
      </c>
      <c r="D444" s="7" t="str">
        <f>"李宪印等著"</f>
        <v>李宪印等著</v>
      </c>
      <c r="E444" s="7" t="str">
        <f>"经济管理出版社"</f>
        <v>经济管理出版社</v>
      </c>
      <c r="F444" s="7" t="str">
        <f>"G64/47"</f>
        <v>G64/47</v>
      </c>
    </row>
    <row r="445" customHeight="1" spans="1:6">
      <c r="A445" s="6">
        <v>444</v>
      </c>
      <c r="B445" s="7" t="str">
        <f>"978-7-5096-7408-6"</f>
        <v>978-7-5096-7408-6</v>
      </c>
      <c r="C445" s="7" t="str">
        <f>"大学生创新行为与学业成就：概念、测量与影响因素：concept， measurement and influencing factors"</f>
        <v>大学生创新行为与学业成就：概念、测量与影响因素：concept， measurement and influencing factors</v>
      </c>
      <c r="D445" s="7" t="str">
        <f>"李宪印等著"</f>
        <v>李宪印等著</v>
      </c>
      <c r="E445" s="7" t="str">
        <f>"经济管理出版社"</f>
        <v>经济管理出版社</v>
      </c>
      <c r="F445" s="7" t="str">
        <f>"G64/47"</f>
        <v>G64/47</v>
      </c>
    </row>
    <row r="446" customHeight="1" spans="1:6">
      <c r="A446" s="6">
        <v>445</v>
      </c>
      <c r="B446" s="7" t="str">
        <f>"978-7-5608-9632-8"</f>
        <v>978-7-5608-9632-8</v>
      </c>
      <c r="C446" s="7" t="str">
        <f>"同济通识教育探索．第一辑"</f>
        <v>同济通识教育探索．第一辑</v>
      </c>
      <c r="D446" s="7" t="str">
        <f>"黄一如， 张宇钟主编"</f>
        <v>黄一如， 张宇钟主编</v>
      </c>
      <c r="E446" s="7" t="str">
        <f>"同济大学出版社"</f>
        <v>同济大学出版社</v>
      </c>
      <c r="F446" s="7" t="str">
        <f>"G640/166/1"</f>
        <v>G640/166/1</v>
      </c>
    </row>
    <row r="447" customHeight="1" spans="1:6">
      <c r="A447" s="6">
        <v>446</v>
      </c>
      <c r="B447" s="7" t="str">
        <f>"978-7-5608-9632-8"</f>
        <v>978-7-5608-9632-8</v>
      </c>
      <c r="C447" s="7" t="str">
        <f>"同济通识教育探索．第一辑"</f>
        <v>同济通识教育探索．第一辑</v>
      </c>
      <c r="D447" s="7" t="str">
        <f>"黄一如， 张宇钟主编"</f>
        <v>黄一如， 张宇钟主编</v>
      </c>
      <c r="E447" s="7" t="str">
        <f>"同济大学出版社"</f>
        <v>同济大学出版社</v>
      </c>
      <c r="F447" s="7" t="str">
        <f>"G640/166/1"</f>
        <v>G640/166/1</v>
      </c>
    </row>
    <row r="448" customHeight="1" spans="1:6">
      <c r="A448" s="6">
        <v>447</v>
      </c>
      <c r="B448" s="8" t="s">
        <v>7175</v>
      </c>
      <c r="C448" s="8" t="s">
        <v>7176</v>
      </c>
      <c r="D448" s="8" t="s">
        <v>7177</v>
      </c>
      <c r="E448" s="8" t="s">
        <v>239</v>
      </c>
      <c r="F448" s="8" t="s">
        <v>7178</v>
      </c>
    </row>
    <row r="449" customHeight="1" spans="1:6">
      <c r="A449" s="6">
        <v>448</v>
      </c>
      <c r="B449" s="8" t="s">
        <v>7175</v>
      </c>
      <c r="C449" s="8" t="s">
        <v>7176</v>
      </c>
      <c r="D449" s="8" t="s">
        <v>7177</v>
      </c>
      <c r="E449" s="8" t="s">
        <v>239</v>
      </c>
      <c r="F449" s="8" t="s">
        <v>7178</v>
      </c>
    </row>
    <row r="450" customHeight="1" spans="1:6">
      <c r="A450" s="6">
        <v>449</v>
      </c>
      <c r="B450" s="8" t="s">
        <v>7179</v>
      </c>
      <c r="C450" s="8" t="s">
        <v>7180</v>
      </c>
      <c r="D450" s="8" t="s">
        <v>7181</v>
      </c>
      <c r="E450" s="8" t="s">
        <v>1617</v>
      </c>
      <c r="F450" s="8" t="s">
        <v>7182</v>
      </c>
    </row>
    <row r="451" customHeight="1" spans="1:6">
      <c r="A451" s="6">
        <v>450</v>
      </c>
      <c r="B451" s="8" t="s">
        <v>7179</v>
      </c>
      <c r="C451" s="8" t="s">
        <v>7180</v>
      </c>
      <c r="D451" s="8" t="s">
        <v>7181</v>
      </c>
      <c r="E451" s="8" t="s">
        <v>1617</v>
      </c>
      <c r="F451" s="8" t="s">
        <v>7182</v>
      </c>
    </row>
    <row r="452" customHeight="1" spans="1:6">
      <c r="A452" s="6">
        <v>451</v>
      </c>
      <c r="B452" s="8" t="s">
        <v>7183</v>
      </c>
      <c r="C452" s="8" t="s">
        <v>7184</v>
      </c>
      <c r="D452" s="8" t="s">
        <v>7185</v>
      </c>
      <c r="E452" s="8" t="s">
        <v>1189</v>
      </c>
      <c r="F452" s="8" t="s">
        <v>7186</v>
      </c>
    </row>
    <row r="453" customHeight="1" spans="1:6">
      <c r="A453" s="6">
        <v>452</v>
      </c>
      <c r="B453" s="8" t="s">
        <v>7183</v>
      </c>
      <c r="C453" s="8" t="s">
        <v>7184</v>
      </c>
      <c r="D453" s="8" t="s">
        <v>7185</v>
      </c>
      <c r="E453" s="8" t="s">
        <v>1189</v>
      </c>
      <c r="F453" s="8" t="s">
        <v>7186</v>
      </c>
    </row>
    <row r="454" customHeight="1" spans="1:6">
      <c r="A454" s="6">
        <v>453</v>
      </c>
      <c r="B454" s="8" t="s">
        <v>7187</v>
      </c>
      <c r="C454" s="8" t="s">
        <v>7188</v>
      </c>
      <c r="D454" s="8" t="s">
        <v>7189</v>
      </c>
      <c r="E454" s="8" t="s">
        <v>571</v>
      </c>
      <c r="F454" s="8" t="s">
        <v>7190</v>
      </c>
    </row>
    <row r="455" customHeight="1" spans="1:6">
      <c r="A455" s="6">
        <v>454</v>
      </c>
      <c r="B455" s="8" t="s">
        <v>7187</v>
      </c>
      <c r="C455" s="8" t="s">
        <v>7188</v>
      </c>
      <c r="D455" s="8" t="s">
        <v>7189</v>
      </c>
      <c r="E455" s="8" t="s">
        <v>571</v>
      </c>
      <c r="F455" s="8" t="s">
        <v>7190</v>
      </c>
    </row>
    <row r="456" customHeight="1" spans="1:6">
      <c r="A456" s="6">
        <v>455</v>
      </c>
      <c r="B456" s="8" t="s">
        <v>7191</v>
      </c>
      <c r="C456" s="8" t="s">
        <v>7192</v>
      </c>
      <c r="D456" s="8" t="s">
        <v>7193</v>
      </c>
      <c r="E456" s="8" t="s">
        <v>270</v>
      </c>
      <c r="F456" s="8" t="s">
        <v>7194</v>
      </c>
    </row>
    <row r="457" customHeight="1" spans="1:6">
      <c r="A457" s="6">
        <v>456</v>
      </c>
      <c r="B457" s="8" t="s">
        <v>7191</v>
      </c>
      <c r="C457" s="8" t="s">
        <v>7192</v>
      </c>
      <c r="D457" s="8" t="s">
        <v>7193</v>
      </c>
      <c r="E457" s="8" t="s">
        <v>270</v>
      </c>
      <c r="F457" s="8" t="s">
        <v>7194</v>
      </c>
    </row>
    <row r="458" customHeight="1" spans="1:6">
      <c r="A458" s="6">
        <v>457</v>
      </c>
      <c r="B458" s="8" t="s">
        <v>7195</v>
      </c>
      <c r="C458" s="8" t="s">
        <v>7196</v>
      </c>
      <c r="D458" s="8" t="s">
        <v>7197</v>
      </c>
      <c r="E458" s="8" t="s">
        <v>283</v>
      </c>
      <c r="F458" s="8" t="s">
        <v>7198</v>
      </c>
    </row>
    <row r="459" customHeight="1" spans="1:6">
      <c r="A459" s="6">
        <v>458</v>
      </c>
      <c r="B459" s="8" t="s">
        <v>7195</v>
      </c>
      <c r="C459" s="8" t="s">
        <v>7196</v>
      </c>
      <c r="D459" s="8" t="s">
        <v>7197</v>
      </c>
      <c r="E459" s="8" t="s">
        <v>283</v>
      </c>
      <c r="F459" s="8" t="s">
        <v>7198</v>
      </c>
    </row>
    <row r="460" customHeight="1" spans="1:6">
      <c r="A460" s="6">
        <v>459</v>
      </c>
      <c r="B460" s="8" t="s">
        <v>7199</v>
      </c>
      <c r="C460" s="8" t="s">
        <v>7200</v>
      </c>
      <c r="D460" s="8" t="s">
        <v>7201</v>
      </c>
      <c r="E460" s="8" t="s">
        <v>7202</v>
      </c>
      <c r="F460" s="8" t="s">
        <v>7203</v>
      </c>
    </row>
    <row r="461" customHeight="1" spans="1:6">
      <c r="A461" s="6">
        <v>460</v>
      </c>
      <c r="B461" s="8" t="s">
        <v>7199</v>
      </c>
      <c r="C461" s="8" t="s">
        <v>7200</v>
      </c>
      <c r="D461" s="8" t="s">
        <v>7201</v>
      </c>
      <c r="E461" s="8" t="s">
        <v>7202</v>
      </c>
      <c r="F461" s="8" t="s">
        <v>7203</v>
      </c>
    </row>
    <row r="462" customHeight="1" spans="1:6">
      <c r="A462" s="6">
        <v>461</v>
      </c>
      <c r="B462" s="8" t="s">
        <v>7204</v>
      </c>
      <c r="C462" s="8" t="s">
        <v>7205</v>
      </c>
      <c r="D462" s="8" t="s">
        <v>7206</v>
      </c>
      <c r="E462" s="8" t="s">
        <v>1306</v>
      </c>
      <c r="F462" s="8" t="s">
        <v>7207</v>
      </c>
    </row>
    <row r="463" customHeight="1" spans="1:6">
      <c r="A463" s="6">
        <v>462</v>
      </c>
      <c r="B463" s="8" t="s">
        <v>7204</v>
      </c>
      <c r="C463" s="8" t="s">
        <v>7205</v>
      </c>
      <c r="D463" s="8" t="s">
        <v>7206</v>
      </c>
      <c r="E463" s="8" t="s">
        <v>1306</v>
      </c>
      <c r="F463" s="8" t="s">
        <v>7207</v>
      </c>
    </row>
    <row r="464" customHeight="1" spans="1:6">
      <c r="A464" s="6">
        <v>463</v>
      </c>
      <c r="B464" s="8" t="s">
        <v>7208</v>
      </c>
      <c r="C464" s="8" t="s">
        <v>7209</v>
      </c>
      <c r="D464" s="8" t="s">
        <v>7210</v>
      </c>
      <c r="E464" s="8" t="s">
        <v>7202</v>
      </c>
      <c r="F464" s="8" t="s">
        <v>7211</v>
      </c>
    </row>
    <row r="465" customHeight="1" spans="1:6">
      <c r="A465" s="6">
        <v>464</v>
      </c>
      <c r="B465" s="8" t="s">
        <v>7208</v>
      </c>
      <c r="C465" s="8" t="s">
        <v>7209</v>
      </c>
      <c r="D465" s="8" t="s">
        <v>7210</v>
      </c>
      <c r="E465" s="8" t="s">
        <v>7202</v>
      </c>
      <c r="F465" s="8" t="s">
        <v>7211</v>
      </c>
    </row>
    <row r="466" customHeight="1" spans="1:6">
      <c r="A466" s="6">
        <v>465</v>
      </c>
      <c r="B466" s="7" t="str">
        <f>"978-7-5671-3403-4"</f>
        <v>978-7-5671-3403-4</v>
      </c>
      <c r="C466" s="7" t="str">
        <f>"媒体中的我们：聚焦上海大学课程思政：2020"</f>
        <v>媒体中的我们：聚焦上海大学课程思政：2020</v>
      </c>
      <c r="D466" s="7" t="str">
        <f>"顾晓英主编"</f>
        <v>顾晓英主编</v>
      </c>
      <c r="E466" s="7" t="str">
        <f>"上海大学出版社"</f>
        <v>上海大学出版社</v>
      </c>
      <c r="F466" s="7" t="str">
        <f>"G641/450/2020"</f>
        <v>G641/450/2020</v>
      </c>
    </row>
    <row r="467" customHeight="1" spans="1:6">
      <c r="A467" s="6">
        <v>466</v>
      </c>
      <c r="B467" s="7" t="str">
        <f>"978-7-5671-3403-4"</f>
        <v>978-7-5671-3403-4</v>
      </c>
      <c r="C467" s="7" t="str">
        <f>"媒体中的我们：聚焦上海大学课程思政：2020"</f>
        <v>媒体中的我们：聚焦上海大学课程思政：2020</v>
      </c>
      <c r="D467" s="7" t="str">
        <f>"顾晓英主编"</f>
        <v>顾晓英主编</v>
      </c>
      <c r="E467" s="7" t="str">
        <f>"上海大学出版社"</f>
        <v>上海大学出版社</v>
      </c>
      <c r="F467" s="7" t="str">
        <f>"G641/450/2020"</f>
        <v>G641/450/2020</v>
      </c>
    </row>
    <row r="468" customHeight="1" spans="1:6">
      <c r="A468" s="6">
        <v>467</v>
      </c>
      <c r="B468" s="7" t="str">
        <f>"978-7-307-22524-4"</f>
        <v>978-7-307-22524-4</v>
      </c>
      <c r="C468" s="7" t="str">
        <f>"高等教育基本规律视阈下的思政课教学改革与创新"</f>
        <v>高等教育基本规律视阈下的思政课教学改革与创新</v>
      </c>
      <c r="D468" s="7" t="str">
        <f>"李腊生著"</f>
        <v>李腊生著</v>
      </c>
      <c r="E468" s="7" t="str">
        <f>"武汉大学出版社"</f>
        <v>武汉大学出版社</v>
      </c>
      <c r="F468" s="7" t="str">
        <f>"G641/491"</f>
        <v>G641/491</v>
      </c>
    </row>
    <row r="469" customHeight="1" spans="1:6">
      <c r="A469" s="6">
        <v>468</v>
      </c>
      <c r="B469" s="7" t="str">
        <f>"978-7-307-22524-4"</f>
        <v>978-7-307-22524-4</v>
      </c>
      <c r="C469" s="7" t="str">
        <f>"高等教育基本规律视阈下的思政课教学改革与创新"</f>
        <v>高等教育基本规律视阈下的思政课教学改革与创新</v>
      </c>
      <c r="D469" s="7" t="str">
        <f>"李腊生著"</f>
        <v>李腊生著</v>
      </c>
      <c r="E469" s="7" t="str">
        <f>"武汉大学出版社"</f>
        <v>武汉大学出版社</v>
      </c>
      <c r="F469" s="7" t="str">
        <f>"G641/491"</f>
        <v>G641/491</v>
      </c>
    </row>
    <row r="470" customHeight="1" spans="1:6">
      <c r="A470" s="6">
        <v>469</v>
      </c>
      <c r="B470" s="7" t="str">
        <f>"978-7-5225-0216-8"</f>
        <v>978-7-5225-0216-8</v>
      </c>
      <c r="C470" s="7" t="str">
        <f>"红色文化融入高校“大思政”育人研究"</f>
        <v>红色文化融入高校“大思政”育人研究</v>
      </c>
      <c r="D470" s="7" t="str">
        <f>"王敏， 滕淑娜著"</f>
        <v>王敏， 滕淑娜著</v>
      </c>
      <c r="E470" s="7" t="str">
        <f t="shared" ref="E470:E475" si="62">"九州出版社"</f>
        <v>九州出版社</v>
      </c>
      <c r="F470" s="7" t="str">
        <f>"G641/492"</f>
        <v>G641/492</v>
      </c>
    </row>
    <row r="471" customHeight="1" spans="1:6">
      <c r="A471" s="6">
        <v>470</v>
      </c>
      <c r="B471" s="7" t="str">
        <f>"978-7-5225-0216-8"</f>
        <v>978-7-5225-0216-8</v>
      </c>
      <c r="C471" s="7" t="str">
        <f>"红色文化融入高校“大思政”育人研究"</f>
        <v>红色文化融入高校“大思政”育人研究</v>
      </c>
      <c r="D471" s="7" t="str">
        <f>"王敏， 滕淑娜著"</f>
        <v>王敏， 滕淑娜著</v>
      </c>
      <c r="E471" s="7" t="str">
        <f t="shared" si="62"/>
        <v>九州出版社</v>
      </c>
      <c r="F471" s="7" t="str">
        <f>"G641/492"</f>
        <v>G641/492</v>
      </c>
    </row>
    <row r="472" customHeight="1" spans="1:6">
      <c r="A472" s="6">
        <v>471</v>
      </c>
      <c r="B472" s="7" t="str">
        <f>"978-7-5164-2325-7"</f>
        <v>978-7-5164-2325-7</v>
      </c>
      <c r="C472" s="7" t="str">
        <f>"新时代思想政治教育协同育人原理与实践研究"</f>
        <v>新时代思想政治教育协同育人原理与实践研究</v>
      </c>
      <c r="D472" s="7" t="str">
        <f>"何宗元著"</f>
        <v>何宗元著</v>
      </c>
      <c r="E472" s="7" t="str">
        <f>"企业管理出版社"</f>
        <v>企业管理出版社</v>
      </c>
      <c r="F472" s="7" t="str">
        <f>"G641/493"</f>
        <v>G641/493</v>
      </c>
    </row>
    <row r="473" customHeight="1" spans="1:6">
      <c r="A473" s="6">
        <v>472</v>
      </c>
      <c r="B473" s="7" t="str">
        <f>"978-7-5164-2325-7"</f>
        <v>978-7-5164-2325-7</v>
      </c>
      <c r="C473" s="7" t="str">
        <f>"新时代思想政治教育协同育人原理与实践研究"</f>
        <v>新时代思想政治教育协同育人原理与实践研究</v>
      </c>
      <c r="D473" s="7" t="str">
        <f>"何宗元著"</f>
        <v>何宗元著</v>
      </c>
      <c r="E473" s="7" t="str">
        <f>"企业管理出版社"</f>
        <v>企业管理出版社</v>
      </c>
      <c r="F473" s="7" t="str">
        <f>"G641/493"</f>
        <v>G641/493</v>
      </c>
    </row>
    <row r="474" customHeight="1" spans="1:6">
      <c r="A474" s="6">
        <v>473</v>
      </c>
      <c r="B474" s="7" t="str">
        <f>"978-7-5108-9546-3"</f>
        <v>978-7-5108-9546-3</v>
      </c>
      <c r="C474" s="7" t="str">
        <f>"新时代背景下高校思想政治教育创新发展研究"</f>
        <v>新时代背景下高校思想政治教育创新发展研究</v>
      </c>
      <c r="D474" s="7" t="str">
        <f>"闻竹， 李康著"</f>
        <v>闻竹， 李康著</v>
      </c>
      <c r="E474" s="7" t="str">
        <f t="shared" si="62"/>
        <v>九州出版社</v>
      </c>
      <c r="F474" s="7" t="str">
        <f>"G641/494"</f>
        <v>G641/494</v>
      </c>
    </row>
    <row r="475" customHeight="1" spans="1:6">
      <c r="A475" s="6">
        <v>474</v>
      </c>
      <c r="B475" s="7" t="str">
        <f>"978-7-5108-9546-3"</f>
        <v>978-7-5108-9546-3</v>
      </c>
      <c r="C475" s="7" t="str">
        <f>"新时代背景下高校思想政治教育创新发展研究"</f>
        <v>新时代背景下高校思想政治教育创新发展研究</v>
      </c>
      <c r="D475" s="7" t="str">
        <f>"闻竹， 李康著"</f>
        <v>闻竹， 李康著</v>
      </c>
      <c r="E475" s="7" t="str">
        <f t="shared" si="62"/>
        <v>九州出版社</v>
      </c>
      <c r="F475" s="7" t="str">
        <f>"G641/494"</f>
        <v>G641/494</v>
      </c>
    </row>
    <row r="476" customHeight="1" spans="1:6">
      <c r="A476" s="6">
        <v>475</v>
      </c>
      <c r="B476" s="7" t="str">
        <f>"978-7-5761-0211-6"</f>
        <v>978-7-5761-0211-6</v>
      </c>
      <c r="C476" s="7" t="str">
        <f>"守正创新：改革开放40年高校思想政治理论课建设经验研究"</f>
        <v>守正创新：改革开放40年高校思想政治理论课建设经验研究</v>
      </c>
      <c r="D476" s="7" t="str">
        <f>"王新华， 齐凯君著"</f>
        <v>王新华， 齐凯君著</v>
      </c>
      <c r="E476" s="7" t="str">
        <f>"燕山大学出版社"</f>
        <v>燕山大学出版社</v>
      </c>
      <c r="F476" s="7" t="str">
        <f>"G641/495"</f>
        <v>G641/495</v>
      </c>
    </row>
    <row r="477" customHeight="1" spans="1:6">
      <c r="A477" s="6">
        <v>476</v>
      </c>
      <c r="B477" s="7" t="str">
        <f>"978-7-5761-0211-6"</f>
        <v>978-7-5761-0211-6</v>
      </c>
      <c r="C477" s="7" t="str">
        <f>"守正创新：改革开放40年高校思想政治理论课建设经验研究"</f>
        <v>守正创新：改革开放40年高校思想政治理论课建设经验研究</v>
      </c>
      <c r="D477" s="7" t="str">
        <f>"王新华， 齐凯君著"</f>
        <v>王新华， 齐凯君著</v>
      </c>
      <c r="E477" s="7" t="str">
        <f>"燕山大学出版社"</f>
        <v>燕山大学出版社</v>
      </c>
      <c r="F477" s="7" t="str">
        <f>"G641/495"</f>
        <v>G641/495</v>
      </c>
    </row>
    <row r="478" customHeight="1" spans="1:6">
      <c r="A478" s="6">
        <v>477</v>
      </c>
      <c r="B478" s="7" t="str">
        <f t="shared" ref="B478:B480" si="63">"978-7-5622-7200-7"</f>
        <v>978-7-5622-7200-7</v>
      </c>
      <c r="C478" s="7" t="str">
        <f t="shared" ref="C478:C480" si="64">"新时代高校思想政治教育的创新理路与关键问题"</f>
        <v>新时代高校思想政治教育的创新理路与关键问题</v>
      </c>
      <c r="D478" s="7" t="str">
        <f t="shared" ref="D478:D480" si="65">"王石径著"</f>
        <v>王石径著</v>
      </c>
      <c r="E478" s="7" t="str">
        <f t="shared" ref="E478:E480" si="66">"华中师范大学出版社"</f>
        <v>华中师范大学出版社</v>
      </c>
      <c r="F478" s="7" t="str">
        <f t="shared" ref="F478:F480" si="67">"G641/496"</f>
        <v>G641/496</v>
      </c>
    </row>
    <row r="479" customHeight="1" spans="1:6">
      <c r="A479" s="6">
        <v>478</v>
      </c>
      <c r="B479" s="7" t="str">
        <f t="shared" si="63"/>
        <v>978-7-5622-7200-7</v>
      </c>
      <c r="C479" s="7" t="str">
        <f t="shared" si="64"/>
        <v>新时代高校思想政治教育的创新理路与关键问题</v>
      </c>
      <c r="D479" s="7" t="str">
        <f t="shared" si="65"/>
        <v>王石径著</v>
      </c>
      <c r="E479" s="7" t="str">
        <f t="shared" si="66"/>
        <v>华中师范大学出版社</v>
      </c>
      <c r="F479" s="7" t="str">
        <f t="shared" si="67"/>
        <v>G641/496</v>
      </c>
    </row>
    <row r="480" customHeight="1" spans="1:6">
      <c r="A480" s="6">
        <v>479</v>
      </c>
      <c r="B480" s="7" t="str">
        <f t="shared" si="63"/>
        <v>978-7-5622-7200-7</v>
      </c>
      <c r="C480" s="7" t="str">
        <f t="shared" si="64"/>
        <v>新时代高校思想政治教育的创新理路与关键问题</v>
      </c>
      <c r="D480" s="7" t="str">
        <f t="shared" si="65"/>
        <v>王石径著</v>
      </c>
      <c r="E480" s="7" t="str">
        <f t="shared" si="66"/>
        <v>华中师范大学出版社</v>
      </c>
      <c r="F480" s="7" t="str">
        <f t="shared" si="67"/>
        <v>G641/496</v>
      </c>
    </row>
    <row r="481" customHeight="1" spans="1:6">
      <c r="A481" s="6">
        <v>480</v>
      </c>
      <c r="B481" s="7" t="str">
        <f>"978-7-5194-5966-6"</f>
        <v>978-7-5194-5966-6</v>
      </c>
      <c r="C481" s="7" t="str">
        <f>"新时代大学生艰苦奋斗精神教育研究"</f>
        <v>新时代大学生艰苦奋斗精神教育研究</v>
      </c>
      <c r="D481" s="7" t="str">
        <f>"张颖著"</f>
        <v>张颖著</v>
      </c>
      <c r="E481" s="7" t="str">
        <f t="shared" ref="E481:E486" si="68">"光明日报出版社"</f>
        <v>光明日报出版社</v>
      </c>
      <c r="F481" s="7" t="str">
        <f>"G641/497"</f>
        <v>G641/497</v>
      </c>
    </row>
    <row r="482" customHeight="1" spans="1:6">
      <c r="A482" s="6">
        <v>481</v>
      </c>
      <c r="B482" s="7" t="str">
        <f>"978-7-5194-5966-6"</f>
        <v>978-7-5194-5966-6</v>
      </c>
      <c r="C482" s="7" t="str">
        <f>"新时代大学生艰苦奋斗精神教育研究"</f>
        <v>新时代大学生艰苦奋斗精神教育研究</v>
      </c>
      <c r="D482" s="7" t="str">
        <f>"张颖著"</f>
        <v>张颖著</v>
      </c>
      <c r="E482" s="7" t="str">
        <f t="shared" si="68"/>
        <v>光明日报出版社</v>
      </c>
      <c r="F482" s="7" t="str">
        <f>"G641/497"</f>
        <v>G641/497</v>
      </c>
    </row>
    <row r="483" customHeight="1" spans="1:6">
      <c r="A483" s="6">
        <v>482</v>
      </c>
      <c r="B483" s="7" t="str">
        <f>"978-7-5194-5857-7"</f>
        <v>978-7-5194-5857-7</v>
      </c>
      <c r="C483" s="7" t="str">
        <f>"新时代大学生改革认同研究"</f>
        <v>新时代大学生改革认同研究</v>
      </c>
      <c r="D483" s="7" t="str">
        <f>"林晓燕著"</f>
        <v>林晓燕著</v>
      </c>
      <c r="E483" s="7" t="str">
        <f t="shared" si="68"/>
        <v>光明日报出版社</v>
      </c>
      <c r="F483" s="7" t="str">
        <f>"G641/498"</f>
        <v>G641/498</v>
      </c>
    </row>
    <row r="484" customHeight="1" spans="1:6">
      <c r="A484" s="6">
        <v>483</v>
      </c>
      <c r="B484" s="7" t="str">
        <f>"978-7-5194-5857-7"</f>
        <v>978-7-5194-5857-7</v>
      </c>
      <c r="C484" s="7" t="str">
        <f>"新时代大学生改革认同研究"</f>
        <v>新时代大学生改革认同研究</v>
      </c>
      <c r="D484" s="7" t="str">
        <f>"林晓燕著"</f>
        <v>林晓燕著</v>
      </c>
      <c r="E484" s="7" t="str">
        <f t="shared" si="68"/>
        <v>光明日报出版社</v>
      </c>
      <c r="F484" s="7" t="str">
        <f>"G641/498"</f>
        <v>G641/498</v>
      </c>
    </row>
    <row r="485" customHeight="1" spans="1:6">
      <c r="A485" s="6">
        <v>484</v>
      </c>
      <c r="B485" s="7" t="str">
        <f>"978-7-5194-6063-1"</f>
        <v>978-7-5194-6063-1</v>
      </c>
      <c r="C485" s="7" t="str">
        <f>"马克思公共性视域下大学生思想政治教育研究"</f>
        <v>马克思公共性视域下大学生思想政治教育研究</v>
      </c>
      <c r="D485" s="7" t="str">
        <f>"莫春菊著"</f>
        <v>莫春菊著</v>
      </c>
      <c r="E485" s="7" t="str">
        <f t="shared" si="68"/>
        <v>光明日报出版社</v>
      </c>
      <c r="F485" s="7" t="str">
        <f>"G641/499"</f>
        <v>G641/499</v>
      </c>
    </row>
    <row r="486" customHeight="1" spans="1:6">
      <c r="A486" s="6">
        <v>485</v>
      </c>
      <c r="B486" s="7" t="str">
        <f>"978-7-5194-6063-1"</f>
        <v>978-7-5194-6063-1</v>
      </c>
      <c r="C486" s="7" t="str">
        <f>"马克思公共性视域下大学生思想政治教育研究"</f>
        <v>马克思公共性视域下大学生思想政治教育研究</v>
      </c>
      <c r="D486" s="7" t="str">
        <f>"莫春菊著"</f>
        <v>莫春菊著</v>
      </c>
      <c r="E486" s="7" t="str">
        <f t="shared" si="68"/>
        <v>光明日报出版社</v>
      </c>
      <c r="F486" s="7" t="str">
        <f>"G641/499"</f>
        <v>G641/499</v>
      </c>
    </row>
    <row r="487" customHeight="1" spans="1:6">
      <c r="A487" s="6">
        <v>486</v>
      </c>
      <c r="B487" s="7" t="str">
        <f>"978-7-5113-8396-9"</f>
        <v>978-7-5113-8396-9</v>
      </c>
      <c r="C487" s="7" t="str">
        <f>"新媒体视域下思想政治教育探析"</f>
        <v>新媒体视域下思想政治教育探析</v>
      </c>
      <c r="D487" s="7" t="str">
        <f>"高丽英， 郝端勇著"</f>
        <v>高丽英， 郝端勇著</v>
      </c>
      <c r="E487" s="7" t="str">
        <f>"中国华侨出版社"</f>
        <v>中国华侨出版社</v>
      </c>
      <c r="F487" s="7" t="str">
        <f>"G641/500"</f>
        <v>G641/500</v>
      </c>
    </row>
    <row r="488" customHeight="1" spans="1:6">
      <c r="A488" s="6">
        <v>487</v>
      </c>
      <c r="B488" s="7" t="str">
        <f>"978-7-5113-8396-9"</f>
        <v>978-7-5113-8396-9</v>
      </c>
      <c r="C488" s="7" t="str">
        <f>"新媒体视域下思想政治教育探析"</f>
        <v>新媒体视域下思想政治教育探析</v>
      </c>
      <c r="D488" s="7" t="str">
        <f>"高丽英， 郝端勇著"</f>
        <v>高丽英， 郝端勇著</v>
      </c>
      <c r="E488" s="7" t="str">
        <f>"中国华侨出版社"</f>
        <v>中国华侨出版社</v>
      </c>
      <c r="F488" s="7" t="str">
        <f>"G641/500"</f>
        <v>G641/500</v>
      </c>
    </row>
    <row r="489" customHeight="1" spans="1:6">
      <c r="A489" s="6">
        <v>488</v>
      </c>
      <c r="B489" s="8" t="s">
        <v>7212</v>
      </c>
      <c r="C489" s="8" t="s">
        <v>7213</v>
      </c>
      <c r="D489" s="8" t="s">
        <v>7214</v>
      </c>
      <c r="E489" s="8" t="s">
        <v>239</v>
      </c>
      <c r="F489" s="8" t="s">
        <v>7215</v>
      </c>
    </row>
    <row r="490" customHeight="1" spans="1:6">
      <c r="A490" s="6">
        <v>489</v>
      </c>
      <c r="B490" s="8" t="s">
        <v>7212</v>
      </c>
      <c r="C490" s="8" t="s">
        <v>7213</v>
      </c>
      <c r="D490" s="8" t="s">
        <v>7214</v>
      </c>
      <c r="E490" s="8" t="s">
        <v>239</v>
      </c>
      <c r="F490" s="8" t="s">
        <v>7215</v>
      </c>
    </row>
    <row r="491" customHeight="1" spans="1:6">
      <c r="A491" s="6">
        <v>490</v>
      </c>
      <c r="B491" s="8" t="s">
        <v>7216</v>
      </c>
      <c r="C491" s="8" t="s">
        <v>7217</v>
      </c>
      <c r="D491" s="8" t="s">
        <v>7218</v>
      </c>
      <c r="E491" s="8" t="s">
        <v>239</v>
      </c>
      <c r="F491" s="8" t="s">
        <v>7219</v>
      </c>
    </row>
    <row r="492" customHeight="1" spans="1:6">
      <c r="A492" s="6">
        <v>491</v>
      </c>
      <c r="B492" s="8" t="s">
        <v>7216</v>
      </c>
      <c r="C492" s="8" t="s">
        <v>7217</v>
      </c>
      <c r="D492" s="8" t="s">
        <v>7218</v>
      </c>
      <c r="E492" s="8" t="s">
        <v>239</v>
      </c>
      <c r="F492" s="8" t="s">
        <v>7219</v>
      </c>
    </row>
    <row r="493" customHeight="1" spans="1:6">
      <c r="A493" s="6">
        <v>492</v>
      </c>
      <c r="B493" s="8" t="s">
        <v>7220</v>
      </c>
      <c r="C493" s="8" t="s">
        <v>7221</v>
      </c>
      <c r="D493" s="8" t="s">
        <v>1122</v>
      </c>
      <c r="E493" s="8" t="s">
        <v>571</v>
      </c>
      <c r="F493" s="8" t="s">
        <v>7222</v>
      </c>
    </row>
    <row r="494" customHeight="1" spans="1:6">
      <c r="A494" s="6">
        <v>493</v>
      </c>
      <c r="B494" s="8" t="s">
        <v>7220</v>
      </c>
      <c r="C494" s="8" t="s">
        <v>7221</v>
      </c>
      <c r="D494" s="8" t="s">
        <v>1122</v>
      </c>
      <c r="E494" s="8" t="s">
        <v>571</v>
      </c>
      <c r="F494" s="8" t="s">
        <v>7222</v>
      </c>
    </row>
    <row r="495" customHeight="1" spans="1:6">
      <c r="A495" s="6">
        <v>494</v>
      </c>
      <c r="B495" s="8" t="s">
        <v>7223</v>
      </c>
      <c r="C495" s="8" t="s">
        <v>7224</v>
      </c>
      <c r="D495" s="8" t="s">
        <v>7225</v>
      </c>
      <c r="E495" s="8" t="s">
        <v>571</v>
      </c>
      <c r="F495" s="8" t="s">
        <v>7226</v>
      </c>
    </row>
    <row r="496" customHeight="1" spans="1:6">
      <c r="A496" s="6">
        <v>495</v>
      </c>
      <c r="B496" s="8" t="s">
        <v>7223</v>
      </c>
      <c r="C496" s="8" t="s">
        <v>7224</v>
      </c>
      <c r="D496" s="8" t="s">
        <v>7225</v>
      </c>
      <c r="E496" s="8" t="s">
        <v>571</v>
      </c>
      <c r="F496" s="8" t="s">
        <v>7226</v>
      </c>
    </row>
    <row r="497" customHeight="1" spans="1:6">
      <c r="A497" s="6">
        <v>496</v>
      </c>
      <c r="B497" s="8" t="s">
        <v>7227</v>
      </c>
      <c r="C497" s="8" t="s">
        <v>7228</v>
      </c>
      <c r="D497" s="8" t="s">
        <v>7229</v>
      </c>
      <c r="E497" s="8" t="s">
        <v>571</v>
      </c>
      <c r="F497" s="8" t="s">
        <v>7230</v>
      </c>
    </row>
    <row r="498" customHeight="1" spans="1:6">
      <c r="A498" s="6">
        <v>497</v>
      </c>
      <c r="B498" s="8" t="s">
        <v>7227</v>
      </c>
      <c r="C498" s="8" t="s">
        <v>7228</v>
      </c>
      <c r="D498" s="8" t="s">
        <v>7229</v>
      </c>
      <c r="E498" s="8" t="s">
        <v>571</v>
      </c>
      <c r="F498" s="8" t="s">
        <v>7230</v>
      </c>
    </row>
    <row r="499" customHeight="1" spans="1:6">
      <c r="A499" s="6">
        <v>498</v>
      </c>
      <c r="B499" s="8" t="s">
        <v>7231</v>
      </c>
      <c r="C499" s="8" t="s">
        <v>7232</v>
      </c>
      <c r="D499" s="8" t="s">
        <v>7233</v>
      </c>
      <c r="E499" s="8" t="s">
        <v>571</v>
      </c>
      <c r="F499" s="8" t="s">
        <v>7234</v>
      </c>
    </row>
    <row r="500" customHeight="1" spans="1:6">
      <c r="A500" s="6">
        <v>499</v>
      </c>
      <c r="B500" s="8" t="s">
        <v>7231</v>
      </c>
      <c r="C500" s="8" t="s">
        <v>7232</v>
      </c>
      <c r="D500" s="8" t="s">
        <v>7233</v>
      </c>
      <c r="E500" s="8" t="s">
        <v>571</v>
      </c>
      <c r="F500" s="8" t="s">
        <v>7234</v>
      </c>
    </row>
    <row r="501" customHeight="1" spans="1:6">
      <c r="A501" s="6">
        <v>500</v>
      </c>
      <c r="B501" s="8" t="s">
        <v>7231</v>
      </c>
      <c r="C501" s="8" t="s">
        <v>7232</v>
      </c>
      <c r="D501" s="8" t="s">
        <v>7233</v>
      </c>
      <c r="E501" s="8" t="s">
        <v>571</v>
      </c>
      <c r="F501" s="8" t="s">
        <v>7234</v>
      </c>
    </row>
    <row r="502" customHeight="1" spans="1:6">
      <c r="A502" s="6">
        <v>501</v>
      </c>
      <c r="B502" s="8" t="s">
        <v>7235</v>
      </c>
      <c r="C502" s="8" t="s">
        <v>7236</v>
      </c>
      <c r="D502" s="8" t="s">
        <v>7237</v>
      </c>
      <c r="E502" s="8" t="s">
        <v>1189</v>
      </c>
      <c r="F502" s="8" t="s">
        <v>7238</v>
      </c>
    </row>
    <row r="503" customHeight="1" spans="1:6">
      <c r="A503" s="6">
        <v>502</v>
      </c>
      <c r="B503" s="8" t="s">
        <v>7235</v>
      </c>
      <c r="C503" s="8" t="s">
        <v>7236</v>
      </c>
      <c r="D503" s="8" t="s">
        <v>7237</v>
      </c>
      <c r="E503" s="8" t="s">
        <v>1189</v>
      </c>
      <c r="F503" s="8" t="s">
        <v>7238</v>
      </c>
    </row>
    <row r="504" customHeight="1" spans="1:6">
      <c r="A504" s="6">
        <v>503</v>
      </c>
      <c r="B504" s="8" t="s">
        <v>7239</v>
      </c>
      <c r="C504" s="8" t="s">
        <v>7240</v>
      </c>
      <c r="D504" s="8" t="s">
        <v>7241</v>
      </c>
      <c r="E504" s="8" t="s">
        <v>239</v>
      </c>
      <c r="F504" s="8" t="s">
        <v>7242</v>
      </c>
    </row>
    <row r="505" customHeight="1" spans="1:6">
      <c r="A505" s="6">
        <v>504</v>
      </c>
      <c r="B505" s="8" t="s">
        <v>7239</v>
      </c>
      <c r="C505" s="8" t="s">
        <v>7240</v>
      </c>
      <c r="D505" s="8" t="s">
        <v>7241</v>
      </c>
      <c r="E505" s="8" t="s">
        <v>239</v>
      </c>
      <c r="F505" s="8" t="s">
        <v>7242</v>
      </c>
    </row>
    <row r="506" customHeight="1" spans="1:6">
      <c r="A506" s="6">
        <v>505</v>
      </c>
      <c r="B506" s="8" t="s">
        <v>7243</v>
      </c>
      <c r="C506" s="8" t="s">
        <v>7244</v>
      </c>
      <c r="D506" s="8" t="s">
        <v>7245</v>
      </c>
      <c r="E506" s="8" t="s">
        <v>1189</v>
      </c>
      <c r="F506" s="8" t="s">
        <v>7246</v>
      </c>
    </row>
    <row r="507" customHeight="1" spans="1:6">
      <c r="A507" s="6">
        <v>506</v>
      </c>
      <c r="B507" s="8" t="s">
        <v>7243</v>
      </c>
      <c r="C507" s="8" t="s">
        <v>7244</v>
      </c>
      <c r="D507" s="8" t="s">
        <v>7245</v>
      </c>
      <c r="E507" s="8" t="s">
        <v>1189</v>
      </c>
      <c r="F507" s="8" t="s">
        <v>7246</v>
      </c>
    </row>
    <row r="508" customHeight="1" spans="1:6">
      <c r="A508" s="6">
        <v>507</v>
      </c>
      <c r="B508" s="8" t="s">
        <v>7247</v>
      </c>
      <c r="C508" s="8" t="s">
        <v>7248</v>
      </c>
      <c r="D508" s="8" t="s">
        <v>7249</v>
      </c>
      <c r="E508" s="8" t="s">
        <v>710</v>
      </c>
      <c r="F508" s="8" t="s">
        <v>7250</v>
      </c>
    </row>
    <row r="509" customHeight="1" spans="1:6">
      <c r="A509" s="6">
        <v>508</v>
      </c>
      <c r="B509" s="8" t="s">
        <v>7247</v>
      </c>
      <c r="C509" s="8" t="s">
        <v>7248</v>
      </c>
      <c r="D509" s="8" t="s">
        <v>7249</v>
      </c>
      <c r="E509" s="8" t="s">
        <v>710</v>
      </c>
      <c r="F509" s="8" t="s">
        <v>7250</v>
      </c>
    </row>
    <row r="510" customHeight="1" spans="1:6">
      <c r="A510" s="6">
        <v>509</v>
      </c>
      <c r="B510" s="8" t="s">
        <v>7251</v>
      </c>
      <c r="C510" s="8" t="s">
        <v>7252</v>
      </c>
      <c r="D510" s="8" t="s">
        <v>7253</v>
      </c>
      <c r="E510" s="8" t="s">
        <v>571</v>
      </c>
      <c r="F510" s="8" t="s">
        <v>7254</v>
      </c>
    </row>
    <row r="511" customHeight="1" spans="1:6">
      <c r="A511" s="6">
        <v>510</v>
      </c>
      <c r="B511" s="8" t="s">
        <v>7251</v>
      </c>
      <c r="C511" s="8" t="s">
        <v>7252</v>
      </c>
      <c r="D511" s="8" t="s">
        <v>7253</v>
      </c>
      <c r="E511" s="8" t="s">
        <v>571</v>
      </c>
      <c r="F511" s="8" t="s">
        <v>7254</v>
      </c>
    </row>
    <row r="512" customHeight="1" spans="1:6">
      <c r="A512" s="6">
        <v>511</v>
      </c>
      <c r="B512" s="8" t="s">
        <v>7255</v>
      </c>
      <c r="C512" s="8" t="s">
        <v>7256</v>
      </c>
      <c r="D512" s="8" t="s">
        <v>7257</v>
      </c>
      <c r="E512" s="8" t="s">
        <v>76</v>
      </c>
      <c r="F512" s="8" t="s">
        <v>7258</v>
      </c>
    </row>
    <row r="513" customHeight="1" spans="1:6">
      <c r="A513" s="6">
        <v>512</v>
      </c>
      <c r="B513" s="8" t="s">
        <v>7255</v>
      </c>
      <c r="C513" s="8" t="s">
        <v>7256</v>
      </c>
      <c r="D513" s="8" t="s">
        <v>7257</v>
      </c>
      <c r="E513" s="8" t="s">
        <v>76</v>
      </c>
      <c r="F513" s="8" t="s">
        <v>7258</v>
      </c>
    </row>
    <row r="514" customHeight="1" spans="1:6">
      <c r="A514" s="6">
        <v>513</v>
      </c>
      <c r="B514" s="8" t="s">
        <v>7259</v>
      </c>
      <c r="C514" s="8" t="s">
        <v>7260</v>
      </c>
      <c r="D514" s="8" t="s">
        <v>7261</v>
      </c>
      <c r="E514" s="8" t="s">
        <v>710</v>
      </c>
      <c r="F514" s="8" t="s">
        <v>7262</v>
      </c>
    </row>
    <row r="515" customHeight="1" spans="1:6">
      <c r="A515" s="6">
        <v>514</v>
      </c>
      <c r="B515" s="8" t="s">
        <v>7259</v>
      </c>
      <c r="C515" s="8" t="s">
        <v>7260</v>
      </c>
      <c r="D515" s="8" t="s">
        <v>7261</v>
      </c>
      <c r="E515" s="8" t="s">
        <v>710</v>
      </c>
      <c r="F515" s="8" t="s">
        <v>7262</v>
      </c>
    </row>
    <row r="516" customHeight="1" spans="1:6">
      <c r="A516" s="6">
        <v>515</v>
      </c>
      <c r="B516" s="8" t="s">
        <v>7263</v>
      </c>
      <c r="C516" s="8" t="s">
        <v>7264</v>
      </c>
      <c r="D516" s="8" t="s">
        <v>7265</v>
      </c>
      <c r="E516" s="8" t="s">
        <v>571</v>
      </c>
      <c r="F516" s="8" t="s">
        <v>7266</v>
      </c>
    </row>
    <row r="517" customHeight="1" spans="1:6">
      <c r="A517" s="6">
        <v>516</v>
      </c>
      <c r="B517" s="8" t="s">
        <v>7263</v>
      </c>
      <c r="C517" s="8" t="s">
        <v>7264</v>
      </c>
      <c r="D517" s="8" t="s">
        <v>7265</v>
      </c>
      <c r="E517" s="8" t="s">
        <v>571</v>
      </c>
      <c r="F517" s="8" t="s">
        <v>7266</v>
      </c>
    </row>
    <row r="518" customHeight="1" spans="1:6">
      <c r="A518" s="6">
        <v>517</v>
      </c>
      <c r="B518" s="8" t="s">
        <v>7267</v>
      </c>
      <c r="C518" s="8" t="s">
        <v>7268</v>
      </c>
      <c r="D518" s="8" t="s">
        <v>7269</v>
      </c>
      <c r="E518" s="8" t="s">
        <v>485</v>
      </c>
      <c r="F518" s="8" t="s">
        <v>7270</v>
      </c>
    </row>
    <row r="519" customHeight="1" spans="1:6">
      <c r="A519" s="6">
        <v>518</v>
      </c>
      <c r="B519" s="8" t="s">
        <v>7267</v>
      </c>
      <c r="C519" s="8" t="s">
        <v>7268</v>
      </c>
      <c r="D519" s="8" t="s">
        <v>7269</v>
      </c>
      <c r="E519" s="8" t="s">
        <v>485</v>
      </c>
      <c r="F519" s="8" t="s">
        <v>7270</v>
      </c>
    </row>
    <row r="520" customHeight="1" spans="1:6">
      <c r="A520" s="6">
        <v>519</v>
      </c>
      <c r="B520" s="8" t="s">
        <v>7271</v>
      </c>
      <c r="C520" s="8" t="s">
        <v>7272</v>
      </c>
      <c r="D520" s="8" t="s">
        <v>7273</v>
      </c>
      <c r="E520" s="8" t="s">
        <v>1189</v>
      </c>
      <c r="F520" s="8" t="s">
        <v>7274</v>
      </c>
    </row>
    <row r="521" customHeight="1" spans="1:6">
      <c r="A521" s="6">
        <v>520</v>
      </c>
      <c r="B521" s="8" t="s">
        <v>7271</v>
      </c>
      <c r="C521" s="8" t="s">
        <v>7272</v>
      </c>
      <c r="D521" s="8" t="s">
        <v>7273</v>
      </c>
      <c r="E521" s="8" t="s">
        <v>1189</v>
      </c>
      <c r="F521" s="8" t="s">
        <v>7274</v>
      </c>
    </row>
    <row r="522" customHeight="1" spans="1:6">
      <c r="A522" s="6">
        <v>521</v>
      </c>
      <c r="B522" s="8" t="s">
        <v>7275</v>
      </c>
      <c r="C522" s="8" t="s">
        <v>7276</v>
      </c>
      <c r="D522" s="8" t="s">
        <v>7277</v>
      </c>
      <c r="E522" s="8" t="s">
        <v>76</v>
      </c>
      <c r="F522" s="8" t="s">
        <v>7278</v>
      </c>
    </row>
    <row r="523" customHeight="1" spans="1:6">
      <c r="A523" s="6">
        <v>522</v>
      </c>
      <c r="B523" s="8" t="s">
        <v>7275</v>
      </c>
      <c r="C523" s="8" t="s">
        <v>7276</v>
      </c>
      <c r="D523" s="8" t="s">
        <v>7277</v>
      </c>
      <c r="E523" s="8" t="s">
        <v>76</v>
      </c>
      <c r="F523" s="8" t="s">
        <v>7278</v>
      </c>
    </row>
    <row r="524" customHeight="1" spans="1:6">
      <c r="A524" s="6">
        <v>523</v>
      </c>
      <c r="B524" s="8" t="s">
        <v>7279</v>
      </c>
      <c r="C524" s="8" t="s">
        <v>7280</v>
      </c>
      <c r="D524" s="8" t="s">
        <v>7281</v>
      </c>
      <c r="E524" s="8" t="s">
        <v>1189</v>
      </c>
      <c r="F524" s="8" t="s">
        <v>7282</v>
      </c>
    </row>
    <row r="525" customHeight="1" spans="1:6">
      <c r="A525" s="6">
        <v>524</v>
      </c>
      <c r="B525" s="8" t="s">
        <v>7279</v>
      </c>
      <c r="C525" s="8" t="s">
        <v>7280</v>
      </c>
      <c r="D525" s="8" t="s">
        <v>7281</v>
      </c>
      <c r="E525" s="8" t="s">
        <v>1189</v>
      </c>
      <c r="F525" s="8" t="s">
        <v>7282</v>
      </c>
    </row>
    <row r="526" customHeight="1" spans="1:6">
      <c r="A526" s="6">
        <v>525</v>
      </c>
      <c r="B526" s="8" t="s">
        <v>7283</v>
      </c>
      <c r="C526" s="8" t="s">
        <v>7284</v>
      </c>
      <c r="D526" s="8" t="s">
        <v>7285</v>
      </c>
      <c r="E526" s="8" t="s">
        <v>1189</v>
      </c>
      <c r="F526" s="8" t="s">
        <v>7286</v>
      </c>
    </row>
    <row r="527" customHeight="1" spans="1:6">
      <c r="A527" s="6">
        <v>526</v>
      </c>
      <c r="B527" s="8" t="s">
        <v>7283</v>
      </c>
      <c r="C527" s="8" t="s">
        <v>7284</v>
      </c>
      <c r="D527" s="8" t="s">
        <v>7285</v>
      </c>
      <c r="E527" s="8" t="s">
        <v>1189</v>
      </c>
      <c r="F527" s="8" t="s">
        <v>7286</v>
      </c>
    </row>
    <row r="528" customHeight="1" spans="1:6">
      <c r="A528" s="6">
        <v>527</v>
      </c>
      <c r="B528" s="8" t="s">
        <v>7287</v>
      </c>
      <c r="C528" s="8" t="s">
        <v>7288</v>
      </c>
      <c r="D528" s="8" t="s">
        <v>7289</v>
      </c>
      <c r="E528" s="8" t="s">
        <v>43</v>
      </c>
      <c r="F528" s="8" t="s">
        <v>7290</v>
      </c>
    </row>
    <row r="529" customHeight="1" spans="1:6">
      <c r="A529" s="6">
        <v>528</v>
      </c>
      <c r="B529" s="8" t="s">
        <v>7287</v>
      </c>
      <c r="C529" s="8" t="s">
        <v>7288</v>
      </c>
      <c r="D529" s="8" t="s">
        <v>7289</v>
      </c>
      <c r="E529" s="8" t="s">
        <v>43</v>
      </c>
      <c r="F529" s="8" t="s">
        <v>7290</v>
      </c>
    </row>
    <row r="530" customHeight="1" spans="1:6">
      <c r="A530" s="6">
        <v>529</v>
      </c>
      <c r="B530" s="8" t="s">
        <v>7291</v>
      </c>
      <c r="C530" s="8" t="s">
        <v>7292</v>
      </c>
      <c r="D530" s="8" t="s">
        <v>7293</v>
      </c>
      <c r="E530" s="8" t="s">
        <v>43</v>
      </c>
      <c r="F530" s="8" t="s">
        <v>7294</v>
      </c>
    </row>
    <row r="531" customHeight="1" spans="1:6">
      <c r="A531" s="6">
        <v>530</v>
      </c>
      <c r="B531" s="8" t="s">
        <v>7291</v>
      </c>
      <c r="C531" s="8" t="s">
        <v>7292</v>
      </c>
      <c r="D531" s="8" t="s">
        <v>7293</v>
      </c>
      <c r="E531" s="8" t="s">
        <v>43</v>
      </c>
      <c r="F531" s="8" t="s">
        <v>7294</v>
      </c>
    </row>
    <row r="532" customHeight="1" spans="1:6">
      <c r="A532" s="6">
        <v>531</v>
      </c>
      <c r="B532" s="8" t="s">
        <v>7295</v>
      </c>
      <c r="C532" s="8" t="s">
        <v>7296</v>
      </c>
      <c r="D532" s="8" t="s">
        <v>7297</v>
      </c>
      <c r="E532" s="8" t="s">
        <v>890</v>
      </c>
      <c r="F532" s="8" t="s">
        <v>7298</v>
      </c>
    </row>
    <row r="533" customHeight="1" spans="1:6">
      <c r="A533" s="6">
        <v>532</v>
      </c>
      <c r="B533" s="8" t="s">
        <v>7295</v>
      </c>
      <c r="C533" s="8" t="s">
        <v>7296</v>
      </c>
      <c r="D533" s="8" t="s">
        <v>7297</v>
      </c>
      <c r="E533" s="8" t="s">
        <v>890</v>
      </c>
      <c r="F533" s="8" t="s">
        <v>7298</v>
      </c>
    </row>
    <row r="534" customHeight="1" spans="1:6">
      <c r="A534" s="6">
        <v>533</v>
      </c>
      <c r="B534" s="8" t="s">
        <v>7299</v>
      </c>
      <c r="C534" s="8" t="s">
        <v>7300</v>
      </c>
      <c r="D534" s="8" t="s">
        <v>7301</v>
      </c>
      <c r="E534" s="8" t="s">
        <v>549</v>
      </c>
      <c r="F534" s="8" t="s">
        <v>7302</v>
      </c>
    </row>
    <row r="535" customHeight="1" spans="1:6">
      <c r="A535" s="6">
        <v>534</v>
      </c>
      <c r="B535" s="8" t="s">
        <v>7299</v>
      </c>
      <c r="C535" s="8" t="s">
        <v>7300</v>
      </c>
      <c r="D535" s="8" t="s">
        <v>7301</v>
      </c>
      <c r="E535" s="8" t="s">
        <v>549</v>
      </c>
      <c r="F535" s="8" t="s">
        <v>7302</v>
      </c>
    </row>
    <row r="536" customHeight="1" spans="1:6">
      <c r="A536" s="6">
        <v>535</v>
      </c>
      <c r="B536" s="8" t="s">
        <v>7303</v>
      </c>
      <c r="C536" s="8" t="s">
        <v>7304</v>
      </c>
      <c r="D536" s="8" t="s">
        <v>7305</v>
      </c>
      <c r="E536" s="8" t="s">
        <v>239</v>
      </c>
      <c r="F536" s="8" t="s">
        <v>7306</v>
      </c>
    </row>
    <row r="537" customHeight="1" spans="1:6">
      <c r="A537" s="6">
        <v>536</v>
      </c>
      <c r="B537" s="8" t="s">
        <v>7303</v>
      </c>
      <c r="C537" s="8" t="s">
        <v>7304</v>
      </c>
      <c r="D537" s="8" t="s">
        <v>7305</v>
      </c>
      <c r="E537" s="8" t="s">
        <v>239</v>
      </c>
      <c r="F537" s="8" t="s">
        <v>7306</v>
      </c>
    </row>
    <row r="538" customHeight="1" spans="1:6">
      <c r="A538" s="6">
        <v>537</v>
      </c>
      <c r="B538" s="8" t="s">
        <v>7307</v>
      </c>
      <c r="C538" s="8" t="s">
        <v>7308</v>
      </c>
      <c r="D538" s="8" t="s">
        <v>7309</v>
      </c>
      <c r="E538" s="8" t="s">
        <v>1189</v>
      </c>
      <c r="F538" s="8" t="s">
        <v>7310</v>
      </c>
    </row>
    <row r="539" customHeight="1" spans="1:6">
      <c r="A539" s="6">
        <v>538</v>
      </c>
      <c r="B539" s="8" t="s">
        <v>7307</v>
      </c>
      <c r="C539" s="8" t="s">
        <v>7308</v>
      </c>
      <c r="D539" s="8" t="s">
        <v>7309</v>
      </c>
      <c r="E539" s="8" t="s">
        <v>1189</v>
      </c>
      <c r="F539" s="8" t="s">
        <v>7310</v>
      </c>
    </row>
    <row r="540" customHeight="1" spans="1:6">
      <c r="A540" s="6">
        <v>539</v>
      </c>
      <c r="B540" s="8" t="s">
        <v>7311</v>
      </c>
      <c r="C540" s="8" t="s">
        <v>7312</v>
      </c>
      <c r="D540" s="8" t="s">
        <v>7313</v>
      </c>
      <c r="E540" s="8" t="s">
        <v>589</v>
      </c>
      <c r="F540" s="8" t="s">
        <v>7314</v>
      </c>
    </row>
    <row r="541" customHeight="1" spans="1:6">
      <c r="A541" s="6">
        <v>540</v>
      </c>
      <c r="B541" s="8" t="s">
        <v>7311</v>
      </c>
      <c r="C541" s="8" t="s">
        <v>7312</v>
      </c>
      <c r="D541" s="8" t="s">
        <v>7313</v>
      </c>
      <c r="E541" s="8" t="s">
        <v>589</v>
      </c>
      <c r="F541" s="8" t="s">
        <v>7314</v>
      </c>
    </row>
    <row r="542" customHeight="1" spans="1:6">
      <c r="A542" s="6">
        <v>541</v>
      </c>
      <c r="B542" s="8" t="s">
        <v>7315</v>
      </c>
      <c r="C542" s="8" t="s">
        <v>7316</v>
      </c>
      <c r="D542" s="8" t="s">
        <v>7317</v>
      </c>
      <c r="E542" s="8" t="s">
        <v>7129</v>
      </c>
      <c r="F542" s="8" t="s">
        <v>7318</v>
      </c>
    </row>
    <row r="543" customHeight="1" spans="1:6">
      <c r="A543" s="6">
        <v>542</v>
      </c>
      <c r="B543" s="8" t="s">
        <v>7315</v>
      </c>
      <c r="C543" s="8" t="s">
        <v>7316</v>
      </c>
      <c r="D543" s="8" t="s">
        <v>7317</v>
      </c>
      <c r="E543" s="8" t="s">
        <v>7129</v>
      </c>
      <c r="F543" s="8" t="s">
        <v>7318</v>
      </c>
    </row>
    <row r="544" customHeight="1" spans="1:6">
      <c r="A544" s="6">
        <v>543</v>
      </c>
      <c r="B544" s="8" t="s">
        <v>7319</v>
      </c>
      <c r="C544" s="8" t="s">
        <v>7320</v>
      </c>
      <c r="D544" s="8" t="s">
        <v>7321</v>
      </c>
      <c r="E544" s="8" t="s">
        <v>3</v>
      </c>
      <c r="F544" s="8" t="s">
        <v>7322</v>
      </c>
    </row>
    <row r="545" customHeight="1" spans="1:6">
      <c r="A545" s="6">
        <v>544</v>
      </c>
      <c r="B545" s="8" t="s">
        <v>7319</v>
      </c>
      <c r="C545" s="8" t="s">
        <v>7320</v>
      </c>
      <c r="D545" s="8" t="s">
        <v>7321</v>
      </c>
      <c r="E545" s="8" t="s">
        <v>3</v>
      </c>
      <c r="F545" s="8" t="s">
        <v>7322</v>
      </c>
    </row>
    <row r="546" customHeight="1" spans="1:6">
      <c r="A546" s="6">
        <v>545</v>
      </c>
      <c r="B546" s="8" t="s">
        <v>7323</v>
      </c>
      <c r="C546" s="8" t="s">
        <v>7324</v>
      </c>
      <c r="D546" s="8" t="s">
        <v>7325</v>
      </c>
      <c r="E546" s="8" t="s">
        <v>3</v>
      </c>
      <c r="F546" s="8" t="s">
        <v>7326</v>
      </c>
    </row>
    <row r="547" customHeight="1" spans="1:6">
      <c r="A547" s="6">
        <v>546</v>
      </c>
      <c r="B547" s="8" t="s">
        <v>7323</v>
      </c>
      <c r="C547" s="8" t="s">
        <v>7324</v>
      </c>
      <c r="D547" s="8" t="s">
        <v>7325</v>
      </c>
      <c r="E547" s="8" t="s">
        <v>3</v>
      </c>
      <c r="F547" s="8" t="s">
        <v>7326</v>
      </c>
    </row>
    <row r="548" customHeight="1" spans="1:6">
      <c r="A548" s="6">
        <v>547</v>
      </c>
      <c r="B548" s="8" t="s">
        <v>7327</v>
      </c>
      <c r="C548" s="8" t="s">
        <v>7328</v>
      </c>
      <c r="D548" s="8" t="s">
        <v>7329</v>
      </c>
      <c r="E548" s="8" t="s">
        <v>710</v>
      </c>
      <c r="F548" s="8" t="s">
        <v>7330</v>
      </c>
    </row>
    <row r="549" customHeight="1" spans="1:6">
      <c r="A549" s="6">
        <v>548</v>
      </c>
      <c r="B549" s="8" t="s">
        <v>7327</v>
      </c>
      <c r="C549" s="8" t="s">
        <v>7328</v>
      </c>
      <c r="D549" s="8" t="s">
        <v>7329</v>
      </c>
      <c r="E549" s="8" t="s">
        <v>710</v>
      </c>
      <c r="F549" s="8" t="s">
        <v>7330</v>
      </c>
    </row>
    <row r="550" customHeight="1" spans="1:6">
      <c r="A550" s="6">
        <v>549</v>
      </c>
      <c r="B550" s="8" t="s">
        <v>7331</v>
      </c>
      <c r="C550" s="8" t="s">
        <v>7332</v>
      </c>
      <c r="D550" s="8" t="s">
        <v>7333</v>
      </c>
      <c r="E550" s="8" t="s">
        <v>701</v>
      </c>
      <c r="F550" s="8" t="s">
        <v>7334</v>
      </c>
    </row>
    <row r="551" customHeight="1" spans="1:6">
      <c r="A551" s="6">
        <v>550</v>
      </c>
      <c r="B551" s="8" t="s">
        <v>7331</v>
      </c>
      <c r="C551" s="8" t="s">
        <v>7332</v>
      </c>
      <c r="D551" s="8" t="s">
        <v>7333</v>
      </c>
      <c r="E551" s="8" t="s">
        <v>701</v>
      </c>
      <c r="F551" s="8" t="s">
        <v>7334</v>
      </c>
    </row>
    <row r="552" customHeight="1" spans="1:6">
      <c r="A552" s="6">
        <v>551</v>
      </c>
      <c r="B552" s="8" t="s">
        <v>7335</v>
      </c>
      <c r="C552" s="8" t="s">
        <v>7336</v>
      </c>
      <c r="D552" s="8" t="s">
        <v>7337</v>
      </c>
      <c r="E552" s="8" t="s">
        <v>23</v>
      </c>
      <c r="F552" s="8" t="s">
        <v>7338</v>
      </c>
    </row>
    <row r="553" customHeight="1" spans="1:6">
      <c r="A553" s="6">
        <v>552</v>
      </c>
      <c r="B553" s="8" t="s">
        <v>7335</v>
      </c>
      <c r="C553" s="8" t="s">
        <v>7336</v>
      </c>
      <c r="D553" s="8" t="s">
        <v>7337</v>
      </c>
      <c r="E553" s="8" t="s">
        <v>23</v>
      </c>
      <c r="F553" s="8" t="s">
        <v>7338</v>
      </c>
    </row>
    <row r="554" customHeight="1" spans="1:6">
      <c r="A554" s="6">
        <v>553</v>
      </c>
      <c r="B554" s="8" t="s">
        <v>7339</v>
      </c>
      <c r="C554" s="8" t="s">
        <v>7340</v>
      </c>
      <c r="D554" s="8" t="s">
        <v>7341</v>
      </c>
      <c r="E554" s="8" t="s">
        <v>48</v>
      </c>
      <c r="F554" s="8" t="s">
        <v>7342</v>
      </c>
    </row>
    <row r="555" customHeight="1" spans="1:6">
      <c r="A555" s="6">
        <v>554</v>
      </c>
      <c r="B555" s="8" t="s">
        <v>7339</v>
      </c>
      <c r="C555" s="8" t="s">
        <v>7340</v>
      </c>
      <c r="D555" s="8" t="s">
        <v>7341</v>
      </c>
      <c r="E555" s="8" t="s">
        <v>48</v>
      </c>
      <c r="F555" s="8" t="s">
        <v>7342</v>
      </c>
    </row>
    <row r="556" customHeight="1" spans="1:6">
      <c r="A556" s="6">
        <v>555</v>
      </c>
      <c r="B556" s="8" t="s">
        <v>7343</v>
      </c>
      <c r="C556" s="8" t="s">
        <v>7344</v>
      </c>
      <c r="D556" s="8" t="s">
        <v>7345</v>
      </c>
      <c r="E556" s="8" t="s">
        <v>239</v>
      </c>
      <c r="F556" s="8" t="s">
        <v>7346</v>
      </c>
    </row>
    <row r="557" customHeight="1" spans="1:6">
      <c r="A557" s="6">
        <v>556</v>
      </c>
      <c r="B557" s="8" t="s">
        <v>7343</v>
      </c>
      <c r="C557" s="8" t="s">
        <v>7344</v>
      </c>
      <c r="D557" s="8" t="s">
        <v>7345</v>
      </c>
      <c r="E557" s="8" t="s">
        <v>239</v>
      </c>
      <c r="F557" s="8" t="s">
        <v>7346</v>
      </c>
    </row>
    <row r="558" customHeight="1" spans="1:6">
      <c r="A558" s="6">
        <v>557</v>
      </c>
      <c r="B558" s="8" t="s">
        <v>7347</v>
      </c>
      <c r="C558" s="8" t="s">
        <v>7348</v>
      </c>
      <c r="D558" s="8" t="s">
        <v>7349</v>
      </c>
      <c r="E558" s="8" t="s">
        <v>589</v>
      </c>
      <c r="F558" s="8" t="s">
        <v>7350</v>
      </c>
    </row>
    <row r="559" customHeight="1" spans="1:6">
      <c r="A559" s="6">
        <v>558</v>
      </c>
      <c r="B559" s="8" t="s">
        <v>7347</v>
      </c>
      <c r="C559" s="8" t="s">
        <v>7348</v>
      </c>
      <c r="D559" s="8" t="s">
        <v>7349</v>
      </c>
      <c r="E559" s="8" t="s">
        <v>589</v>
      </c>
      <c r="F559" s="8" t="s">
        <v>7350</v>
      </c>
    </row>
    <row r="560" customHeight="1" spans="1:6">
      <c r="A560" s="6">
        <v>559</v>
      </c>
      <c r="B560" s="8" t="s">
        <v>7351</v>
      </c>
      <c r="C560" s="8" t="s">
        <v>7352</v>
      </c>
      <c r="D560" s="8" t="s">
        <v>7353</v>
      </c>
      <c r="E560" s="8" t="s">
        <v>7202</v>
      </c>
      <c r="F560" s="8" t="s">
        <v>7354</v>
      </c>
    </row>
    <row r="561" customHeight="1" spans="1:6">
      <c r="A561" s="6">
        <v>560</v>
      </c>
      <c r="B561" s="8" t="s">
        <v>7351</v>
      </c>
      <c r="C561" s="8" t="s">
        <v>7352</v>
      </c>
      <c r="D561" s="8" t="s">
        <v>7353</v>
      </c>
      <c r="E561" s="8" t="s">
        <v>7202</v>
      </c>
      <c r="F561" s="8" t="s">
        <v>7354</v>
      </c>
    </row>
    <row r="562" customHeight="1" spans="1:6">
      <c r="A562" s="6">
        <v>561</v>
      </c>
      <c r="B562" s="8" t="s">
        <v>7355</v>
      </c>
      <c r="C562" s="8" t="s">
        <v>7356</v>
      </c>
      <c r="D562" s="8" t="s">
        <v>7357</v>
      </c>
      <c r="E562" s="8" t="s">
        <v>571</v>
      </c>
      <c r="F562" s="8" t="s">
        <v>7358</v>
      </c>
    </row>
    <row r="563" customHeight="1" spans="1:6">
      <c r="A563" s="6">
        <v>562</v>
      </c>
      <c r="B563" s="8" t="s">
        <v>7355</v>
      </c>
      <c r="C563" s="8" t="s">
        <v>7356</v>
      </c>
      <c r="D563" s="8" t="s">
        <v>7357</v>
      </c>
      <c r="E563" s="8" t="s">
        <v>571</v>
      </c>
      <c r="F563" s="8" t="s">
        <v>7358</v>
      </c>
    </row>
    <row r="564" customHeight="1" spans="1:6">
      <c r="A564" s="6">
        <v>563</v>
      </c>
      <c r="B564" s="8" t="s">
        <v>7359</v>
      </c>
      <c r="C564" s="8" t="s">
        <v>7360</v>
      </c>
      <c r="D564" s="8" t="s">
        <v>7361</v>
      </c>
      <c r="E564" s="8" t="s">
        <v>48</v>
      </c>
      <c r="F564" s="8" t="s">
        <v>7362</v>
      </c>
    </row>
    <row r="565" customHeight="1" spans="1:6">
      <c r="A565" s="6">
        <v>564</v>
      </c>
      <c r="B565" s="8" t="s">
        <v>7359</v>
      </c>
      <c r="C565" s="8" t="s">
        <v>7360</v>
      </c>
      <c r="D565" s="8" t="s">
        <v>7361</v>
      </c>
      <c r="E565" s="8" t="s">
        <v>48</v>
      </c>
      <c r="F565" s="8" t="s">
        <v>7362</v>
      </c>
    </row>
    <row r="566" customHeight="1" spans="1:6">
      <c r="A566" s="6">
        <v>565</v>
      </c>
      <c r="B566" s="8" t="s">
        <v>7363</v>
      </c>
      <c r="C566" s="8" t="s">
        <v>7364</v>
      </c>
      <c r="D566" s="8" t="s">
        <v>7365</v>
      </c>
      <c r="E566" s="8" t="s">
        <v>43</v>
      </c>
      <c r="F566" s="8" t="s">
        <v>7366</v>
      </c>
    </row>
    <row r="567" customHeight="1" spans="1:6">
      <c r="A567" s="6">
        <v>566</v>
      </c>
      <c r="B567" s="8" t="s">
        <v>7363</v>
      </c>
      <c r="C567" s="8" t="s">
        <v>7364</v>
      </c>
      <c r="D567" s="8" t="s">
        <v>7365</v>
      </c>
      <c r="E567" s="8" t="s">
        <v>43</v>
      </c>
      <c r="F567" s="8" t="s">
        <v>7366</v>
      </c>
    </row>
    <row r="568" customHeight="1" spans="1:6">
      <c r="A568" s="6">
        <v>567</v>
      </c>
      <c r="B568" s="8" t="s">
        <v>7367</v>
      </c>
      <c r="C568" s="8" t="s">
        <v>7368</v>
      </c>
      <c r="D568" s="8" t="s">
        <v>7369</v>
      </c>
      <c r="E568" s="8" t="s">
        <v>571</v>
      </c>
      <c r="F568" s="8" t="s">
        <v>7370</v>
      </c>
    </row>
    <row r="569" customHeight="1" spans="1:6">
      <c r="A569" s="6">
        <v>568</v>
      </c>
      <c r="B569" s="8" t="s">
        <v>7367</v>
      </c>
      <c r="C569" s="8" t="s">
        <v>7368</v>
      </c>
      <c r="D569" s="8" t="s">
        <v>7369</v>
      </c>
      <c r="E569" s="8" t="s">
        <v>571</v>
      </c>
      <c r="F569" s="8" t="s">
        <v>7370</v>
      </c>
    </row>
    <row r="570" customHeight="1" spans="1:6">
      <c r="A570" s="6">
        <v>569</v>
      </c>
      <c r="B570" s="8" t="s">
        <v>7371</v>
      </c>
      <c r="C570" s="8" t="s">
        <v>7372</v>
      </c>
      <c r="D570" s="8" t="s">
        <v>7373</v>
      </c>
      <c r="E570" s="8" t="s">
        <v>710</v>
      </c>
      <c r="F570" s="8" t="s">
        <v>7374</v>
      </c>
    </row>
    <row r="571" customHeight="1" spans="1:6">
      <c r="A571" s="6">
        <v>570</v>
      </c>
      <c r="B571" s="8" t="s">
        <v>7371</v>
      </c>
      <c r="C571" s="8" t="s">
        <v>7372</v>
      </c>
      <c r="D571" s="8" t="s">
        <v>7373</v>
      </c>
      <c r="E571" s="8" t="s">
        <v>710</v>
      </c>
      <c r="F571" s="8" t="s">
        <v>7374</v>
      </c>
    </row>
    <row r="572" customHeight="1" spans="1:6">
      <c r="A572" s="6">
        <v>571</v>
      </c>
      <c r="B572" s="8" t="s">
        <v>7375</v>
      </c>
      <c r="C572" s="8" t="s">
        <v>7376</v>
      </c>
      <c r="D572" s="8" t="s">
        <v>7377</v>
      </c>
      <c r="E572" s="8" t="s">
        <v>710</v>
      </c>
      <c r="F572" s="8" t="s">
        <v>7378</v>
      </c>
    </row>
    <row r="573" customHeight="1" spans="1:6">
      <c r="A573" s="6">
        <v>572</v>
      </c>
      <c r="B573" s="8" t="s">
        <v>7375</v>
      </c>
      <c r="C573" s="8" t="s">
        <v>7376</v>
      </c>
      <c r="D573" s="8" t="s">
        <v>7377</v>
      </c>
      <c r="E573" s="8" t="s">
        <v>710</v>
      </c>
      <c r="F573" s="8" t="s">
        <v>7378</v>
      </c>
    </row>
    <row r="574" customHeight="1" spans="1:6">
      <c r="A574" s="6">
        <v>573</v>
      </c>
      <c r="B574" s="8" t="s">
        <v>7379</v>
      </c>
      <c r="C574" s="8" t="s">
        <v>7380</v>
      </c>
      <c r="D574" s="8" t="s">
        <v>7381</v>
      </c>
      <c r="E574" s="8" t="s">
        <v>890</v>
      </c>
      <c r="F574" s="8" t="s">
        <v>7382</v>
      </c>
    </row>
    <row r="575" customHeight="1" spans="1:6">
      <c r="A575" s="6">
        <v>574</v>
      </c>
      <c r="B575" s="8" t="s">
        <v>7379</v>
      </c>
      <c r="C575" s="8" t="s">
        <v>7380</v>
      </c>
      <c r="D575" s="8" t="s">
        <v>7381</v>
      </c>
      <c r="E575" s="8" t="s">
        <v>890</v>
      </c>
      <c r="F575" s="8" t="s">
        <v>7382</v>
      </c>
    </row>
    <row r="576" customHeight="1" spans="1:6">
      <c r="A576" s="6">
        <v>575</v>
      </c>
      <c r="B576" s="8" t="s">
        <v>7383</v>
      </c>
      <c r="C576" s="8" t="s">
        <v>7384</v>
      </c>
      <c r="D576" s="8" t="s">
        <v>3485</v>
      </c>
      <c r="E576" s="8" t="s">
        <v>1189</v>
      </c>
      <c r="F576" s="8" t="s">
        <v>7385</v>
      </c>
    </row>
    <row r="577" customHeight="1" spans="1:6">
      <c r="A577" s="6">
        <v>576</v>
      </c>
      <c r="B577" s="8" t="s">
        <v>7383</v>
      </c>
      <c r="C577" s="8" t="s">
        <v>7384</v>
      </c>
      <c r="D577" s="8" t="s">
        <v>3485</v>
      </c>
      <c r="E577" s="8" t="s">
        <v>1189</v>
      </c>
      <c r="F577" s="8" t="s">
        <v>7385</v>
      </c>
    </row>
    <row r="578" customHeight="1" spans="1:6">
      <c r="A578" s="6">
        <v>577</v>
      </c>
      <c r="B578" s="8" t="s">
        <v>7386</v>
      </c>
      <c r="C578" s="8" t="s">
        <v>7387</v>
      </c>
      <c r="D578" s="8" t="s">
        <v>7388</v>
      </c>
      <c r="E578" s="8" t="s">
        <v>43</v>
      </c>
      <c r="F578" s="8" t="s">
        <v>7389</v>
      </c>
    </row>
    <row r="579" customHeight="1" spans="1:6">
      <c r="A579" s="6">
        <v>578</v>
      </c>
      <c r="B579" s="8" t="s">
        <v>7386</v>
      </c>
      <c r="C579" s="8" t="s">
        <v>7387</v>
      </c>
      <c r="D579" s="8" t="s">
        <v>7388</v>
      </c>
      <c r="E579" s="8" t="s">
        <v>43</v>
      </c>
      <c r="F579" s="8" t="s">
        <v>7389</v>
      </c>
    </row>
    <row r="580" customHeight="1" spans="1:6">
      <c r="A580" s="6">
        <v>579</v>
      </c>
      <c r="B580" s="8" t="s">
        <v>7390</v>
      </c>
      <c r="C580" s="8" t="s">
        <v>7391</v>
      </c>
      <c r="D580" s="8" t="s">
        <v>7392</v>
      </c>
      <c r="E580" s="8" t="s">
        <v>1189</v>
      </c>
      <c r="F580" s="8" t="s">
        <v>7393</v>
      </c>
    </row>
    <row r="581" customHeight="1" spans="1:6">
      <c r="A581" s="6">
        <v>580</v>
      </c>
      <c r="B581" s="8" t="s">
        <v>7390</v>
      </c>
      <c r="C581" s="8" t="s">
        <v>7391</v>
      </c>
      <c r="D581" s="8" t="s">
        <v>7392</v>
      </c>
      <c r="E581" s="8" t="s">
        <v>1189</v>
      </c>
      <c r="F581" s="8" t="s">
        <v>7393</v>
      </c>
    </row>
    <row r="582" customHeight="1" spans="1:6">
      <c r="A582" s="6">
        <v>581</v>
      </c>
      <c r="B582" s="8" t="s">
        <v>7394</v>
      </c>
      <c r="C582" s="8" t="s">
        <v>7395</v>
      </c>
      <c r="D582" s="8" t="s">
        <v>7396</v>
      </c>
      <c r="E582" s="8" t="s">
        <v>571</v>
      </c>
      <c r="F582" s="8" t="s">
        <v>7397</v>
      </c>
    </row>
    <row r="583" customHeight="1" spans="1:6">
      <c r="A583" s="6">
        <v>582</v>
      </c>
      <c r="B583" s="8" t="s">
        <v>7394</v>
      </c>
      <c r="C583" s="8" t="s">
        <v>7395</v>
      </c>
      <c r="D583" s="8" t="s">
        <v>7396</v>
      </c>
      <c r="E583" s="8" t="s">
        <v>571</v>
      </c>
      <c r="F583" s="8" t="s">
        <v>7397</v>
      </c>
    </row>
    <row r="584" customHeight="1" spans="1:6">
      <c r="A584" s="6">
        <v>583</v>
      </c>
      <c r="B584" s="8" t="s">
        <v>7398</v>
      </c>
      <c r="C584" s="8" t="s">
        <v>7399</v>
      </c>
      <c r="D584" s="8" t="s">
        <v>7400</v>
      </c>
      <c r="E584" s="8" t="s">
        <v>571</v>
      </c>
      <c r="F584" s="8" t="s">
        <v>7401</v>
      </c>
    </row>
    <row r="585" customHeight="1" spans="1:6">
      <c r="A585" s="6">
        <v>584</v>
      </c>
      <c r="B585" s="8" t="s">
        <v>7398</v>
      </c>
      <c r="C585" s="8" t="s">
        <v>7399</v>
      </c>
      <c r="D585" s="8" t="s">
        <v>7400</v>
      </c>
      <c r="E585" s="8" t="s">
        <v>571</v>
      </c>
      <c r="F585" s="8" t="s">
        <v>7401</v>
      </c>
    </row>
    <row r="586" customHeight="1" spans="1:6">
      <c r="A586" s="6">
        <v>585</v>
      </c>
      <c r="B586" s="8" t="s">
        <v>7402</v>
      </c>
      <c r="C586" s="8" t="s">
        <v>7403</v>
      </c>
      <c r="D586" s="8" t="s">
        <v>7404</v>
      </c>
      <c r="E586" s="8" t="s">
        <v>571</v>
      </c>
      <c r="F586" s="8" t="s">
        <v>7405</v>
      </c>
    </row>
    <row r="587" customHeight="1" spans="1:6">
      <c r="A587" s="6">
        <v>586</v>
      </c>
      <c r="B587" s="8" t="s">
        <v>7402</v>
      </c>
      <c r="C587" s="8" t="s">
        <v>7403</v>
      </c>
      <c r="D587" s="8" t="s">
        <v>7404</v>
      </c>
      <c r="E587" s="8" t="s">
        <v>571</v>
      </c>
      <c r="F587" s="8" t="s">
        <v>7405</v>
      </c>
    </row>
    <row r="588" customHeight="1" spans="1:6">
      <c r="A588" s="6">
        <v>587</v>
      </c>
      <c r="B588" s="8" t="s">
        <v>7406</v>
      </c>
      <c r="C588" s="8" t="s">
        <v>7407</v>
      </c>
      <c r="D588" s="8" t="s">
        <v>7408</v>
      </c>
      <c r="E588" s="8" t="s">
        <v>33</v>
      </c>
      <c r="F588" s="8" t="s">
        <v>7409</v>
      </c>
    </row>
    <row r="589" customHeight="1" spans="1:6">
      <c r="A589" s="6">
        <v>588</v>
      </c>
      <c r="B589" s="8" t="s">
        <v>7406</v>
      </c>
      <c r="C589" s="8" t="s">
        <v>7407</v>
      </c>
      <c r="D589" s="8" t="s">
        <v>7408</v>
      </c>
      <c r="E589" s="8" t="s">
        <v>33</v>
      </c>
      <c r="F589" s="8" t="s">
        <v>7409</v>
      </c>
    </row>
    <row r="590" customHeight="1" spans="1:6">
      <c r="A590" s="6">
        <v>589</v>
      </c>
      <c r="B590" s="8" t="s">
        <v>7410</v>
      </c>
      <c r="C590" s="8" t="s">
        <v>7411</v>
      </c>
      <c r="D590" s="8" t="s">
        <v>7412</v>
      </c>
      <c r="E590" s="8" t="s">
        <v>1189</v>
      </c>
      <c r="F590" s="8" t="s">
        <v>7413</v>
      </c>
    </row>
    <row r="591" customHeight="1" spans="1:6">
      <c r="A591" s="6">
        <v>590</v>
      </c>
      <c r="B591" s="8" t="s">
        <v>7410</v>
      </c>
      <c r="C591" s="8" t="s">
        <v>7411</v>
      </c>
      <c r="D591" s="8" t="s">
        <v>7412</v>
      </c>
      <c r="E591" s="8" t="s">
        <v>1189</v>
      </c>
      <c r="F591" s="8" t="s">
        <v>7413</v>
      </c>
    </row>
    <row r="592" customHeight="1" spans="1:6">
      <c r="A592" s="6">
        <v>591</v>
      </c>
      <c r="B592" s="8" t="s">
        <v>7414</v>
      </c>
      <c r="C592" s="8" t="s">
        <v>7415</v>
      </c>
      <c r="D592" s="8" t="s">
        <v>7416</v>
      </c>
      <c r="E592" s="8" t="s">
        <v>5998</v>
      </c>
      <c r="F592" s="8" t="s">
        <v>7417</v>
      </c>
    </row>
    <row r="593" customHeight="1" spans="1:6">
      <c r="A593" s="6">
        <v>592</v>
      </c>
      <c r="B593" s="8" t="s">
        <v>7414</v>
      </c>
      <c r="C593" s="8" t="s">
        <v>7415</v>
      </c>
      <c r="D593" s="8" t="s">
        <v>7416</v>
      </c>
      <c r="E593" s="8" t="s">
        <v>5998</v>
      </c>
      <c r="F593" s="8" t="s">
        <v>7417</v>
      </c>
    </row>
    <row r="594" customHeight="1" spans="1:6">
      <c r="A594" s="6">
        <v>593</v>
      </c>
      <c r="B594" s="8" t="s">
        <v>7418</v>
      </c>
      <c r="C594" s="8" t="s">
        <v>7419</v>
      </c>
      <c r="D594" s="8" t="s">
        <v>7420</v>
      </c>
      <c r="E594" s="8" t="s">
        <v>571</v>
      </c>
      <c r="F594" s="8" t="s">
        <v>7421</v>
      </c>
    </row>
    <row r="595" customHeight="1" spans="1:6">
      <c r="A595" s="6">
        <v>594</v>
      </c>
      <c r="B595" s="8" t="s">
        <v>7418</v>
      </c>
      <c r="C595" s="8" t="s">
        <v>7419</v>
      </c>
      <c r="D595" s="8" t="s">
        <v>7420</v>
      </c>
      <c r="E595" s="8" t="s">
        <v>571</v>
      </c>
      <c r="F595" s="8" t="s">
        <v>7421</v>
      </c>
    </row>
    <row r="596" customHeight="1" spans="1:6">
      <c r="A596" s="6">
        <v>595</v>
      </c>
      <c r="B596" s="8" t="s">
        <v>7422</v>
      </c>
      <c r="C596" s="8" t="s">
        <v>7423</v>
      </c>
      <c r="D596" s="8" t="s">
        <v>7424</v>
      </c>
      <c r="E596" s="8" t="s">
        <v>571</v>
      </c>
      <c r="F596" s="8" t="s">
        <v>7425</v>
      </c>
    </row>
    <row r="597" customHeight="1" spans="1:6">
      <c r="A597" s="6">
        <v>596</v>
      </c>
      <c r="B597" s="8" t="s">
        <v>7422</v>
      </c>
      <c r="C597" s="8" t="s">
        <v>7423</v>
      </c>
      <c r="D597" s="8" t="s">
        <v>7424</v>
      </c>
      <c r="E597" s="8" t="s">
        <v>571</v>
      </c>
      <c r="F597" s="8" t="s">
        <v>7425</v>
      </c>
    </row>
    <row r="598" customHeight="1" spans="1:6">
      <c r="A598" s="6">
        <v>597</v>
      </c>
      <c r="B598" s="8" t="s">
        <v>7426</v>
      </c>
      <c r="C598" s="8" t="s">
        <v>7427</v>
      </c>
      <c r="D598" s="8" t="s">
        <v>7428</v>
      </c>
      <c r="E598" s="8" t="s">
        <v>43</v>
      </c>
      <c r="F598" s="8" t="s">
        <v>7429</v>
      </c>
    </row>
    <row r="599" customHeight="1" spans="1:6">
      <c r="A599" s="6">
        <v>598</v>
      </c>
      <c r="B599" s="8" t="s">
        <v>7426</v>
      </c>
      <c r="C599" s="8" t="s">
        <v>7427</v>
      </c>
      <c r="D599" s="8" t="s">
        <v>7428</v>
      </c>
      <c r="E599" s="8" t="s">
        <v>43</v>
      </c>
      <c r="F599" s="8" t="s">
        <v>7429</v>
      </c>
    </row>
    <row r="600" customHeight="1" spans="1:6">
      <c r="A600" s="6">
        <v>599</v>
      </c>
      <c r="B600" s="8" t="s">
        <v>7430</v>
      </c>
      <c r="C600" s="8" t="s">
        <v>7431</v>
      </c>
      <c r="D600" s="8" t="s">
        <v>7432</v>
      </c>
      <c r="E600" s="8" t="s">
        <v>2267</v>
      </c>
      <c r="F600" s="8" t="s">
        <v>7433</v>
      </c>
    </row>
    <row r="601" customHeight="1" spans="1:6">
      <c r="A601" s="6">
        <v>600</v>
      </c>
      <c r="B601" s="8" t="s">
        <v>7430</v>
      </c>
      <c r="C601" s="8" t="s">
        <v>7431</v>
      </c>
      <c r="D601" s="8" t="s">
        <v>7432</v>
      </c>
      <c r="E601" s="8" t="s">
        <v>2267</v>
      </c>
      <c r="F601" s="8" t="s">
        <v>7433</v>
      </c>
    </row>
    <row r="602" customHeight="1" spans="1:6">
      <c r="A602" s="6">
        <v>601</v>
      </c>
      <c r="B602" s="8" t="s">
        <v>7434</v>
      </c>
      <c r="C602" s="8" t="s">
        <v>7435</v>
      </c>
      <c r="D602" s="8" t="s">
        <v>7436</v>
      </c>
      <c r="E602" s="8" t="s">
        <v>3</v>
      </c>
      <c r="F602" s="8" t="s">
        <v>7437</v>
      </c>
    </row>
    <row r="603" customHeight="1" spans="1:6">
      <c r="A603" s="6">
        <v>602</v>
      </c>
      <c r="B603" s="8" t="s">
        <v>7434</v>
      </c>
      <c r="C603" s="8" t="s">
        <v>7435</v>
      </c>
      <c r="D603" s="8" t="s">
        <v>7436</v>
      </c>
      <c r="E603" s="8" t="s">
        <v>3</v>
      </c>
      <c r="F603" s="8" t="s">
        <v>7437</v>
      </c>
    </row>
    <row r="604" customHeight="1" spans="1:6">
      <c r="A604" s="6">
        <v>603</v>
      </c>
      <c r="B604" s="8" t="s">
        <v>7438</v>
      </c>
      <c r="C604" s="8" t="s">
        <v>7439</v>
      </c>
      <c r="D604" s="8" t="s">
        <v>7440</v>
      </c>
      <c r="E604" s="8" t="s">
        <v>701</v>
      </c>
      <c r="F604" s="8" t="s">
        <v>7441</v>
      </c>
    </row>
    <row r="605" customHeight="1" spans="1:6">
      <c r="A605" s="6">
        <v>604</v>
      </c>
      <c r="B605" s="8" t="s">
        <v>7438</v>
      </c>
      <c r="C605" s="8" t="s">
        <v>7439</v>
      </c>
      <c r="D605" s="8" t="s">
        <v>7440</v>
      </c>
      <c r="E605" s="8" t="s">
        <v>701</v>
      </c>
      <c r="F605" s="8" t="s">
        <v>7441</v>
      </c>
    </row>
    <row r="606" customHeight="1" spans="1:6">
      <c r="A606" s="6">
        <v>605</v>
      </c>
      <c r="B606" s="8" t="s">
        <v>7442</v>
      </c>
      <c r="C606" s="8" t="s">
        <v>7443</v>
      </c>
      <c r="D606" s="8" t="s">
        <v>7444</v>
      </c>
      <c r="E606" s="8" t="s">
        <v>71</v>
      </c>
      <c r="F606" s="8" t="s">
        <v>7445</v>
      </c>
    </row>
    <row r="607" customHeight="1" spans="1:6">
      <c r="A607" s="6">
        <v>606</v>
      </c>
      <c r="B607" s="8" t="s">
        <v>7442</v>
      </c>
      <c r="C607" s="8" t="s">
        <v>7443</v>
      </c>
      <c r="D607" s="8" t="s">
        <v>7444</v>
      </c>
      <c r="E607" s="8" t="s">
        <v>71</v>
      </c>
      <c r="F607" s="8" t="s">
        <v>7445</v>
      </c>
    </row>
    <row r="608" customHeight="1" spans="1:6">
      <c r="A608" s="6">
        <v>607</v>
      </c>
      <c r="B608" s="8" t="s">
        <v>7446</v>
      </c>
      <c r="C608" s="8" t="s">
        <v>7447</v>
      </c>
      <c r="D608" s="8" t="s">
        <v>7448</v>
      </c>
      <c r="E608" s="8" t="s">
        <v>1189</v>
      </c>
      <c r="F608" s="8" t="s">
        <v>7449</v>
      </c>
    </row>
    <row r="609" customHeight="1" spans="1:6">
      <c r="A609" s="6">
        <v>608</v>
      </c>
      <c r="B609" s="8" t="s">
        <v>7446</v>
      </c>
      <c r="C609" s="8" t="s">
        <v>7447</v>
      </c>
      <c r="D609" s="8" t="s">
        <v>7448</v>
      </c>
      <c r="E609" s="8" t="s">
        <v>1189</v>
      </c>
      <c r="F609" s="8" t="s">
        <v>7449</v>
      </c>
    </row>
    <row r="610" customHeight="1" spans="1:6">
      <c r="A610" s="6">
        <v>609</v>
      </c>
      <c r="B610" s="8" t="s">
        <v>7450</v>
      </c>
      <c r="C610" s="8" t="s">
        <v>7451</v>
      </c>
      <c r="D610" s="8" t="s">
        <v>7452</v>
      </c>
      <c r="E610" s="8" t="s">
        <v>571</v>
      </c>
      <c r="F610" s="8" t="s">
        <v>7453</v>
      </c>
    </row>
    <row r="611" customHeight="1" spans="1:6">
      <c r="A611" s="6">
        <v>610</v>
      </c>
      <c r="B611" s="8" t="s">
        <v>7450</v>
      </c>
      <c r="C611" s="8" t="s">
        <v>7451</v>
      </c>
      <c r="D611" s="8" t="s">
        <v>7452</v>
      </c>
      <c r="E611" s="8" t="s">
        <v>571</v>
      </c>
      <c r="F611" s="8" t="s">
        <v>7453</v>
      </c>
    </row>
    <row r="612" customHeight="1" spans="1:6">
      <c r="A612" s="6">
        <v>611</v>
      </c>
      <c r="B612" s="8" t="s">
        <v>7454</v>
      </c>
      <c r="C612" s="8" t="s">
        <v>7455</v>
      </c>
      <c r="D612" s="8" t="s">
        <v>7456</v>
      </c>
      <c r="E612" s="8" t="s">
        <v>571</v>
      </c>
      <c r="F612" s="8" t="s">
        <v>7457</v>
      </c>
    </row>
    <row r="613" customHeight="1" spans="1:6">
      <c r="A613" s="6">
        <v>612</v>
      </c>
      <c r="B613" s="8" t="s">
        <v>7454</v>
      </c>
      <c r="C613" s="8" t="s">
        <v>7455</v>
      </c>
      <c r="D613" s="8" t="s">
        <v>7456</v>
      </c>
      <c r="E613" s="8" t="s">
        <v>571</v>
      </c>
      <c r="F613" s="8" t="s">
        <v>7457</v>
      </c>
    </row>
    <row r="614" customHeight="1" spans="1:6">
      <c r="A614" s="6">
        <v>613</v>
      </c>
      <c r="B614" s="8" t="s">
        <v>7458</v>
      </c>
      <c r="C614" s="8" t="s">
        <v>7459</v>
      </c>
      <c r="D614" s="8" t="s">
        <v>7460</v>
      </c>
      <c r="E614" s="8" t="s">
        <v>1189</v>
      </c>
      <c r="F614" s="8" t="s">
        <v>7461</v>
      </c>
    </row>
    <row r="615" customHeight="1" spans="1:6">
      <c r="A615" s="6">
        <v>614</v>
      </c>
      <c r="B615" s="8" t="s">
        <v>7458</v>
      </c>
      <c r="C615" s="8" t="s">
        <v>7459</v>
      </c>
      <c r="D615" s="8" t="s">
        <v>7460</v>
      </c>
      <c r="E615" s="8" t="s">
        <v>1189</v>
      </c>
      <c r="F615" s="8" t="s">
        <v>7461</v>
      </c>
    </row>
    <row r="616" customHeight="1" spans="1:6">
      <c r="A616" s="6">
        <v>615</v>
      </c>
      <c r="B616" s="8" t="s">
        <v>7462</v>
      </c>
      <c r="C616" s="8" t="s">
        <v>7463</v>
      </c>
      <c r="D616" s="8" t="s">
        <v>7464</v>
      </c>
      <c r="E616" s="8" t="s">
        <v>710</v>
      </c>
      <c r="F616" s="8" t="s">
        <v>7465</v>
      </c>
    </row>
    <row r="617" customHeight="1" spans="1:6">
      <c r="A617" s="6">
        <v>616</v>
      </c>
      <c r="B617" s="8" t="s">
        <v>7462</v>
      </c>
      <c r="C617" s="8" t="s">
        <v>7463</v>
      </c>
      <c r="D617" s="8" t="s">
        <v>7464</v>
      </c>
      <c r="E617" s="8" t="s">
        <v>710</v>
      </c>
      <c r="F617" s="8" t="s">
        <v>7465</v>
      </c>
    </row>
    <row r="618" customHeight="1" spans="1:6">
      <c r="A618" s="6">
        <v>617</v>
      </c>
      <c r="B618" s="8" t="s">
        <v>7466</v>
      </c>
      <c r="C618" s="8" t="s">
        <v>7467</v>
      </c>
      <c r="D618" s="8" t="s">
        <v>7468</v>
      </c>
      <c r="E618" s="8" t="s">
        <v>571</v>
      </c>
      <c r="F618" s="8" t="s">
        <v>7469</v>
      </c>
    </row>
    <row r="619" customHeight="1" spans="1:6">
      <c r="A619" s="6">
        <v>618</v>
      </c>
      <c r="B619" s="8" t="s">
        <v>7466</v>
      </c>
      <c r="C619" s="8" t="s">
        <v>7467</v>
      </c>
      <c r="D619" s="8" t="s">
        <v>7468</v>
      </c>
      <c r="E619" s="8" t="s">
        <v>571</v>
      </c>
      <c r="F619" s="8" t="s">
        <v>7469</v>
      </c>
    </row>
    <row r="620" customHeight="1" spans="1:6">
      <c r="A620" s="6">
        <v>619</v>
      </c>
      <c r="B620" s="8" t="s">
        <v>7470</v>
      </c>
      <c r="C620" s="8" t="s">
        <v>7471</v>
      </c>
      <c r="D620" s="8" t="s">
        <v>7472</v>
      </c>
      <c r="E620" s="8" t="s">
        <v>3098</v>
      </c>
      <c r="F620" s="8" t="s">
        <v>7473</v>
      </c>
    </row>
    <row r="621" customHeight="1" spans="1:6">
      <c r="A621" s="6">
        <v>620</v>
      </c>
      <c r="B621" s="8" t="s">
        <v>7470</v>
      </c>
      <c r="C621" s="8" t="s">
        <v>7471</v>
      </c>
      <c r="D621" s="8" t="s">
        <v>7472</v>
      </c>
      <c r="E621" s="8" t="s">
        <v>3098</v>
      </c>
      <c r="F621" s="8" t="s">
        <v>7473</v>
      </c>
    </row>
    <row r="622" customHeight="1" spans="1:6">
      <c r="A622" s="6">
        <v>621</v>
      </c>
      <c r="B622" s="8" t="s">
        <v>7474</v>
      </c>
      <c r="C622" s="8" t="s">
        <v>7475</v>
      </c>
      <c r="D622" s="8" t="s">
        <v>7476</v>
      </c>
      <c r="E622" s="8" t="s">
        <v>890</v>
      </c>
      <c r="F622" s="8" t="s">
        <v>7477</v>
      </c>
    </row>
    <row r="623" customHeight="1" spans="1:6">
      <c r="A623" s="6">
        <v>622</v>
      </c>
      <c r="B623" s="8" t="s">
        <v>7474</v>
      </c>
      <c r="C623" s="8" t="s">
        <v>7475</v>
      </c>
      <c r="D623" s="8" t="s">
        <v>7476</v>
      </c>
      <c r="E623" s="8" t="s">
        <v>890</v>
      </c>
      <c r="F623" s="8" t="s">
        <v>7477</v>
      </c>
    </row>
    <row r="624" customHeight="1" spans="1:6">
      <c r="A624" s="6">
        <v>623</v>
      </c>
      <c r="B624" s="8" t="s">
        <v>7478</v>
      </c>
      <c r="C624" s="8" t="s">
        <v>7479</v>
      </c>
      <c r="D624" s="8" t="s">
        <v>7436</v>
      </c>
      <c r="E624" s="8" t="s">
        <v>33</v>
      </c>
      <c r="F624" s="8" t="s">
        <v>7480</v>
      </c>
    </row>
    <row r="625" customHeight="1" spans="1:6">
      <c r="A625" s="6">
        <v>624</v>
      </c>
      <c r="B625" s="8" t="s">
        <v>7478</v>
      </c>
      <c r="C625" s="8" t="s">
        <v>7479</v>
      </c>
      <c r="D625" s="8" t="s">
        <v>7436</v>
      </c>
      <c r="E625" s="8" t="s">
        <v>33</v>
      </c>
      <c r="F625" s="8" t="s">
        <v>7480</v>
      </c>
    </row>
    <row r="626" customHeight="1" spans="1:6">
      <c r="A626" s="6">
        <v>625</v>
      </c>
      <c r="B626" s="8" t="s">
        <v>7481</v>
      </c>
      <c r="C626" s="8" t="s">
        <v>7482</v>
      </c>
      <c r="D626" s="8" t="s">
        <v>7483</v>
      </c>
      <c r="E626" s="8" t="s">
        <v>629</v>
      </c>
      <c r="F626" s="8" t="s">
        <v>7484</v>
      </c>
    </row>
    <row r="627" customHeight="1" spans="1:6">
      <c r="A627" s="6">
        <v>626</v>
      </c>
      <c r="B627" s="8" t="s">
        <v>7481</v>
      </c>
      <c r="C627" s="8" t="s">
        <v>7482</v>
      </c>
      <c r="D627" s="8" t="s">
        <v>7483</v>
      </c>
      <c r="E627" s="8" t="s">
        <v>629</v>
      </c>
      <c r="F627" s="8" t="s">
        <v>7484</v>
      </c>
    </row>
    <row r="628" customHeight="1" spans="1:6">
      <c r="A628" s="6">
        <v>627</v>
      </c>
      <c r="B628" s="8" t="s">
        <v>7485</v>
      </c>
      <c r="C628" s="8" t="s">
        <v>7486</v>
      </c>
      <c r="D628" s="8" t="s">
        <v>7487</v>
      </c>
      <c r="E628" s="8" t="s">
        <v>4740</v>
      </c>
      <c r="F628" s="8" t="s">
        <v>7488</v>
      </c>
    </row>
    <row r="629" customHeight="1" spans="1:6">
      <c r="A629" s="6">
        <v>628</v>
      </c>
      <c r="B629" s="8" t="s">
        <v>7485</v>
      </c>
      <c r="C629" s="8" t="s">
        <v>7486</v>
      </c>
      <c r="D629" s="8" t="s">
        <v>7487</v>
      </c>
      <c r="E629" s="8" t="s">
        <v>4740</v>
      </c>
      <c r="F629" s="8" t="s">
        <v>7488</v>
      </c>
    </row>
    <row r="630" customHeight="1" spans="1:6">
      <c r="A630" s="6">
        <v>629</v>
      </c>
      <c r="B630" s="8" t="s">
        <v>7489</v>
      </c>
      <c r="C630" s="8" t="s">
        <v>7490</v>
      </c>
      <c r="D630" s="8" t="s">
        <v>7491</v>
      </c>
      <c r="E630" s="8" t="s">
        <v>670</v>
      </c>
      <c r="F630" s="8" t="s">
        <v>7492</v>
      </c>
    </row>
    <row r="631" customHeight="1" spans="1:6">
      <c r="A631" s="6">
        <v>630</v>
      </c>
      <c r="B631" s="8" t="s">
        <v>7489</v>
      </c>
      <c r="C631" s="8" t="s">
        <v>7490</v>
      </c>
      <c r="D631" s="8" t="s">
        <v>7491</v>
      </c>
      <c r="E631" s="8" t="s">
        <v>670</v>
      </c>
      <c r="F631" s="8" t="s">
        <v>7492</v>
      </c>
    </row>
    <row r="632" customHeight="1" spans="1:6">
      <c r="A632" s="6">
        <v>631</v>
      </c>
      <c r="B632" s="8" t="s">
        <v>7493</v>
      </c>
      <c r="C632" s="8" t="s">
        <v>7494</v>
      </c>
      <c r="D632" s="8" t="s">
        <v>7495</v>
      </c>
      <c r="E632" s="8" t="s">
        <v>425</v>
      </c>
      <c r="F632" s="8" t="s">
        <v>7496</v>
      </c>
    </row>
    <row r="633" customHeight="1" spans="1:6">
      <c r="A633" s="6">
        <v>632</v>
      </c>
      <c r="B633" s="8" t="s">
        <v>7493</v>
      </c>
      <c r="C633" s="8" t="s">
        <v>7494</v>
      </c>
      <c r="D633" s="8" t="s">
        <v>7495</v>
      </c>
      <c r="E633" s="8" t="s">
        <v>425</v>
      </c>
      <c r="F633" s="8" t="s">
        <v>7496</v>
      </c>
    </row>
    <row r="634" customHeight="1" spans="1:6">
      <c r="A634" s="6">
        <v>633</v>
      </c>
      <c r="B634" s="8" t="s">
        <v>7497</v>
      </c>
      <c r="C634" s="8" t="s">
        <v>7498</v>
      </c>
      <c r="D634" s="8" t="s">
        <v>7499</v>
      </c>
      <c r="E634" s="8" t="s">
        <v>571</v>
      </c>
      <c r="F634" s="8" t="s">
        <v>7500</v>
      </c>
    </row>
    <row r="635" customHeight="1" spans="1:6">
      <c r="A635" s="6">
        <v>634</v>
      </c>
      <c r="B635" s="8" t="s">
        <v>7497</v>
      </c>
      <c r="C635" s="8" t="s">
        <v>7498</v>
      </c>
      <c r="D635" s="8" t="s">
        <v>7499</v>
      </c>
      <c r="E635" s="8" t="s">
        <v>571</v>
      </c>
      <c r="F635" s="8" t="s">
        <v>7500</v>
      </c>
    </row>
    <row r="636" customHeight="1" spans="1:6">
      <c r="A636" s="6">
        <v>635</v>
      </c>
      <c r="B636" s="8" t="s">
        <v>7501</v>
      </c>
      <c r="C636" s="8" t="s">
        <v>7502</v>
      </c>
      <c r="D636" s="8" t="s">
        <v>7503</v>
      </c>
      <c r="E636" s="8" t="s">
        <v>239</v>
      </c>
      <c r="F636" s="8" t="s">
        <v>7504</v>
      </c>
    </row>
    <row r="637" customHeight="1" spans="1:6">
      <c r="A637" s="6">
        <v>636</v>
      </c>
      <c r="B637" s="8" t="s">
        <v>7501</v>
      </c>
      <c r="C637" s="8" t="s">
        <v>7502</v>
      </c>
      <c r="D637" s="8" t="s">
        <v>7503</v>
      </c>
      <c r="E637" s="8" t="s">
        <v>239</v>
      </c>
      <c r="F637" s="8" t="s">
        <v>7504</v>
      </c>
    </row>
    <row r="638" customHeight="1" spans="1:6">
      <c r="A638" s="6">
        <v>637</v>
      </c>
      <c r="B638" s="8" t="s">
        <v>7505</v>
      </c>
      <c r="C638" s="8" t="s">
        <v>7506</v>
      </c>
      <c r="D638" s="8" t="s">
        <v>7507</v>
      </c>
      <c r="E638" s="8" t="s">
        <v>485</v>
      </c>
      <c r="F638" s="8" t="s">
        <v>7508</v>
      </c>
    </row>
    <row r="639" customHeight="1" spans="1:6">
      <c r="A639" s="6">
        <v>638</v>
      </c>
      <c r="B639" s="8" t="s">
        <v>7505</v>
      </c>
      <c r="C639" s="8" t="s">
        <v>7506</v>
      </c>
      <c r="D639" s="8" t="s">
        <v>7507</v>
      </c>
      <c r="E639" s="8" t="s">
        <v>485</v>
      </c>
      <c r="F639" s="8" t="s">
        <v>7508</v>
      </c>
    </row>
    <row r="640" customHeight="1" spans="1:6">
      <c r="A640" s="6">
        <v>639</v>
      </c>
      <c r="B640" s="8" t="s">
        <v>7509</v>
      </c>
      <c r="C640" s="8" t="s">
        <v>7510</v>
      </c>
      <c r="D640" s="8" t="s">
        <v>7511</v>
      </c>
      <c r="E640" s="8" t="s">
        <v>5998</v>
      </c>
      <c r="F640" s="8" t="s">
        <v>7512</v>
      </c>
    </row>
    <row r="641" customHeight="1" spans="1:6">
      <c r="A641" s="6">
        <v>640</v>
      </c>
      <c r="B641" s="8" t="s">
        <v>7509</v>
      </c>
      <c r="C641" s="8" t="s">
        <v>7510</v>
      </c>
      <c r="D641" s="8" t="s">
        <v>7511</v>
      </c>
      <c r="E641" s="8" t="s">
        <v>5998</v>
      </c>
      <c r="F641" s="8" t="s">
        <v>7512</v>
      </c>
    </row>
    <row r="642" customHeight="1" spans="1:6">
      <c r="A642" s="6">
        <v>641</v>
      </c>
      <c r="B642" s="8" t="s">
        <v>7513</v>
      </c>
      <c r="C642" s="8" t="s">
        <v>7514</v>
      </c>
      <c r="D642" s="8" t="s">
        <v>7515</v>
      </c>
      <c r="E642" s="8" t="s">
        <v>710</v>
      </c>
      <c r="F642" s="8" t="s">
        <v>7516</v>
      </c>
    </row>
    <row r="643" customHeight="1" spans="1:6">
      <c r="A643" s="6">
        <v>642</v>
      </c>
      <c r="B643" s="8" t="s">
        <v>7513</v>
      </c>
      <c r="C643" s="8" t="s">
        <v>7514</v>
      </c>
      <c r="D643" s="8" t="s">
        <v>7515</v>
      </c>
      <c r="E643" s="8" t="s">
        <v>710</v>
      </c>
      <c r="F643" s="8" t="s">
        <v>7516</v>
      </c>
    </row>
    <row r="644" customHeight="1" spans="1:6">
      <c r="A644" s="6">
        <v>643</v>
      </c>
      <c r="B644" s="8" t="s">
        <v>7517</v>
      </c>
      <c r="C644" s="8" t="s">
        <v>7518</v>
      </c>
      <c r="D644" s="8" t="s">
        <v>7519</v>
      </c>
      <c r="E644" s="8" t="s">
        <v>675</v>
      </c>
      <c r="F644" s="8" t="s">
        <v>7520</v>
      </c>
    </row>
    <row r="645" customHeight="1" spans="1:6">
      <c r="A645" s="6">
        <v>644</v>
      </c>
      <c r="B645" s="8" t="s">
        <v>7521</v>
      </c>
      <c r="C645" s="8" t="s">
        <v>7522</v>
      </c>
      <c r="D645" s="8" t="s">
        <v>7523</v>
      </c>
      <c r="E645" s="8" t="s">
        <v>710</v>
      </c>
      <c r="F645" s="8" t="s">
        <v>7524</v>
      </c>
    </row>
    <row r="646" customHeight="1" spans="1:6">
      <c r="A646" s="6">
        <v>645</v>
      </c>
      <c r="B646" s="8" t="s">
        <v>7521</v>
      </c>
      <c r="C646" s="8" t="s">
        <v>7522</v>
      </c>
      <c r="D646" s="8" t="s">
        <v>7523</v>
      </c>
      <c r="E646" s="8" t="s">
        <v>710</v>
      </c>
      <c r="F646" s="8" t="s">
        <v>7524</v>
      </c>
    </row>
    <row r="647" customHeight="1" spans="1:6">
      <c r="A647" s="6">
        <v>646</v>
      </c>
      <c r="B647" s="7" t="str">
        <f t="shared" ref="B647:B649" si="69">"978-7-5709-2111-9"</f>
        <v>978-7-5709-2111-9</v>
      </c>
      <c r="C647" s="7" t="str">
        <f t="shared" ref="C647:C649" si="70">"我国本科教学审核评估标准改进的有机走向"</f>
        <v>我国本科教学审核评估标准改进的有机走向</v>
      </c>
      <c r="D647" s="7" t="str">
        <f t="shared" ref="D647:D649" si="71">"林琳著"</f>
        <v>林琳著</v>
      </c>
      <c r="E647" s="7" t="str">
        <f t="shared" ref="E647:E649" si="72">"黑龙江教育出版社"</f>
        <v>黑龙江教育出版社</v>
      </c>
      <c r="F647" s="7" t="str">
        <f t="shared" ref="F647:F649" si="73">"G642.0/68"</f>
        <v>G642.0/68</v>
      </c>
    </row>
    <row r="648" customHeight="1" spans="1:6">
      <c r="A648" s="6">
        <v>647</v>
      </c>
      <c r="B648" s="7" t="str">
        <f t="shared" si="69"/>
        <v>978-7-5709-2111-9</v>
      </c>
      <c r="C648" s="7" t="str">
        <f t="shared" si="70"/>
        <v>我国本科教学审核评估标准改进的有机走向</v>
      </c>
      <c r="D648" s="7" t="str">
        <f t="shared" si="71"/>
        <v>林琳著</v>
      </c>
      <c r="E648" s="7" t="str">
        <f t="shared" si="72"/>
        <v>黑龙江教育出版社</v>
      </c>
      <c r="F648" s="7" t="str">
        <f t="shared" si="73"/>
        <v>G642.0/68</v>
      </c>
    </row>
    <row r="649" customHeight="1" spans="1:6">
      <c r="A649" s="6">
        <v>648</v>
      </c>
      <c r="B649" s="7" t="str">
        <f t="shared" si="69"/>
        <v>978-7-5709-2111-9</v>
      </c>
      <c r="C649" s="7" t="str">
        <f t="shared" si="70"/>
        <v>我国本科教学审核评估标准改进的有机走向</v>
      </c>
      <c r="D649" s="7" t="str">
        <f t="shared" si="71"/>
        <v>林琳著</v>
      </c>
      <c r="E649" s="7" t="str">
        <f t="shared" si="72"/>
        <v>黑龙江教育出版社</v>
      </c>
      <c r="F649" s="7" t="str">
        <f t="shared" si="73"/>
        <v>G642.0/68</v>
      </c>
    </row>
    <row r="650" customHeight="1" spans="1:6">
      <c r="A650" s="6">
        <v>649</v>
      </c>
      <c r="B650" s="8" t="s">
        <v>7525</v>
      </c>
      <c r="C650" s="8" t="s">
        <v>7526</v>
      </c>
      <c r="D650" s="8" t="s">
        <v>7527</v>
      </c>
      <c r="E650" s="8" t="s">
        <v>2566</v>
      </c>
      <c r="F650" s="8" t="s">
        <v>7528</v>
      </c>
    </row>
    <row r="651" customHeight="1" spans="1:6">
      <c r="A651" s="6">
        <v>650</v>
      </c>
      <c r="B651" s="8" t="s">
        <v>7525</v>
      </c>
      <c r="C651" s="8" t="s">
        <v>7526</v>
      </c>
      <c r="D651" s="8" t="s">
        <v>7527</v>
      </c>
      <c r="E651" s="8" t="s">
        <v>2566</v>
      </c>
      <c r="F651" s="8" t="s">
        <v>7528</v>
      </c>
    </row>
    <row r="652" customHeight="1" spans="1:6">
      <c r="A652" s="6">
        <v>651</v>
      </c>
      <c r="B652" s="8" t="s">
        <v>7525</v>
      </c>
      <c r="C652" s="8" t="s">
        <v>7526</v>
      </c>
      <c r="D652" s="8" t="s">
        <v>7527</v>
      </c>
      <c r="E652" s="8" t="s">
        <v>2566</v>
      </c>
      <c r="F652" s="8" t="s">
        <v>7528</v>
      </c>
    </row>
    <row r="653" customHeight="1" spans="1:6">
      <c r="A653" s="6">
        <v>652</v>
      </c>
      <c r="B653" s="8" t="s">
        <v>7529</v>
      </c>
      <c r="C653" s="8" t="s">
        <v>7530</v>
      </c>
      <c r="D653" s="8" t="s">
        <v>7531</v>
      </c>
      <c r="E653" s="8" t="s">
        <v>239</v>
      </c>
      <c r="F653" s="8" t="s">
        <v>7532</v>
      </c>
    </row>
    <row r="654" customHeight="1" spans="1:6">
      <c r="A654" s="6">
        <v>653</v>
      </c>
      <c r="B654" s="8" t="s">
        <v>7529</v>
      </c>
      <c r="C654" s="8" t="s">
        <v>7530</v>
      </c>
      <c r="D654" s="8" t="s">
        <v>7531</v>
      </c>
      <c r="E654" s="8" t="s">
        <v>239</v>
      </c>
      <c r="F654" s="8" t="s">
        <v>7532</v>
      </c>
    </row>
    <row r="655" customHeight="1" spans="1:6">
      <c r="A655" s="6">
        <v>654</v>
      </c>
      <c r="B655" s="7" t="str">
        <f>"978-7-5576-8668-0"</f>
        <v>978-7-5576-8668-0</v>
      </c>
      <c r="C655" s="7" t="str">
        <f>"如何在大学学习"</f>
        <v>如何在大学学习</v>
      </c>
      <c r="D655" s="7" t="str">
        <f>"(美) 沃尔特·鲍克， 罗斯·J.Q. 欧文斯著Walter Pauk， Ross J. Q. Owens；清浅译"</f>
        <v>(美) 沃尔特·鲍克， 罗斯·J.Q. 欧文斯著Walter Pauk， Ross J. Q. Owens；清浅译</v>
      </c>
      <c r="E655" s="7" t="str">
        <f>"天津科学技术出版社"</f>
        <v>天津科学技术出版社</v>
      </c>
      <c r="F655" s="7" t="str">
        <f>"G642.46/10"</f>
        <v>G642.46/10</v>
      </c>
    </row>
    <row r="656" customHeight="1" spans="1:6">
      <c r="A656" s="6">
        <v>655</v>
      </c>
      <c r="B656" s="7" t="str">
        <f>"978-7-5576-8668-0"</f>
        <v>978-7-5576-8668-0</v>
      </c>
      <c r="C656" s="7" t="str">
        <f>"如何在大学学习"</f>
        <v>如何在大学学习</v>
      </c>
      <c r="D656" s="7" t="str">
        <f>"(美) 沃尔特·鲍克， 罗斯·J.Q. 欧文斯著Walter Pauk， Ross J. Q. Owens；清浅译"</f>
        <v>(美) 沃尔特·鲍克， 罗斯·J.Q. 欧文斯著Walter Pauk， Ross J. Q. Owens；清浅译</v>
      </c>
      <c r="E656" s="7" t="str">
        <f>"天津科学技术出版社"</f>
        <v>天津科学技术出版社</v>
      </c>
      <c r="F656" s="7" t="str">
        <f>"G642.46/10"</f>
        <v>G642.46/10</v>
      </c>
    </row>
    <row r="657" customHeight="1" spans="1:6">
      <c r="A657" s="6">
        <v>656</v>
      </c>
      <c r="B657" s="7" t="str">
        <f>"978-7-5563-0731-9"</f>
        <v>978-7-5563-0731-9</v>
      </c>
      <c r="C657" s="7" t="str">
        <f>"高校辅导员工作理论与实务知识"</f>
        <v>高校辅导员工作理论与实务知识</v>
      </c>
      <c r="D657" s="7" t="str">
        <f>"陈虹， 赵鹏主编"</f>
        <v>陈虹， 赵鹏主编</v>
      </c>
      <c r="E657" s="7" t="str">
        <f>"天津社会科学出版社"</f>
        <v>天津社会科学出版社</v>
      </c>
      <c r="F657" s="7" t="str">
        <f>"G645.1/58"</f>
        <v>G645.1/58</v>
      </c>
    </row>
    <row r="658" customHeight="1" spans="1:6">
      <c r="A658" s="6">
        <v>657</v>
      </c>
      <c r="B658" s="7" t="str">
        <f>"978-7-5563-0731-9"</f>
        <v>978-7-5563-0731-9</v>
      </c>
      <c r="C658" s="7" t="str">
        <f>"高校辅导员工作理论与实务知识"</f>
        <v>高校辅导员工作理论与实务知识</v>
      </c>
      <c r="D658" s="7" t="str">
        <f>"陈虹， 赵鹏主编"</f>
        <v>陈虹， 赵鹏主编</v>
      </c>
      <c r="E658" s="7" t="str">
        <f>"天津社会科学出版社"</f>
        <v>天津社会科学出版社</v>
      </c>
      <c r="F658" s="7" t="str">
        <f>"G645.1/58"</f>
        <v>G645.1/58</v>
      </c>
    </row>
    <row r="659" customHeight="1" spans="1:6">
      <c r="A659" s="6">
        <v>658</v>
      </c>
      <c r="B659" s="7" t="str">
        <f>"978-7-5208-1666-3"</f>
        <v>978-7-5208-1666-3</v>
      </c>
      <c r="C659" s="7" t="str">
        <f>"高校学生工作典型经验、研究和案例精编"</f>
        <v>高校学生工作典型经验、研究和案例精编</v>
      </c>
      <c r="D659" s="7" t="str">
        <f>"主编陈思杭， 王中梅"</f>
        <v>主编陈思杭， 王中梅</v>
      </c>
      <c r="E659" s="7" t="str">
        <f>"中国商业出版社"</f>
        <v>中国商业出版社</v>
      </c>
      <c r="F659" s="7" t="str">
        <f>"G645.5/213"</f>
        <v>G645.5/213</v>
      </c>
    </row>
    <row r="660" customHeight="1" spans="1:6">
      <c r="A660" s="6">
        <v>659</v>
      </c>
      <c r="B660" s="7" t="str">
        <f>"978-7-5208-1666-3"</f>
        <v>978-7-5208-1666-3</v>
      </c>
      <c r="C660" s="7" t="str">
        <f>"高校学生工作典型经验、研究和案例精编"</f>
        <v>高校学生工作典型经验、研究和案例精编</v>
      </c>
      <c r="D660" s="7" t="str">
        <f>"主编陈思杭， 王中梅"</f>
        <v>主编陈思杭， 王中梅</v>
      </c>
      <c r="E660" s="7" t="str">
        <f>"中国商业出版社"</f>
        <v>中国商业出版社</v>
      </c>
      <c r="F660" s="7" t="str">
        <f>"G645.5/213"</f>
        <v>G645.5/213</v>
      </c>
    </row>
    <row r="661" customHeight="1" spans="1:6">
      <c r="A661" s="6">
        <v>660</v>
      </c>
      <c r="B661" s="7" t="str">
        <f>"978-7-5113-8585-7"</f>
        <v>978-7-5113-8585-7</v>
      </c>
      <c r="C661" s="7" t="str">
        <f>"大学生社交礼仪实用教程"</f>
        <v>大学生社交礼仪实用教程</v>
      </c>
      <c r="D661" s="7" t="str">
        <f>"鞠荣丽编著"</f>
        <v>鞠荣丽编著</v>
      </c>
      <c r="E661" s="7" t="str">
        <f>"中国华侨出版社"</f>
        <v>中国华侨出版社</v>
      </c>
      <c r="F661" s="7" t="str">
        <f>"G645.5/214"</f>
        <v>G645.5/214</v>
      </c>
    </row>
    <row r="662" customHeight="1" spans="1:6">
      <c r="A662" s="6">
        <v>661</v>
      </c>
      <c r="B662" s="7" t="str">
        <f>"978-7-5113-8585-7"</f>
        <v>978-7-5113-8585-7</v>
      </c>
      <c r="C662" s="7" t="str">
        <f>"大学生社交礼仪实用教程"</f>
        <v>大学生社交礼仪实用教程</v>
      </c>
      <c r="D662" s="7" t="str">
        <f>"鞠荣丽编著"</f>
        <v>鞠荣丽编著</v>
      </c>
      <c r="E662" s="7" t="str">
        <f>"中国华侨出版社"</f>
        <v>中国华侨出版社</v>
      </c>
      <c r="F662" s="7" t="str">
        <f>"G645.5/214"</f>
        <v>G645.5/214</v>
      </c>
    </row>
    <row r="663" customHeight="1" spans="1:6">
      <c r="A663" s="6">
        <v>662</v>
      </c>
      <c r="B663" s="7" t="str">
        <f t="shared" ref="B663:B665" si="74">"978-7-5672-3682-0"</f>
        <v>978-7-5672-3682-0</v>
      </c>
      <c r="C663" s="7" t="str">
        <f t="shared" ref="C663:C665" si="75">"大学之道：新生入学教育"</f>
        <v>大学之道：新生入学教育</v>
      </c>
      <c r="D663" s="7" t="str">
        <f t="shared" ref="D663:D665" si="76">"楼世礼主编"</f>
        <v>楼世礼主编</v>
      </c>
      <c r="E663" s="7" t="str">
        <f t="shared" ref="E663:E665" si="77">"苏州大学出版社"</f>
        <v>苏州大学出版社</v>
      </c>
      <c r="F663" s="7" t="str">
        <f t="shared" ref="F663:F665" si="78">"G645.5/215"</f>
        <v>G645.5/215</v>
      </c>
    </row>
    <row r="664" customHeight="1" spans="1:6">
      <c r="A664" s="6">
        <v>663</v>
      </c>
      <c r="B664" s="7" t="str">
        <f t="shared" si="74"/>
        <v>978-7-5672-3682-0</v>
      </c>
      <c r="C664" s="7" t="str">
        <f t="shared" si="75"/>
        <v>大学之道：新生入学教育</v>
      </c>
      <c r="D664" s="7" t="str">
        <f t="shared" si="76"/>
        <v>楼世礼主编</v>
      </c>
      <c r="E664" s="7" t="str">
        <f t="shared" si="77"/>
        <v>苏州大学出版社</v>
      </c>
      <c r="F664" s="7" t="str">
        <f t="shared" si="78"/>
        <v>G645.5/215</v>
      </c>
    </row>
    <row r="665" customHeight="1" spans="1:6">
      <c r="A665" s="6">
        <v>664</v>
      </c>
      <c r="B665" s="7" t="str">
        <f t="shared" si="74"/>
        <v>978-7-5672-3682-0</v>
      </c>
      <c r="C665" s="7" t="str">
        <f t="shared" si="75"/>
        <v>大学之道：新生入学教育</v>
      </c>
      <c r="D665" s="7" t="str">
        <f t="shared" si="76"/>
        <v>楼世礼主编</v>
      </c>
      <c r="E665" s="7" t="str">
        <f t="shared" si="77"/>
        <v>苏州大学出版社</v>
      </c>
      <c r="F665" s="7" t="str">
        <f t="shared" si="78"/>
        <v>G645.5/215</v>
      </c>
    </row>
    <row r="666" customHeight="1" spans="1:6">
      <c r="A666" s="6">
        <v>665</v>
      </c>
      <c r="B666" s="7" t="str">
        <f t="shared" ref="B666:B668" si="79">"978-7-5702-1151-7"</f>
        <v>978-7-5702-1151-7</v>
      </c>
      <c r="C666" s="7" t="str">
        <f t="shared" ref="C666:C668" si="80">"大学的意义"</f>
        <v>大学的意义</v>
      </c>
      <c r="D666" s="7" t="str">
        <f t="shared" ref="D666:D668" si="81">"梅贻琦著"</f>
        <v>梅贻琦著</v>
      </c>
      <c r="E666" s="7" t="str">
        <f t="shared" ref="E666:E668" si="82">"长江文艺出版社"</f>
        <v>长江文艺出版社</v>
      </c>
      <c r="F666" s="7" t="str">
        <f t="shared" ref="F666:F668" si="83">"G64-53/8"</f>
        <v>G64-53/8</v>
      </c>
    </row>
    <row r="667" customHeight="1" spans="1:6">
      <c r="A667" s="6">
        <v>666</v>
      </c>
      <c r="B667" s="7" t="str">
        <f t="shared" si="79"/>
        <v>978-7-5702-1151-7</v>
      </c>
      <c r="C667" s="7" t="str">
        <f t="shared" si="80"/>
        <v>大学的意义</v>
      </c>
      <c r="D667" s="7" t="str">
        <f t="shared" si="81"/>
        <v>梅贻琦著</v>
      </c>
      <c r="E667" s="7" t="str">
        <f t="shared" si="82"/>
        <v>长江文艺出版社</v>
      </c>
      <c r="F667" s="7" t="str">
        <f t="shared" si="83"/>
        <v>G64-53/8</v>
      </c>
    </row>
    <row r="668" customHeight="1" spans="1:6">
      <c r="A668" s="6">
        <v>667</v>
      </c>
      <c r="B668" s="7" t="str">
        <f t="shared" si="79"/>
        <v>978-7-5702-1151-7</v>
      </c>
      <c r="C668" s="7" t="str">
        <f t="shared" si="80"/>
        <v>大学的意义</v>
      </c>
      <c r="D668" s="7" t="str">
        <f t="shared" si="81"/>
        <v>梅贻琦著</v>
      </c>
      <c r="E668" s="7" t="str">
        <f t="shared" si="82"/>
        <v>长江文艺出版社</v>
      </c>
      <c r="F668" s="7" t="str">
        <f t="shared" si="83"/>
        <v>G64-53/8</v>
      </c>
    </row>
    <row r="669" customHeight="1" spans="1:6">
      <c r="A669" s="6">
        <v>668</v>
      </c>
      <c r="B669" s="7" t="str">
        <f>"978-7-5194-6145-4"</f>
        <v>978-7-5194-6145-4</v>
      </c>
      <c r="C669" s="7" t="str">
        <f>"大学生的职业素养与就业竞争力"</f>
        <v>大学生的职业素养与就业竞争力</v>
      </c>
      <c r="D669" s="7" t="str">
        <f>"杨珂， 王安东， 冯广余著"</f>
        <v>杨珂， 王安东， 冯广余著</v>
      </c>
      <c r="E669" s="7" t="str">
        <f>"光明日报出版社"</f>
        <v>光明日报出版社</v>
      </c>
      <c r="F669" s="7" t="str">
        <f>"G647.38/648"</f>
        <v>G647.38/648</v>
      </c>
    </row>
    <row r="670" customHeight="1" spans="1:6">
      <c r="A670" s="6">
        <v>669</v>
      </c>
      <c r="B670" s="7" t="str">
        <f>"978-7-5194-6145-4"</f>
        <v>978-7-5194-6145-4</v>
      </c>
      <c r="C670" s="7" t="str">
        <f>"大学生的职业素养与就业竞争力"</f>
        <v>大学生的职业素养与就业竞争力</v>
      </c>
      <c r="D670" s="7" t="str">
        <f>"杨珂， 王安东， 冯广余著"</f>
        <v>杨珂， 王安东， 冯广余著</v>
      </c>
      <c r="E670" s="7" t="str">
        <f>"光明日报出版社"</f>
        <v>光明日报出版社</v>
      </c>
      <c r="F670" s="7" t="str">
        <f>"G647.38/648"</f>
        <v>G647.38/648</v>
      </c>
    </row>
    <row r="671" customHeight="1" spans="1:6">
      <c r="A671" s="6">
        <v>670</v>
      </c>
      <c r="B671" s="7" t="str">
        <f>"978-7-5763-0052-9"</f>
        <v>978-7-5763-0052-9</v>
      </c>
      <c r="C671" s="7" t="str">
        <f>"SYB创业实训之计划书"</f>
        <v>SYB创业实训之计划书</v>
      </c>
      <c r="D671" s="7" t="str">
        <f>"宁波市人才培训中心编著"</f>
        <v>宁波市人才培训中心编著</v>
      </c>
      <c r="E671" s="7" t="str">
        <f>"北京理工大学出版社"</f>
        <v>北京理工大学出版社</v>
      </c>
      <c r="F671" s="7" t="str">
        <f>"G647.38/649"</f>
        <v>G647.38/649</v>
      </c>
    </row>
    <row r="672" customHeight="1" spans="1:6">
      <c r="A672" s="6">
        <v>671</v>
      </c>
      <c r="B672" s="7" t="str">
        <f>"978-7-5763-0052-9"</f>
        <v>978-7-5763-0052-9</v>
      </c>
      <c r="C672" s="7" t="str">
        <f>"SYB创业实训之计划书"</f>
        <v>SYB创业实训之计划书</v>
      </c>
      <c r="D672" s="7" t="str">
        <f>"宁波市人才培训中心编著"</f>
        <v>宁波市人才培训中心编著</v>
      </c>
      <c r="E672" s="7" t="str">
        <f>"北京理工大学出版社"</f>
        <v>北京理工大学出版社</v>
      </c>
      <c r="F672" s="7" t="str">
        <f>"G647.38/649"</f>
        <v>G647.38/649</v>
      </c>
    </row>
    <row r="673" customHeight="1" spans="1:6">
      <c r="A673" s="6">
        <v>672</v>
      </c>
      <c r="B673" s="8" t="s">
        <v>7533</v>
      </c>
      <c r="C673" s="8" t="s">
        <v>7534</v>
      </c>
      <c r="D673" s="8" t="s">
        <v>7535</v>
      </c>
      <c r="E673" s="8" t="s">
        <v>1948</v>
      </c>
      <c r="F673" s="8" t="s">
        <v>7536</v>
      </c>
    </row>
    <row r="674" customHeight="1" spans="1:6">
      <c r="A674" s="6">
        <v>673</v>
      </c>
      <c r="B674" s="8" t="s">
        <v>7533</v>
      </c>
      <c r="C674" s="8" t="s">
        <v>7534</v>
      </c>
      <c r="D674" s="8" t="s">
        <v>7535</v>
      </c>
      <c r="E674" s="8" t="s">
        <v>1948</v>
      </c>
      <c r="F674" s="8" t="s">
        <v>7536</v>
      </c>
    </row>
    <row r="675" customHeight="1" spans="1:6">
      <c r="A675" s="6">
        <v>674</v>
      </c>
      <c r="B675" s="8" t="s">
        <v>7533</v>
      </c>
      <c r="C675" s="8" t="s">
        <v>7534</v>
      </c>
      <c r="D675" s="8" t="s">
        <v>7535</v>
      </c>
      <c r="E675" s="8" t="s">
        <v>1948</v>
      </c>
      <c r="F675" s="8" t="s">
        <v>7536</v>
      </c>
    </row>
    <row r="676" customHeight="1" spans="1:6">
      <c r="A676" s="6">
        <v>675</v>
      </c>
      <c r="B676" s="8" t="s">
        <v>7537</v>
      </c>
      <c r="C676" s="8" t="s">
        <v>7538</v>
      </c>
      <c r="D676" s="8" t="s">
        <v>7539</v>
      </c>
      <c r="E676" s="8" t="s">
        <v>2566</v>
      </c>
      <c r="F676" s="8" t="s">
        <v>7540</v>
      </c>
    </row>
    <row r="677" customHeight="1" spans="1:6">
      <c r="A677" s="6">
        <v>676</v>
      </c>
      <c r="B677" s="8" t="s">
        <v>7537</v>
      </c>
      <c r="C677" s="8" t="s">
        <v>7538</v>
      </c>
      <c r="D677" s="8" t="s">
        <v>7539</v>
      </c>
      <c r="E677" s="8" t="s">
        <v>2566</v>
      </c>
      <c r="F677" s="8" t="s">
        <v>7540</v>
      </c>
    </row>
    <row r="678" customHeight="1" spans="1:6">
      <c r="A678" s="6">
        <v>677</v>
      </c>
      <c r="B678" s="8" t="s">
        <v>7537</v>
      </c>
      <c r="C678" s="8" t="s">
        <v>7538</v>
      </c>
      <c r="D678" s="8" t="s">
        <v>7539</v>
      </c>
      <c r="E678" s="8" t="s">
        <v>2566</v>
      </c>
      <c r="F678" s="8" t="s">
        <v>7540</v>
      </c>
    </row>
    <row r="679" customHeight="1" spans="1:6">
      <c r="A679" s="6">
        <v>678</v>
      </c>
      <c r="B679" s="8" t="s">
        <v>7541</v>
      </c>
      <c r="C679" s="8" t="s">
        <v>7542</v>
      </c>
      <c r="D679" s="8" t="s">
        <v>7543</v>
      </c>
      <c r="E679" s="8" t="s">
        <v>2267</v>
      </c>
      <c r="F679" s="8" t="s">
        <v>7544</v>
      </c>
    </row>
    <row r="680" customHeight="1" spans="1:6">
      <c r="A680" s="6">
        <v>679</v>
      </c>
      <c r="B680" s="8" t="s">
        <v>7541</v>
      </c>
      <c r="C680" s="8" t="s">
        <v>7542</v>
      </c>
      <c r="D680" s="8" t="s">
        <v>7543</v>
      </c>
      <c r="E680" s="8" t="s">
        <v>2267</v>
      </c>
      <c r="F680" s="8" t="s">
        <v>7544</v>
      </c>
    </row>
    <row r="681" customHeight="1" spans="1:6">
      <c r="A681" s="6">
        <v>680</v>
      </c>
      <c r="B681" s="9" t="str">
        <f>"978-7-313-25077-3"</f>
        <v>978-7-313-25077-3</v>
      </c>
      <c r="C681" s="9" t="str">
        <f>"从初创到一流：新兴研究型大学崛起之路：ideas and money combine to build academic excellence"</f>
        <v>从初创到一流：新兴研究型大学崛起之路：ideas and money combine to build academic excellence</v>
      </c>
      <c r="D681" s="9" t="str">
        <f>"(美) 菲利普·阿特巴赫 ... [等] 主编Philip Altbach；张梦琪， 王琪译"</f>
        <v>(美) 菲利普·阿特巴赫 ... [等] 主编Philip Altbach；张梦琪， 王琪译</v>
      </c>
      <c r="E681" s="9" t="str">
        <f>"上海交通大学出版社"</f>
        <v>上海交通大学出版社</v>
      </c>
      <c r="F681" s="9" t="str">
        <f>"G647/295"</f>
        <v>G647/295</v>
      </c>
    </row>
    <row r="682" customHeight="1" spans="1:6">
      <c r="A682" s="6">
        <v>681</v>
      </c>
      <c r="B682" s="9" t="str">
        <f>"978-7-313-25077-3"</f>
        <v>978-7-313-25077-3</v>
      </c>
      <c r="C682" s="9" t="str">
        <f>"从初创到一流：新兴研究型大学崛起之路：ideas and money combine to build academic excellence"</f>
        <v>从初创到一流：新兴研究型大学崛起之路：ideas and money combine to build academic excellence</v>
      </c>
      <c r="D682" s="9" t="str">
        <f>"(美) 菲利普·阿特巴赫 ... [等] 主编Philip Altbach；张梦琪， 王琪译"</f>
        <v>(美) 菲利普·阿特巴赫 ... [等] 主编Philip Altbach；张梦琪， 王琪译</v>
      </c>
      <c r="E682" s="9" t="str">
        <f>"上海交通大学出版社"</f>
        <v>上海交通大学出版社</v>
      </c>
      <c r="F682" s="9" t="str">
        <f>"G647/295"</f>
        <v>G647/295</v>
      </c>
    </row>
    <row r="683" customHeight="1" spans="1:6">
      <c r="A683" s="6">
        <v>682</v>
      </c>
      <c r="B683" s="8" t="s">
        <v>7545</v>
      </c>
      <c r="C683" s="8" t="s">
        <v>7546</v>
      </c>
      <c r="D683" s="8" t="s">
        <v>7547</v>
      </c>
      <c r="E683" s="8" t="s">
        <v>3146</v>
      </c>
      <c r="F683" s="8" t="s">
        <v>7548</v>
      </c>
    </row>
    <row r="684" customHeight="1" spans="1:6">
      <c r="A684" s="6">
        <v>683</v>
      </c>
      <c r="B684" s="8" t="s">
        <v>7545</v>
      </c>
      <c r="C684" s="8" t="s">
        <v>7546</v>
      </c>
      <c r="D684" s="8" t="s">
        <v>7547</v>
      </c>
      <c r="E684" s="8" t="s">
        <v>3146</v>
      </c>
      <c r="F684" s="8" t="s">
        <v>7548</v>
      </c>
    </row>
    <row r="685" customHeight="1" spans="1:6">
      <c r="A685" s="6">
        <v>684</v>
      </c>
      <c r="B685" s="7" t="str">
        <f>"978-7-5692-8644-1"</f>
        <v>978-7-5692-8644-1</v>
      </c>
      <c r="C685" s="7" t="str">
        <f>"大数据时代高校教育管理及其信息化建设"</f>
        <v>大数据时代高校教育管理及其信息化建设</v>
      </c>
      <c r="D685" s="7" t="str">
        <f>"卢保娣著"</f>
        <v>卢保娣著</v>
      </c>
      <c r="E685" s="7" t="str">
        <f>"吉林大学出版社"</f>
        <v>吉林大学出版社</v>
      </c>
      <c r="F685" s="7" t="str">
        <f>"G649.2/152"</f>
        <v>G649.2/152</v>
      </c>
    </row>
    <row r="686" customHeight="1" spans="1:6">
      <c r="A686" s="6">
        <v>685</v>
      </c>
      <c r="B686" s="7" t="str">
        <f>"978-7-5692-8644-1"</f>
        <v>978-7-5692-8644-1</v>
      </c>
      <c r="C686" s="7" t="str">
        <f>"大数据时代高校教育管理及其信息化建设"</f>
        <v>大数据时代高校教育管理及其信息化建设</v>
      </c>
      <c r="D686" s="7" t="str">
        <f>"卢保娣著"</f>
        <v>卢保娣著</v>
      </c>
      <c r="E686" s="7" t="str">
        <f>"吉林大学出版社"</f>
        <v>吉林大学出版社</v>
      </c>
      <c r="F686" s="7" t="str">
        <f>"G649.2/152"</f>
        <v>G649.2/152</v>
      </c>
    </row>
    <row r="687" customHeight="1" spans="1:6">
      <c r="A687" s="6">
        <v>686</v>
      </c>
      <c r="B687" s="8" t="s">
        <v>7549</v>
      </c>
      <c r="C687" s="8" t="s">
        <v>7550</v>
      </c>
      <c r="D687" s="8" t="s">
        <v>7551</v>
      </c>
      <c r="E687" s="8" t="s">
        <v>197</v>
      </c>
      <c r="F687" s="8" t="s">
        <v>7552</v>
      </c>
    </row>
    <row r="688" customHeight="1" spans="1:6">
      <c r="A688" s="6">
        <v>687</v>
      </c>
      <c r="B688" s="8" t="s">
        <v>7549</v>
      </c>
      <c r="C688" s="8" t="s">
        <v>7550</v>
      </c>
      <c r="D688" s="8" t="s">
        <v>7551</v>
      </c>
      <c r="E688" s="8" t="s">
        <v>197</v>
      </c>
      <c r="F688" s="8" t="s">
        <v>7552</v>
      </c>
    </row>
    <row r="689" customHeight="1" spans="1:6">
      <c r="A689" s="6">
        <v>688</v>
      </c>
      <c r="B689" s="7" t="str">
        <f>"978-7-5695-2270-9"</f>
        <v>978-7-5695-2270-9</v>
      </c>
      <c r="C689" s="7" t="str">
        <f>"嬗变与启示：改革开放四十年来中国大学发展的道与思"</f>
        <v>嬗变与启示：改革开放四十年来中国大学发展的道与思</v>
      </c>
      <c r="D689" s="7" t="str">
        <f>"程光旭著"</f>
        <v>程光旭著</v>
      </c>
      <c r="E689" s="7" t="str">
        <f>"陕西师范大学出版总社"</f>
        <v>陕西师范大学出版总社</v>
      </c>
      <c r="F689" s="7" t="str">
        <f>"G649.21/102"</f>
        <v>G649.21/102</v>
      </c>
    </row>
    <row r="690" customHeight="1" spans="1:6">
      <c r="A690" s="6">
        <v>689</v>
      </c>
      <c r="B690" s="7" t="str">
        <f>"978-7-5695-2270-9"</f>
        <v>978-7-5695-2270-9</v>
      </c>
      <c r="C690" s="7" t="str">
        <f>"嬗变与启示：改革开放四十年来中国大学发展的道与思"</f>
        <v>嬗变与启示：改革开放四十年来中国大学发展的道与思</v>
      </c>
      <c r="D690" s="7" t="str">
        <f>"程光旭著"</f>
        <v>程光旭著</v>
      </c>
      <c r="E690" s="7" t="str">
        <f>"陕西师范大学出版总社"</f>
        <v>陕西师范大学出版总社</v>
      </c>
      <c r="F690" s="7" t="str">
        <f>"G649.21/102"</f>
        <v>G649.21/102</v>
      </c>
    </row>
    <row r="691" customHeight="1" spans="1:6">
      <c r="A691" s="6">
        <v>690</v>
      </c>
      <c r="B691" s="7" t="str">
        <f>"978-7-5217-3045-6"</f>
        <v>978-7-5217-3045-6</v>
      </c>
      <c r="C691" s="7" t="str">
        <f>"大学的改革．第四卷：学子篇．本科生"</f>
        <v>大学的改革．第四卷：学子篇．本科生</v>
      </c>
      <c r="D691" s="7" t="str">
        <f t="shared" ref="D691:D694" si="84">"钱颖一著"</f>
        <v>钱颖一著</v>
      </c>
      <c r="E691" s="7" t="str">
        <f t="shared" ref="E691:E694" si="85">"中信出版集团股份有限公司"</f>
        <v>中信出版集团股份有限公司</v>
      </c>
      <c r="F691" s="7" t="str">
        <f>"G649.21/32/4"</f>
        <v>G649.21/32/4</v>
      </c>
    </row>
    <row r="692" customHeight="1" spans="1:6">
      <c r="A692" s="6">
        <v>691</v>
      </c>
      <c r="B692" s="7" t="str">
        <f>"978-7-5217-3045-6"</f>
        <v>978-7-5217-3045-6</v>
      </c>
      <c r="C692" s="7" t="str">
        <f>"大学的改革．第四卷：学子篇．本科生"</f>
        <v>大学的改革．第四卷：学子篇．本科生</v>
      </c>
      <c r="D692" s="7" t="str">
        <f t="shared" si="84"/>
        <v>钱颖一著</v>
      </c>
      <c r="E692" s="7" t="str">
        <f t="shared" si="85"/>
        <v>中信出版集团股份有限公司</v>
      </c>
      <c r="F692" s="7" t="str">
        <f>"G649.21/32/4"</f>
        <v>G649.21/32/4</v>
      </c>
    </row>
    <row r="693" customHeight="1" spans="1:6">
      <c r="A693" s="6">
        <v>692</v>
      </c>
      <c r="B693" s="7" t="str">
        <f>"978-7-5217-3028-9"</f>
        <v>978-7-5217-3028-9</v>
      </c>
      <c r="C693" s="7" t="str">
        <f>"大学的改革．第五卷：学子篇．研究生"</f>
        <v>大学的改革．第五卷：学子篇．研究生</v>
      </c>
      <c r="D693" s="7" t="str">
        <f t="shared" si="84"/>
        <v>钱颖一著</v>
      </c>
      <c r="E693" s="7" t="str">
        <f t="shared" si="85"/>
        <v>中信出版集团股份有限公司</v>
      </c>
      <c r="F693" s="7" t="str">
        <f>"G649.21/32/5"</f>
        <v>G649.21/32/5</v>
      </c>
    </row>
    <row r="694" customHeight="1" spans="1:6">
      <c r="A694" s="6">
        <v>693</v>
      </c>
      <c r="B694" s="7" t="str">
        <f>"978-7-5217-3028-9"</f>
        <v>978-7-5217-3028-9</v>
      </c>
      <c r="C694" s="7" t="str">
        <f>"大学的改革．第五卷：学子篇．研究生"</f>
        <v>大学的改革．第五卷：学子篇．研究生</v>
      </c>
      <c r="D694" s="7" t="str">
        <f t="shared" si="84"/>
        <v>钱颖一著</v>
      </c>
      <c r="E694" s="7" t="str">
        <f t="shared" si="85"/>
        <v>中信出版集团股份有限公司</v>
      </c>
      <c r="F694" s="7" t="str">
        <f>"G649.21/32/5"</f>
        <v>G649.21/32/5</v>
      </c>
    </row>
    <row r="695" customHeight="1" spans="1:6">
      <c r="A695" s="6">
        <v>694</v>
      </c>
      <c r="B695" s="7" t="str">
        <f>"978-7-100-08664-6"</f>
        <v>978-7-100-08664-6</v>
      </c>
      <c r="C695" s="7" t="str">
        <f>"儒学·书院·社会：社会文化史视野中的书院"</f>
        <v>儒学·书院·社会：社会文化史视野中的书院</v>
      </c>
      <c r="D695" s="7" t="str">
        <f>"肖永明著"</f>
        <v>肖永明著</v>
      </c>
      <c r="E695" s="7" t="str">
        <f>"商务印书馆"</f>
        <v>商务印书馆</v>
      </c>
      <c r="F695" s="7" t="str">
        <f>"G649.299/17"</f>
        <v>G649.299/17</v>
      </c>
    </row>
    <row r="696" customHeight="1" spans="1:6">
      <c r="A696" s="6">
        <v>695</v>
      </c>
      <c r="B696" s="7" t="str">
        <f>"978-7-100-08664-6"</f>
        <v>978-7-100-08664-6</v>
      </c>
      <c r="C696" s="7" t="str">
        <f>"儒学·书院·社会：社会文化史视野中的书院"</f>
        <v>儒学·书院·社会：社会文化史视野中的书院</v>
      </c>
      <c r="D696" s="7" t="str">
        <f>"肖永明著"</f>
        <v>肖永明著</v>
      </c>
      <c r="E696" s="7" t="str">
        <f>"商务印书馆"</f>
        <v>商务印书馆</v>
      </c>
      <c r="F696" s="7" t="str">
        <f>"G649.299/17"</f>
        <v>G649.299/17</v>
      </c>
    </row>
    <row r="697" customHeight="1" spans="1:6">
      <c r="A697" s="6">
        <v>696</v>
      </c>
      <c r="B697" s="7" t="str">
        <f>"978-7-5203-6213-9"</f>
        <v>978-7-5203-6213-9</v>
      </c>
      <c r="C697" s="7" t="str">
        <f>"南宋书院的大学精神研究"</f>
        <v>南宋书院的大学精神研究</v>
      </c>
      <c r="D697" s="7" t="str">
        <f>"李乾明著"</f>
        <v>李乾明著</v>
      </c>
      <c r="E697" s="7" t="str">
        <f>"中国社会科学出版社"</f>
        <v>中国社会科学出版社</v>
      </c>
      <c r="F697" s="7" t="str">
        <f>"G649.299/33"</f>
        <v>G649.299/33</v>
      </c>
    </row>
    <row r="698" customHeight="1" spans="1:6">
      <c r="A698" s="6">
        <v>697</v>
      </c>
      <c r="B698" s="7" t="str">
        <f>"978-7-308-21482-7"</f>
        <v>978-7-308-21482-7</v>
      </c>
      <c r="C698" s="7" t="str">
        <f>"世界一流何以可能：基于对美国一流私立大学的研究"</f>
        <v>世界一流何以可能：基于对美国一流私立大学的研究</v>
      </c>
      <c r="D698" s="7" t="str">
        <f>"蒋惠玲著"</f>
        <v>蒋惠玲著</v>
      </c>
      <c r="E698" s="7" t="str">
        <f>"浙江大学出版社"</f>
        <v>浙江大学出版社</v>
      </c>
      <c r="F698" s="7" t="str">
        <f>"G649.712.8/46"</f>
        <v>G649.712.8/46</v>
      </c>
    </row>
    <row r="699" customHeight="1" spans="1:6">
      <c r="A699" s="6">
        <v>698</v>
      </c>
      <c r="B699" s="7" t="str">
        <f>"978-7-308-21482-7"</f>
        <v>978-7-308-21482-7</v>
      </c>
      <c r="C699" s="7" t="str">
        <f>"世界一流何以可能：基于对美国一流私立大学的研究"</f>
        <v>世界一流何以可能：基于对美国一流私立大学的研究</v>
      </c>
      <c r="D699" s="7" t="str">
        <f>"蒋惠玲著"</f>
        <v>蒋惠玲著</v>
      </c>
      <c r="E699" s="7" t="str">
        <f>"浙江大学出版社"</f>
        <v>浙江大学出版社</v>
      </c>
      <c r="F699" s="7" t="str">
        <f>"G649.712.8/46"</f>
        <v>G649.712.8/46</v>
      </c>
    </row>
    <row r="700" customHeight="1" spans="1:6">
      <c r="A700" s="6">
        <v>699</v>
      </c>
      <c r="B700" s="7" t="str">
        <f t="shared" ref="B700:B702" si="86">"978-7-108-04659-8"</f>
        <v>978-7-108-04659-8</v>
      </c>
      <c r="C700" s="7" t="str">
        <f t="shared" ref="C700:C702" si="87">"特权：哈佛与统治阶层的教育：harvard and the education of the ruling class"</f>
        <v>特权：哈佛与统治阶层的教育：harvard and the education of the ruling class</v>
      </c>
      <c r="D700" s="7" t="str">
        <f t="shared" ref="D700:D702" si="88">"(美) 罗斯·格雷戈里·多塞特著Ross Gregory Douthat；珍栎译"</f>
        <v>(美) 罗斯·格雷戈里·多塞特著Ross Gregory Douthat；珍栎译</v>
      </c>
      <c r="E700" s="7" t="str">
        <f t="shared" ref="E700:E702" si="89">"三联书店"</f>
        <v>三联书店</v>
      </c>
      <c r="F700" s="7" t="str">
        <f t="shared" ref="F700:F702" si="90">"G649.712/88"</f>
        <v>G649.712/88</v>
      </c>
    </row>
    <row r="701" customHeight="1" spans="1:6">
      <c r="A701" s="6">
        <v>700</v>
      </c>
      <c r="B701" s="7" t="str">
        <f t="shared" si="86"/>
        <v>978-7-108-04659-8</v>
      </c>
      <c r="C701" s="7" t="str">
        <f t="shared" si="87"/>
        <v>特权：哈佛与统治阶层的教育：harvard and the education of the ruling class</v>
      </c>
      <c r="D701" s="7" t="str">
        <f t="shared" si="88"/>
        <v>(美) 罗斯·格雷戈里·多塞特著Ross Gregory Douthat；珍栎译</v>
      </c>
      <c r="E701" s="7" t="str">
        <f t="shared" si="89"/>
        <v>三联书店</v>
      </c>
      <c r="F701" s="7" t="str">
        <f t="shared" si="90"/>
        <v>G649.712/88</v>
      </c>
    </row>
    <row r="702" customHeight="1" spans="1:6">
      <c r="A702" s="6">
        <v>701</v>
      </c>
      <c r="B702" s="7" t="str">
        <f t="shared" si="86"/>
        <v>978-7-108-04659-8</v>
      </c>
      <c r="C702" s="7" t="str">
        <f t="shared" si="87"/>
        <v>特权：哈佛与统治阶层的教育：harvard and the education of the ruling class</v>
      </c>
      <c r="D702" s="7" t="str">
        <f t="shared" si="88"/>
        <v>(美) 罗斯·格雷戈里·多塞特著Ross Gregory Douthat；珍栎译</v>
      </c>
      <c r="E702" s="7" t="str">
        <f t="shared" si="89"/>
        <v>三联书店</v>
      </c>
      <c r="F702" s="7" t="str">
        <f t="shared" si="90"/>
        <v>G649.712/88</v>
      </c>
    </row>
    <row r="703" customHeight="1" spans="1:6">
      <c r="A703" s="6">
        <v>702</v>
      </c>
      <c r="B703" s="8" t="s">
        <v>7553</v>
      </c>
      <c r="C703" s="8" t="s">
        <v>7554</v>
      </c>
      <c r="D703" s="8" t="s">
        <v>7134</v>
      </c>
      <c r="E703" s="8" t="s">
        <v>549</v>
      </c>
      <c r="F703" s="8" t="s">
        <v>7555</v>
      </c>
    </row>
    <row r="704" customHeight="1" spans="1:6">
      <c r="A704" s="6">
        <v>703</v>
      </c>
      <c r="B704" s="8" t="s">
        <v>7553</v>
      </c>
      <c r="C704" s="8" t="s">
        <v>7554</v>
      </c>
      <c r="D704" s="8" t="s">
        <v>7134</v>
      </c>
      <c r="E704" s="8" t="s">
        <v>549</v>
      </c>
      <c r="F704" s="8" t="s">
        <v>7555</v>
      </c>
    </row>
    <row r="705" customHeight="1" spans="1:6">
      <c r="A705" s="6">
        <v>704</v>
      </c>
      <c r="B705" s="8" t="s">
        <v>7556</v>
      </c>
      <c r="C705" s="8" t="s">
        <v>7557</v>
      </c>
      <c r="D705" s="8" t="s">
        <v>7558</v>
      </c>
      <c r="E705" s="8" t="s">
        <v>549</v>
      </c>
      <c r="F705" s="8" t="s">
        <v>7559</v>
      </c>
    </row>
    <row r="706" customHeight="1" spans="1:6">
      <c r="A706" s="6">
        <v>705</v>
      </c>
      <c r="B706" s="8" t="s">
        <v>7556</v>
      </c>
      <c r="C706" s="8" t="s">
        <v>7557</v>
      </c>
      <c r="D706" s="8" t="s">
        <v>7558</v>
      </c>
      <c r="E706" s="8" t="s">
        <v>549</v>
      </c>
      <c r="F706" s="8" t="s">
        <v>7559</v>
      </c>
    </row>
    <row r="707" customHeight="1" spans="1:6">
      <c r="A707" s="6">
        <v>706</v>
      </c>
      <c r="B707" s="8" t="s">
        <v>7560</v>
      </c>
      <c r="C707" s="8" t="s">
        <v>7561</v>
      </c>
      <c r="D707" s="8" t="s">
        <v>7562</v>
      </c>
      <c r="E707" s="8" t="s">
        <v>145</v>
      </c>
      <c r="F707" s="8" t="s">
        <v>7563</v>
      </c>
    </row>
    <row r="708" customHeight="1" spans="1:6">
      <c r="A708" s="6">
        <v>707</v>
      </c>
      <c r="B708" s="8" t="s">
        <v>7560</v>
      </c>
      <c r="C708" s="8" t="s">
        <v>7561</v>
      </c>
      <c r="D708" s="8" t="s">
        <v>7562</v>
      </c>
      <c r="E708" s="8" t="s">
        <v>145</v>
      </c>
      <c r="F708" s="8" t="s">
        <v>7563</v>
      </c>
    </row>
    <row r="709" customHeight="1" spans="1:6">
      <c r="A709" s="6">
        <v>708</v>
      </c>
      <c r="B709" s="8" t="s">
        <v>7564</v>
      </c>
      <c r="C709" s="8" t="s">
        <v>7565</v>
      </c>
      <c r="D709" s="8" t="s">
        <v>7566</v>
      </c>
      <c r="E709" s="8" t="s">
        <v>549</v>
      </c>
      <c r="F709" s="8" t="s">
        <v>7567</v>
      </c>
    </row>
    <row r="710" customHeight="1" spans="1:6">
      <c r="A710" s="6">
        <v>709</v>
      </c>
      <c r="B710" s="8" t="s">
        <v>7564</v>
      </c>
      <c r="C710" s="8" t="s">
        <v>7565</v>
      </c>
      <c r="D710" s="8" t="s">
        <v>7566</v>
      </c>
      <c r="E710" s="8" t="s">
        <v>549</v>
      </c>
      <c r="F710" s="8" t="s">
        <v>7567</v>
      </c>
    </row>
    <row r="711" customHeight="1" spans="1:6">
      <c r="A711" s="6">
        <v>710</v>
      </c>
      <c r="B711" s="7" t="str">
        <f>"978-7-5201-7889-1"</f>
        <v>978-7-5201-7889-1</v>
      </c>
      <c r="C711" s="7" t="str">
        <f>"走向终身学习和教育现代化：国家资历框架的理论和实践：theories and practices of national qualification frameworks"</f>
        <v>走向终身学习和教育现代化：国家资历框架的理论和实践：theories and practices of national qualification frameworks</v>
      </c>
      <c r="D711" s="7" t="str">
        <f>"文雯， 吴圣楠著"</f>
        <v>文雯， 吴圣楠著</v>
      </c>
      <c r="E711" s="7" t="str">
        <f>"社会科学文献出版社"</f>
        <v>社会科学文献出版社</v>
      </c>
      <c r="F711" s="7" t="str">
        <f>"G72/18"</f>
        <v>G72/18</v>
      </c>
    </row>
    <row r="712" customHeight="1" spans="1:6">
      <c r="A712" s="6">
        <v>711</v>
      </c>
      <c r="B712" s="7" t="str">
        <f>"978-7-5201-7889-1"</f>
        <v>978-7-5201-7889-1</v>
      </c>
      <c r="C712" s="7" t="str">
        <f>"走向终身学习和教育现代化：国家资历框架的理论和实践：theories and practices of national qualification frameworks"</f>
        <v>走向终身学习和教育现代化：国家资历框架的理论和实践：theories and practices of national qualification frameworks</v>
      </c>
      <c r="D712" s="7" t="str">
        <f>"文雯， 吴圣楠著"</f>
        <v>文雯， 吴圣楠著</v>
      </c>
      <c r="E712" s="7" t="str">
        <f>"社会科学文献出版社"</f>
        <v>社会科学文献出版社</v>
      </c>
      <c r="F712" s="7" t="str">
        <f>"G72/18"</f>
        <v>G72/18</v>
      </c>
    </row>
    <row r="713" customHeight="1" spans="1:6">
      <c r="A713" s="6">
        <v>712</v>
      </c>
      <c r="B713" s="7" t="str">
        <f>"978-7-5115-6840-3"</f>
        <v>978-7-5115-6840-3</v>
      </c>
      <c r="C713" s="7" t="str">
        <f>"大山里的未来学校"</f>
        <v>大山里的未来学校</v>
      </c>
      <c r="D713" s="7" t="str">
        <f>"肖诗坚著"</f>
        <v>肖诗坚著</v>
      </c>
      <c r="E713" s="7" t="str">
        <f>"人民日报出版社"</f>
        <v>人民日报出版社</v>
      </c>
      <c r="F713" s="7" t="str">
        <f>"G725/21"</f>
        <v>G725/21</v>
      </c>
    </row>
    <row r="714" customHeight="1" spans="1:6">
      <c r="A714" s="6">
        <v>713</v>
      </c>
      <c r="B714" s="7" t="str">
        <f>"978-7-5115-6840-3"</f>
        <v>978-7-5115-6840-3</v>
      </c>
      <c r="C714" s="7" t="str">
        <f>"大山里的未来学校"</f>
        <v>大山里的未来学校</v>
      </c>
      <c r="D714" s="7" t="str">
        <f>"肖诗坚著"</f>
        <v>肖诗坚著</v>
      </c>
      <c r="E714" s="7" t="str">
        <f>"人民日报出版社"</f>
        <v>人民日报出版社</v>
      </c>
      <c r="F714" s="7" t="str">
        <f>"G725/21"</f>
        <v>G725/21</v>
      </c>
    </row>
    <row r="715" customHeight="1" spans="1:6">
      <c r="A715" s="6">
        <v>714</v>
      </c>
      <c r="B715" s="7" t="str">
        <f>"978-7-115-54944-0"</f>
        <v>978-7-115-54944-0</v>
      </c>
      <c r="C715" s="7" t="str">
        <f>"无限可能：快速唤醒你的学习脑"</f>
        <v>无限可能：快速唤醒你的学习脑</v>
      </c>
      <c r="D715" s="7" t="str">
        <f>"(美) 吉姆·奎克著Jim Kwik；王小皓译"</f>
        <v>(美) 吉姆·奎克著Jim Kwik；王小皓译</v>
      </c>
      <c r="E715" s="7" t="str">
        <f>"人民邮电出版社"</f>
        <v>人民邮电出版社</v>
      </c>
      <c r="F715" s="7" t="str">
        <f>"G791/119"</f>
        <v>G791/119</v>
      </c>
    </row>
    <row r="716" customHeight="1" spans="1:6">
      <c r="A716" s="6">
        <v>715</v>
      </c>
      <c r="B716" s="7" t="str">
        <f>"978-7-115-54944-0"</f>
        <v>978-7-115-54944-0</v>
      </c>
      <c r="C716" s="7" t="str">
        <f>"无限可能：快速唤醒你的学习脑"</f>
        <v>无限可能：快速唤醒你的学习脑</v>
      </c>
      <c r="D716" s="7" t="str">
        <f>"(美) 吉姆·奎克著Jim Kwik；王小皓译"</f>
        <v>(美) 吉姆·奎克著Jim Kwik；王小皓译</v>
      </c>
      <c r="E716" s="7" t="str">
        <f>"人民邮电出版社"</f>
        <v>人民邮电出版社</v>
      </c>
      <c r="F716" s="7" t="str">
        <f>"G791/119"</f>
        <v>G791/119</v>
      </c>
    </row>
    <row r="717" customHeight="1" spans="1:6">
      <c r="A717" s="6">
        <v>716</v>
      </c>
      <c r="B717" s="7" t="str">
        <f>"978-7-201-16372-7"</f>
        <v>978-7-201-16372-7</v>
      </c>
      <c r="C717" s="7" t="str">
        <f>"阅读的艺术"</f>
        <v>阅读的艺术</v>
      </c>
      <c r="D717" s="7" t="str">
        <f>"(澳) 戴蒙·扬著；张毛毛译"</f>
        <v>(澳) 戴蒙·扬著；张毛毛译</v>
      </c>
      <c r="E717" s="7" t="str">
        <f>"天津人民出版社"</f>
        <v>天津人民出版社</v>
      </c>
      <c r="F717" s="7" t="str">
        <f>"G792/120"</f>
        <v>G792/120</v>
      </c>
    </row>
    <row r="718" customHeight="1" spans="1:6">
      <c r="A718" s="6">
        <v>717</v>
      </c>
      <c r="B718" s="7" t="str">
        <f>"978-7-201-16372-7"</f>
        <v>978-7-201-16372-7</v>
      </c>
      <c r="C718" s="7" t="str">
        <f>"阅读的艺术"</f>
        <v>阅读的艺术</v>
      </c>
      <c r="D718" s="7" t="str">
        <f>"(澳) 戴蒙·扬著；张毛毛译"</f>
        <v>(澳) 戴蒙·扬著；张毛毛译</v>
      </c>
      <c r="E718" s="7" t="str">
        <f>"天津人民出版社"</f>
        <v>天津人民出版社</v>
      </c>
      <c r="F718" s="7" t="str">
        <f>"G792/120"</f>
        <v>G792/120</v>
      </c>
    </row>
    <row r="719" customHeight="1" spans="1:6">
      <c r="A719" s="6">
        <v>718</v>
      </c>
      <c r="B719" s="7" t="str">
        <f>"978-7-5570-2484-0"</f>
        <v>978-7-5570-2484-0</v>
      </c>
      <c r="C719" s="7" t="str">
        <f>"阅读变现"</f>
        <v>阅读变现</v>
      </c>
      <c r="D719" s="7" t="str">
        <f>"(日) 山口周著；董纾含译"</f>
        <v>(日) 山口周著；董纾含译</v>
      </c>
      <c r="E719" s="7" t="str">
        <f>"广东旅游出版社"</f>
        <v>广东旅游出版社</v>
      </c>
      <c r="F719" s="7" t="str">
        <f>"G792/121"</f>
        <v>G792/121</v>
      </c>
    </row>
    <row r="720" customHeight="1" spans="1:6">
      <c r="A720" s="6">
        <v>719</v>
      </c>
      <c r="B720" s="7" t="str">
        <f>"978-7-5570-2484-0"</f>
        <v>978-7-5570-2484-0</v>
      </c>
      <c r="C720" s="7" t="str">
        <f>"阅读变现"</f>
        <v>阅读变现</v>
      </c>
      <c r="D720" s="7" t="str">
        <f>"(日) 山口周著；董纾含译"</f>
        <v>(日) 山口周著；董纾含译</v>
      </c>
      <c r="E720" s="7" t="str">
        <f>"广东旅游出版社"</f>
        <v>广东旅游出版社</v>
      </c>
      <c r="F720" s="7" t="str">
        <f>"G792/121"</f>
        <v>G792/121</v>
      </c>
    </row>
    <row r="721" customHeight="1" spans="1:6">
      <c r="A721" s="6">
        <v>720</v>
      </c>
      <c r="B721" s="7" t="str">
        <f>"978-7-5057-5142-2"</f>
        <v>978-7-5057-5142-2</v>
      </c>
      <c r="C721" s="7" t="str">
        <f>"书的使用法"</f>
        <v>书的使用法</v>
      </c>
      <c r="D721" s="7" t="str">
        <f>"(日) 出口治明著；朱悦玮译"</f>
        <v>(日) 出口治明著；朱悦玮译</v>
      </c>
      <c r="E721" s="7" t="str">
        <f>"中国友谊出版公司"</f>
        <v>中国友谊出版公司</v>
      </c>
      <c r="F721" s="7" t="str">
        <f>"G792/122"</f>
        <v>G792/122</v>
      </c>
    </row>
    <row r="722" customHeight="1" spans="1:6">
      <c r="A722" s="6">
        <v>721</v>
      </c>
      <c r="B722" s="7" t="str">
        <f>"978-7-5057-5142-2"</f>
        <v>978-7-5057-5142-2</v>
      </c>
      <c r="C722" s="7" t="str">
        <f>"书的使用法"</f>
        <v>书的使用法</v>
      </c>
      <c r="D722" s="7" t="str">
        <f>"(日) 出口治明著；朱悦玮译"</f>
        <v>(日) 出口治明著；朱悦玮译</v>
      </c>
      <c r="E722" s="7" t="str">
        <f>"中国友谊出版公司"</f>
        <v>中国友谊出版公司</v>
      </c>
      <c r="F722" s="7" t="str">
        <f>"G792/122"</f>
        <v>G792/122</v>
      </c>
    </row>
    <row r="723" customHeight="1" spans="1:6">
      <c r="A723" s="6">
        <v>722</v>
      </c>
      <c r="B723" s="7" t="str">
        <f>"978-7-108-07007-4"</f>
        <v>978-7-108-07007-4</v>
      </c>
      <c r="C723" s="7" t="str">
        <f>"怎样读书"</f>
        <v>怎样读书</v>
      </c>
      <c r="D723" s="7" t="str">
        <f>"胡适等"</f>
        <v>胡适等</v>
      </c>
      <c r="E723" s="7" t="str">
        <f>"三联书店"</f>
        <v>三联书店</v>
      </c>
      <c r="F723" s="7" t="str">
        <f>"G792/123"</f>
        <v>G792/123</v>
      </c>
    </row>
    <row r="724" customHeight="1" spans="1:6">
      <c r="A724" s="6">
        <v>723</v>
      </c>
      <c r="B724" s="7" t="str">
        <f>"978-7-108-07007-4"</f>
        <v>978-7-108-07007-4</v>
      </c>
      <c r="C724" s="7" t="str">
        <f>"怎样读书"</f>
        <v>怎样读书</v>
      </c>
      <c r="D724" s="7" t="str">
        <f>"胡适等"</f>
        <v>胡适等</v>
      </c>
      <c r="E724" s="7" t="str">
        <f>"三联书店"</f>
        <v>三联书店</v>
      </c>
      <c r="F724" s="7" t="str">
        <f>"G792/123"</f>
        <v>G792/123</v>
      </c>
    </row>
    <row r="725" customHeight="1" spans="1:6">
      <c r="A725" s="6">
        <v>724</v>
      </c>
      <c r="B725" s="7" t="str">
        <f>"978-7-5658-4055-5"</f>
        <v>978-7-5658-4055-5</v>
      </c>
      <c r="C725" s="7" t="str">
        <f>"体育英语"</f>
        <v>体育英语</v>
      </c>
      <c r="D725" s="7" t="str">
        <f>"张单， 张鹏超， 刘琴主编"</f>
        <v>张单， 张鹏超， 刘琴主编</v>
      </c>
      <c r="E725" s="7" t="str">
        <f>"汕头大学出版社"</f>
        <v>汕头大学出版社</v>
      </c>
      <c r="F725" s="7" t="str">
        <f>"G8/50"</f>
        <v>G8/50</v>
      </c>
    </row>
    <row r="726" customHeight="1" spans="1:6">
      <c r="A726" s="6">
        <v>725</v>
      </c>
      <c r="B726" s="7" t="str">
        <f>"978-7-5658-4055-5"</f>
        <v>978-7-5658-4055-5</v>
      </c>
      <c r="C726" s="7" t="str">
        <f>"体育英语"</f>
        <v>体育英语</v>
      </c>
      <c r="D726" s="7" t="str">
        <f>"张单， 张鹏超， 刘琴主编"</f>
        <v>张单， 张鹏超， 刘琴主编</v>
      </c>
      <c r="E726" s="7" t="str">
        <f>"汕头大学出版社"</f>
        <v>汕头大学出版社</v>
      </c>
      <c r="F726" s="7" t="str">
        <f>"G8/50"</f>
        <v>G8/50</v>
      </c>
    </row>
    <row r="727" customHeight="1" spans="1:6">
      <c r="A727" s="6">
        <v>726</v>
      </c>
      <c r="B727" s="7" t="str">
        <f>"978-7-5536-7378-3"</f>
        <v>978-7-5536-7378-3</v>
      </c>
      <c r="C727" s="7" t="str">
        <f>"比赛中的行为经济学：赛场行为与比赛胜负的奥秘：the hidden influences behind how sports are played and games are won"</f>
        <v>比赛中的行为经济学：赛场行为与比赛胜负的奥秘：the hidden influences behind how sports are played and games are won</v>
      </c>
      <c r="D727" s="7" t="str">
        <f>"(美) 托拜厄斯·莫斯科维茨， 乔恩·沃特海姆著；闾佳译"</f>
        <v>(美) 托拜厄斯·莫斯科维茨， 乔恩·沃特海姆著；闾佳译</v>
      </c>
      <c r="E727" s="7" t="str">
        <f>"浙江教育出版社"</f>
        <v>浙江教育出版社</v>
      </c>
      <c r="F727" s="7" t="str">
        <f>"G80-052/3"</f>
        <v>G80-052/3</v>
      </c>
    </row>
    <row r="728" customHeight="1" spans="1:6">
      <c r="A728" s="6">
        <v>727</v>
      </c>
      <c r="B728" s="7" t="str">
        <f>"978-7-5536-7378-3"</f>
        <v>978-7-5536-7378-3</v>
      </c>
      <c r="C728" s="7" t="str">
        <f>"比赛中的行为经济学：赛场行为与比赛胜负的奥秘：the hidden influences behind how sports are played and games are won"</f>
        <v>比赛中的行为经济学：赛场行为与比赛胜负的奥秘：the hidden influences behind how sports are played and games are won</v>
      </c>
      <c r="D728" s="7" t="str">
        <f>"(美) 托拜厄斯·莫斯科维茨， 乔恩·沃特海姆著；闾佳译"</f>
        <v>(美) 托拜厄斯·莫斯科维茨， 乔恩·沃特海姆著；闾佳译</v>
      </c>
      <c r="E728" s="7" t="str">
        <f>"浙江教育出版社"</f>
        <v>浙江教育出版社</v>
      </c>
      <c r="F728" s="7" t="str">
        <f>"G80-052/3"</f>
        <v>G80-052/3</v>
      </c>
    </row>
    <row r="729" customHeight="1" spans="1:6">
      <c r="A729" s="6">
        <v>728</v>
      </c>
      <c r="B729" s="8" t="s">
        <v>7568</v>
      </c>
      <c r="C729" s="8" t="s">
        <v>7569</v>
      </c>
      <c r="D729" s="8" t="s">
        <v>7570</v>
      </c>
      <c r="E729" s="8" t="s">
        <v>1189</v>
      </c>
      <c r="F729" s="8" t="s">
        <v>7571</v>
      </c>
    </row>
    <row r="730" customHeight="1" spans="1:6">
      <c r="A730" s="6">
        <v>729</v>
      </c>
      <c r="B730" s="8" t="s">
        <v>7568</v>
      </c>
      <c r="C730" s="8" t="s">
        <v>7569</v>
      </c>
      <c r="D730" s="8" t="s">
        <v>7570</v>
      </c>
      <c r="E730" s="8" t="s">
        <v>1189</v>
      </c>
      <c r="F730" s="8" t="s">
        <v>7571</v>
      </c>
    </row>
    <row r="731" customHeight="1" spans="1:6">
      <c r="A731" s="6">
        <v>730</v>
      </c>
      <c r="B731" s="8" t="s">
        <v>7572</v>
      </c>
      <c r="C731" s="8" t="s">
        <v>7573</v>
      </c>
      <c r="D731" s="8" t="s">
        <v>7574</v>
      </c>
      <c r="E731" s="8" t="s">
        <v>710</v>
      </c>
      <c r="F731" s="8" t="s">
        <v>7575</v>
      </c>
    </row>
    <row r="732" customHeight="1" spans="1:6">
      <c r="A732" s="6">
        <v>731</v>
      </c>
      <c r="B732" s="8" t="s">
        <v>7572</v>
      </c>
      <c r="C732" s="8" t="s">
        <v>7573</v>
      </c>
      <c r="D732" s="8" t="s">
        <v>7574</v>
      </c>
      <c r="E732" s="8" t="s">
        <v>710</v>
      </c>
      <c r="F732" s="8" t="s">
        <v>7575</v>
      </c>
    </row>
    <row r="733" customHeight="1" spans="1:6">
      <c r="A733" s="6">
        <v>732</v>
      </c>
      <c r="B733" s="8" t="s">
        <v>7576</v>
      </c>
      <c r="C733" s="8" t="s">
        <v>7577</v>
      </c>
      <c r="D733" s="8" t="s">
        <v>7578</v>
      </c>
      <c r="E733" s="8" t="s">
        <v>710</v>
      </c>
      <c r="F733" s="8" t="s">
        <v>7579</v>
      </c>
    </row>
    <row r="734" customHeight="1" spans="1:6">
      <c r="A734" s="6">
        <v>733</v>
      </c>
      <c r="B734" s="8" t="s">
        <v>7576</v>
      </c>
      <c r="C734" s="8" t="s">
        <v>7577</v>
      </c>
      <c r="D734" s="8" t="s">
        <v>7578</v>
      </c>
      <c r="E734" s="8" t="s">
        <v>710</v>
      </c>
      <c r="F734" s="8" t="s">
        <v>7579</v>
      </c>
    </row>
    <row r="735" customHeight="1" spans="1:6">
      <c r="A735" s="6">
        <v>734</v>
      </c>
      <c r="B735" s="8" t="s">
        <v>7580</v>
      </c>
      <c r="C735" s="8" t="s">
        <v>7581</v>
      </c>
      <c r="D735" s="8" t="s">
        <v>7582</v>
      </c>
      <c r="E735" s="8" t="s">
        <v>7583</v>
      </c>
      <c r="F735" s="8" t="s">
        <v>7584</v>
      </c>
    </row>
    <row r="736" customHeight="1" spans="1:6">
      <c r="A736" s="6">
        <v>735</v>
      </c>
      <c r="B736" s="8" t="s">
        <v>7580</v>
      </c>
      <c r="C736" s="8" t="s">
        <v>7581</v>
      </c>
      <c r="D736" s="8" t="s">
        <v>7582</v>
      </c>
      <c r="E736" s="8" t="s">
        <v>7583</v>
      </c>
      <c r="F736" s="8" t="s">
        <v>7584</v>
      </c>
    </row>
    <row r="737" customHeight="1" spans="1:6">
      <c r="A737" s="6">
        <v>736</v>
      </c>
      <c r="B737" s="8" t="s">
        <v>7585</v>
      </c>
      <c r="C737" s="8" t="s">
        <v>7586</v>
      </c>
      <c r="D737" s="8" t="s">
        <v>7587</v>
      </c>
      <c r="E737" s="8" t="s">
        <v>239</v>
      </c>
      <c r="F737" s="8" t="s">
        <v>7588</v>
      </c>
    </row>
    <row r="738" customHeight="1" spans="1:6">
      <c r="A738" s="6">
        <v>737</v>
      </c>
      <c r="B738" s="8" t="s">
        <v>7585</v>
      </c>
      <c r="C738" s="8" t="s">
        <v>7586</v>
      </c>
      <c r="D738" s="8" t="s">
        <v>7587</v>
      </c>
      <c r="E738" s="8" t="s">
        <v>239</v>
      </c>
      <c r="F738" s="8" t="s">
        <v>7588</v>
      </c>
    </row>
    <row r="739" customHeight="1" spans="1:6">
      <c r="A739" s="6">
        <v>738</v>
      </c>
      <c r="B739" s="8" t="s">
        <v>7589</v>
      </c>
      <c r="C739" s="8" t="s">
        <v>7590</v>
      </c>
      <c r="D739" s="8" t="s">
        <v>7591</v>
      </c>
      <c r="E739" s="8" t="s">
        <v>283</v>
      </c>
      <c r="F739" s="8" t="s">
        <v>7592</v>
      </c>
    </row>
    <row r="740" customHeight="1" spans="1:6">
      <c r="A740" s="6">
        <v>739</v>
      </c>
      <c r="B740" s="8" t="s">
        <v>7589</v>
      </c>
      <c r="C740" s="8" t="s">
        <v>7590</v>
      </c>
      <c r="D740" s="8" t="s">
        <v>7591</v>
      </c>
      <c r="E740" s="8" t="s">
        <v>283</v>
      </c>
      <c r="F740" s="8" t="s">
        <v>7592</v>
      </c>
    </row>
    <row r="741" customHeight="1" spans="1:6">
      <c r="A741" s="6">
        <v>740</v>
      </c>
      <c r="B741" s="8" t="s">
        <v>7593</v>
      </c>
      <c r="C741" s="8" t="s">
        <v>7594</v>
      </c>
      <c r="D741" s="8" t="s">
        <v>7595</v>
      </c>
      <c r="E741" s="8" t="s">
        <v>2337</v>
      </c>
      <c r="F741" s="8" t="s">
        <v>7596</v>
      </c>
    </row>
    <row r="742" customHeight="1" spans="1:6">
      <c r="A742" s="6">
        <v>741</v>
      </c>
      <c r="B742" s="8" t="s">
        <v>7593</v>
      </c>
      <c r="C742" s="8" t="s">
        <v>7594</v>
      </c>
      <c r="D742" s="8" t="s">
        <v>7595</v>
      </c>
      <c r="E742" s="8" t="s">
        <v>2337</v>
      </c>
      <c r="F742" s="8" t="s">
        <v>7596</v>
      </c>
    </row>
    <row r="743" customHeight="1" spans="1:6">
      <c r="A743" s="6">
        <v>742</v>
      </c>
      <c r="B743" s="8" t="s">
        <v>7597</v>
      </c>
      <c r="C743" s="8" t="s">
        <v>7598</v>
      </c>
      <c r="D743" s="8" t="s">
        <v>7599</v>
      </c>
      <c r="E743" s="8" t="s">
        <v>2267</v>
      </c>
      <c r="F743" s="8" t="s">
        <v>7600</v>
      </c>
    </row>
    <row r="744" customHeight="1" spans="1:6">
      <c r="A744" s="6">
        <v>743</v>
      </c>
      <c r="B744" s="8" t="s">
        <v>7597</v>
      </c>
      <c r="C744" s="8" t="s">
        <v>7598</v>
      </c>
      <c r="D744" s="8" t="s">
        <v>7599</v>
      </c>
      <c r="E744" s="8" t="s">
        <v>2267</v>
      </c>
      <c r="F744" s="8" t="s">
        <v>7600</v>
      </c>
    </row>
    <row r="745" customHeight="1" spans="1:6">
      <c r="A745" s="6">
        <v>744</v>
      </c>
      <c r="B745" s="8" t="s">
        <v>7601</v>
      </c>
      <c r="C745" s="8" t="s">
        <v>7602</v>
      </c>
      <c r="D745" s="8" t="s">
        <v>7603</v>
      </c>
      <c r="E745" s="8" t="s">
        <v>589</v>
      </c>
      <c r="F745" s="8" t="s">
        <v>7604</v>
      </c>
    </row>
    <row r="746" customHeight="1" spans="1:6">
      <c r="A746" s="6">
        <v>745</v>
      </c>
      <c r="B746" s="8" t="s">
        <v>7601</v>
      </c>
      <c r="C746" s="8" t="s">
        <v>7602</v>
      </c>
      <c r="D746" s="8" t="s">
        <v>7603</v>
      </c>
      <c r="E746" s="8" t="s">
        <v>589</v>
      </c>
      <c r="F746" s="8" t="s">
        <v>7604</v>
      </c>
    </row>
    <row r="747" customHeight="1" spans="1:6">
      <c r="A747" s="6">
        <v>746</v>
      </c>
      <c r="B747" s="8" t="s">
        <v>7605</v>
      </c>
      <c r="C747" s="8" t="s">
        <v>7606</v>
      </c>
      <c r="D747" s="8" t="s">
        <v>7607</v>
      </c>
      <c r="E747" s="8" t="s">
        <v>2566</v>
      </c>
      <c r="F747" s="8" t="s">
        <v>7608</v>
      </c>
    </row>
    <row r="748" customHeight="1" spans="1:6">
      <c r="A748" s="6">
        <v>747</v>
      </c>
      <c r="B748" s="8" t="s">
        <v>7609</v>
      </c>
      <c r="C748" s="8" t="s">
        <v>7610</v>
      </c>
      <c r="D748" s="8" t="s">
        <v>7611</v>
      </c>
      <c r="E748" s="8" t="s">
        <v>2267</v>
      </c>
      <c r="F748" s="8" t="s">
        <v>7612</v>
      </c>
    </row>
    <row r="749" customHeight="1" spans="1:6">
      <c r="A749" s="6">
        <v>748</v>
      </c>
      <c r="B749" s="8" t="s">
        <v>7609</v>
      </c>
      <c r="C749" s="8" t="s">
        <v>7610</v>
      </c>
      <c r="D749" s="8" t="s">
        <v>7611</v>
      </c>
      <c r="E749" s="8" t="s">
        <v>2267</v>
      </c>
      <c r="F749" s="8" t="s">
        <v>7612</v>
      </c>
    </row>
    <row r="750" customHeight="1" spans="1:6">
      <c r="A750" s="6">
        <v>749</v>
      </c>
      <c r="B750" s="8" t="s">
        <v>7613</v>
      </c>
      <c r="C750" s="8" t="s">
        <v>7614</v>
      </c>
      <c r="D750" s="8" t="s">
        <v>7615</v>
      </c>
      <c r="E750" s="8" t="s">
        <v>28</v>
      </c>
      <c r="F750" s="8" t="s">
        <v>7616</v>
      </c>
    </row>
    <row r="751" customHeight="1" spans="1:6">
      <c r="A751" s="6">
        <v>750</v>
      </c>
      <c r="B751" s="8" t="s">
        <v>7613</v>
      </c>
      <c r="C751" s="8" t="s">
        <v>7614</v>
      </c>
      <c r="D751" s="8" t="s">
        <v>7615</v>
      </c>
      <c r="E751" s="8" t="s">
        <v>28</v>
      </c>
      <c r="F751" s="8" t="s">
        <v>7616</v>
      </c>
    </row>
    <row r="752" customHeight="1" spans="1:6">
      <c r="A752" s="6">
        <v>751</v>
      </c>
      <c r="B752" s="8" t="s">
        <v>7617</v>
      </c>
      <c r="C752" s="8" t="s">
        <v>7618</v>
      </c>
      <c r="D752" s="8" t="s">
        <v>7619</v>
      </c>
      <c r="E752" s="8" t="s">
        <v>1189</v>
      </c>
      <c r="F752" s="8" t="s">
        <v>7620</v>
      </c>
    </row>
    <row r="753" customHeight="1" spans="1:6">
      <c r="A753" s="6">
        <v>752</v>
      </c>
      <c r="B753" s="8" t="s">
        <v>7617</v>
      </c>
      <c r="C753" s="8" t="s">
        <v>7618</v>
      </c>
      <c r="D753" s="8" t="s">
        <v>7619</v>
      </c>
      <c r="E753" s="8" t="s">
        <v>1189</v>
      </c>
      <c r="F753" s="8" t="s">
        <v>7620</v>
      </c>
    </row>
    <row r="754" customHeight="1" spans="1:6">
      <c r="A754" s="6">
        <v>753</v>
      </c>
      <c r="B754" s="8" t="s">
        <v>7621</v>
      </c>
      <c r="C754" s="8" t="s">
        <v>7622</v>
      </c>
      <c r="D754" s="8" t="s">
        <v>7623</v>
      </c>
      <c r="E754" s="8" t="s">
        <v>571</v>
      </c>
      <c r="F754" s="8" t="s">
        <v>7624</v>
      </c>
    </row>
    <row r="755" customHeight="1" spans="1:6">
      <c r="A755" s="6">
        <v>754</v>
      </c>
      <c r="B755" s="8" t="s">
        <v>7621</v>
      </c>
      <c r="C755" s="8" t="s">
        <v>7622</v>
      </c>
      <c r="D755" s="8" t="s">
        <v>7623</v>
      </c>
      <c r="E755" s="8" t="s">
        <v>571</v>
      </c>
      <c r="F755" s="8" t="s">
        <v>7624</v>
      </c>
    </row>
    <row r="756" customHeight="1" spans="1:6">
      <c r="A756" s="6">
        <v>755</v>
      </c>
      <c r="B756" s="8" t="s">
        <v>7621</v>
      </c>
      <c r="C756" s="8" t="s">
        <v>7622</v>
      </c>
      <c r="D756" s="8" t="s">
        <v>7623</v>
      </c>
      <c r="E756" s="8" t="s">
        <v>571</v>
      </c>
      <c r="F756" s="8" t="s">
        <v>7624</v>
      </c>
    </row>
    <row r="757" customHeight="1" spans="1:6">
      <c r="A757" s="6">
        <v>756</v>
      </c>
      <c r="B757" s="8" t="s">
        <v>7625</v>
      </c>
      <c r="C757" s="8" t="s">
        <v>7626</v>
      </c>
      <c r="D757" s="8" t="s">
        <v>7627</v>
      </c>
      <c r="E757" s="8" t="s">
        <v>1189</v>
      </c>
      <c r="F757" s="8" t="s">
        <v>7628</v>
      </c>
    </row>
    <row r="758" customHeight="1" spans="1:6">
      <c r="A758" s="6">
        <v>757</v>
      </c>
      <c r="B758" s="8" t="s">
        <v>7625</v>
      </c>
      <c r="C758" s="8" t="s">
        <v>7626</v>
      </c>
      <c r="D758" s="8" t="s">
        <v>7627</v>
      </c>
      <c r="E758" s="8" t="s">
        <v>1189</v>
      </c>
      <c r="F758" s="8" t="s">
        <v>7628</v>
      </c>
    </row>
    <row r="759" customHeight="1" spans="1:6">
      <c r="A759" s="6">
        <v>758</v>
      </c>
      <c r="B759" s="8" t="s">
        <v>7629</v>
      </c>
      <c r="C759" s="8" t="s">
        <v>7630</v>
      </c>
      <c r="D759" s="8" t="s">
        <v>7631</v>
      </c>
      <c r="E759" s="8" t="s">
        <v>1189</v>
      </c>
      <c r="F759" s="8" t="s">
        <v>7632</v>
      </c>
    </row>
    <row r="760" customHeight="1" spans="1:6">
      <c r="A760" s="6">
        <v>759</v>
      </c>
      <c r="B760" s="8" t="s">
        <v>7629</v>
      </c>
      <c r="C760" s="8" t="s">
        <v>7630</v>
      </c>
      <c r="D760" s="8" t="s">
        <v>7631</v>
      </c>
      <c r="E760" s="8" t="s">
        <v>1189</v>
      </c>
      <c r="F760" s="8" t="s">
        <v>7632</v>
      </c>
    </row>
    <row r="761" customHeight="1" spans="1:6">
      <c r="A761" s="6">
        <v>760</v>
      </c>
      <c r="B761" s="8" t="s">
        <v>7633</v>
      </c>
      <c r="C761" s="8" t="s">
        <v>7634</v>
      </c>
      <c r="D761" s="8" t="s">
        <v>7635</v>
      </c>
      <c r="E761" s="8" t="s">
        <v>239</v>
      </c>
      <c r="F761" s="8" t="s">
        <v>7636</v>
      </c>
    </row>
    <row r="762" customHeight="1" spans="1:6">
      <c r="A762" s="6">
        <v>761</v>
      </c>
      <c r="B762" s="8" t="s">
        <v>7633</v>
      </c>
      <c r="C762" s="8" t="s">
        <v>7634</v>
      </c>
      <c r="D762" s="8" t="s">
        <v>7635</v>
      </c>
      <c r="E762" s="8" t="s">
        <v>239</v>
      </c>
      <c r="F762" s="8" t="s">
        <v>7636</v>
      </c>
    </row>
    <row r="763" customHeight="1" spans="1:6">
      <c r="A763" s="6">
        <v>762</v>
      </c>
      <c r="B763" s="8" t="s">
        <v>7637</v>
      </c>
      <c r="C763" s="8" t="s">
        <v>7638</v>
      </c>
      <c r="D763" s="8" t="s">
        <v>7639</v>
      </c>
      <c r="E763" s="8" t="s">
        <v>7583</v>
      </c>
      <c r="F763" s="8" t="s">
        <v>7640</v>
      </c>
    </row>
    <row r="764" customHeight="1" spans="1:6">
      <c r="A764" s="6">
        <v>763</v>
      </c>
      <c r="B764" s="8" t="s">
        <v>7637</v>
      </c>
      <c r="C764" s="8" t="s">
        <v>7638</v>
      </c>
      <c r="D764" s="8" t="s">
        <v>7639</v>
      </c>
      <c r="E764" s="8" t="s">
        <v>7583</v>
      </c>
      <c r="F764" s="8" t="s">
        <v>7640</v>
      </c>
    </row>
    <row r="765" customHeight="1" spans="1:6">
      <c r="A765" s="6">
        <v>764</v>
      </c>
      <c r="B765" s="8" t="s">
        <v>7641</v>
      </c>
      <c r="C765" s="8" t="s">
        <v>7642</v>
      </c>
      <c r="D765" s="8" t="s">
        <v>7643</v>
      </c>
      <c r="E765" s="8" t="s">
        <v>1189</v>
      </c>
      <c r="F765" s="8" t="s">
        <v>7644</v>
      </c>
    </row>
    <row r="766" customHeight="1" spans="1:6">
      <c r="A766" s="6">
        <v>765</v>
      </c>
      <c r="B766" s="8" t="s">
        <v>7641</v>
      </c>
      <c r="C766" s="8" t="s">
        <v>7642</v>
      </c>
      <c r="D766" s="8" t="s">
        <v>7643</v>
      </c>
      <c r="E766" s="8" t="s">
        <v>1189</v>
      </c>
      <c r="F766" s="8" t="s">
        <v>7644</v>
      </c>
    </row>
    <row r="767" customHeight="1" spans="1:6">
      <c r="A767" s="6">
        <v>766</v>
      </c>
      <c r="B767" s="8" t="s">
        <v>7645</v>
      </c>
      <c r="C767" s="8" t="s">
        <v>7646</v>
      </c>
      <c r="D767" s="8" t="s">
        <v>7647</v>
      </c>
      <c r="E767" s="8" t="s">
        <v>1189</v>
      </c>
      <c r="F767" s="8" t="s">
        <v>7648</v>
      </c>
    </row>
    <row r="768" customHeight="1" spans="1:6">
      <c r="A768" s="6">
        <v>767</v>
      </c>
      <c r="B768" s="8" t="s">
        <v>7645</v>
      </c>
      <c r="C768" s="8" t="s">
        <v>7646</v>
      </c>
      <c r="D768" s="8" t="s">
        <v>7647</v>
      </c>
      <c r="E768" s="8" t="s">
        <v>1189</v>
      </c>
      <c r="F768" s="8" t="s">
        <v>7648</v>
      </c>
    </row>
    <row r="769" customHeight="1" spans="1:6">
      <c r="A769" s="6">
        <v>768</v>
      </c>
      <c r="B769" s="8" t="s">
        <v>7649</v>
      </c>
      <c r="C769" s="8" t="s">
        <v>7650</v>
      </c>
      <c r="D769" s="8" t="s">
        <v>7651</v>
      </c>
      <c r="E769" s="8" t="s">
        <v>916</v>
      </c>
      <c r="F769" s="8" t="s">
        <v>7652</v>
      </c>
    </row>
    <row r="770" customHeight="1" spans="1:6">
      <c r="A770" s="6">
        <v>769</v>
      </c>
      <c r="B770" s="8" t="s">
        <v>7649</v>
      </c>
      <c r="C770" s="8" t="s">
        <v>7650</v>
      </c>
      <c r="D770" s="8" t="s">
        <v>7651</v>
      </c>
      <c r="E770" s="8" t="s">
        <v>916</v>
      </c>
      <c r="F770" s="8" t="s">
        <v>7652</v>
      </c>
    </row>
    <row r="771" customHeight="1" spans="1:6">
      <c r="A771" s="6">
        <v>770</v>
      </c>
      <c r="B771" s="7" t="str">
        <f t="shared" ref="B771:B773" si="91">"978-7-5672-3634-9"</f>
        <v>978-7-5672-3634-9</v>
      </c>
      <c r="C771" s="7" t="str">
        <f t="shared" ref="C771:C773" si="92">"体育与健康"</f>
        <v>体育与健康</v>
      </c>
      <c r="D771" s="7" t="str">
        <f t="shared" ref="D771:D773" si="93">"汤景瑞， 丁素兰主编"</f>
        <v>汤景瑞， 丁素兰主编</v>
      </c>
      <c r="E771" s="7" t="str">
        <f t="shared" ref="E771:E773" si="94">"苏州大学出版社"</f>
        <v>苏州大学出版社</v>
      </c>
      <c r="F771" s="7" t="str">
        <f t="shared" ref="F771:F773" si="95">"G807.4/279"</f>
        <v>G807.4/279</v>
      </c>
    </row>
    <row r="772" customHeight="1" spans="1:6">
      <c r="A772" s="6">
        <v>771</v>
      </c>
      <c r="B772" s="7" t="str">
        <f t="shared" si="91"/>
        <v>978-7-5672-3634-9</v>
      </c>
      <c r="C772" s="7" t="str">
        <f t="shared" si="92"/>
        <v>体育与健康</v>
      </c>
      <c r="D772" s="7" t="str">
        <f t="shared" si="93"/>
        <v>汤景瑞， 丁素兰主编</v>
      </c>
      <c r="E772" s="7" t="str">
        <f t="shared" si="94"/>
        <v>苏州大学出版社</v>
      </c>
      <c r="F772" s="7" t="str">
        <f t="shared" si="95"/>
        <v>G807.4/279</v>
      </c>
    </row>
    <row r="773" customHeight="1" spans="1:6">
      <c r="A773" s="6">
        <v>772</v>
      </c>
      <c r="B773" s="7" t="str">
        <f t="shared" si="91"/>
        <v>978-7-5672-3634-9</v>
      </c>
      <c r="C773" s="7" t="str">
        <f t="shared" si="92"/>
        <v>体育与健康</v>
      </c>
      <c r="D773" s="7" t="str">
        <f t="shared" si="93"/>
        <v>汤景瑞， 丁素兰主编</v>
      </c>
      <c r="E773" s="7" t="str">
        <f t="shared" si="94"/>
        <v>苏州大学出版社</v>
      </c>
      <c r="F773" s="7" t="str">
        <f t="shared" si="95"/>
        <v>G807.4/279</v>
      </c>
    </row>
    <row r="774" customHeight="1" spans="1:6">
      <c r="A774" s="6">
        <v>773</v>
      </c>
      <c r="B774" s="7" t="str">
        <f t="shared" ref="B774:B776" si="96">"978-7-5165-2649-1"</f>
        <v>978-7-5165-2649-1</v>
      </c>
      <c r="C774" s="7" t="str">
        <f t="shared" ref="C774:C776" si="97">"大学生体育与健康教程"</f>
        <v>大学生体育与健康教程</v>
      </c>
      <c r="D774" s="7" t="str">
        <f t="shared" ref="D774:D776" si="98">"主编周俊辉"</f>
        <v>主编周俊辉</v>
      </c>
      <c r="E774" s="7" t="str">
        <f t="shared" ref="E774:E776" si="99">"航空工业出版社"</f>
        <v>航空工业出版社</v>
      </c>
      <c r="F774" s="7" t="str">
        <f t="shared" ref="F774:F776" si="100">"G807.4/280"</f>
        <v>G807.4/280</v>
      </c>
    </row>
    <row r="775" customHeight="1" spans="1:6">
      <c r="A775" s="6">
        <v>774</v>
      </c>
      <c r="B775" s="7" t="str">
        <f t="shared" si="96"/>
        <v>978-7-5165-2649-1</v>
      </c>
      <c r="C775" s="7" t="str">
        <f t="shared" si="97"/>
        <v>大学生体育与健康教程</v>
      </c>
      <c r="D775" s="7" t="str">
        <f t="shared" si="98"/>
        <v>主编周俊辉</v>
      </c>
      <c r="E775" s="7" t="str">
        <f t="shared" si="99"/>
        <v>航空工业出版社</v>
      </c>
      <c r="F775" s="7" t="str">
        <f t="shared" si="100"/>
        <v>G807.4/280</v>
      </c>
    </row>
    <row r="776" customHeight="1" spans="1:6">
      <c r="A776" s="6">
        <v>775</v>
      </c>
      <c r="B776" s="7" t="str">
        <f t="shared" si="96"/>
        <v>978-7-5165-2649-1</v>
      </c>
      <c r="C776" s="7" t="str">
        <f t="shared" si="97"/>
        <v>大学生体育与健康教程</v>
      </c>
      <c r="D776" s="7" t="str">
        <f t="shared" si="98"/>
        <v>主编周俊辉</v>
      </c>
      <c r="E776" s="7" t="str">
        <f t="shared" si="99"/>
        <v>航空工业出版社</v>
      </c>
      <c r="F776" s="7" t="str">
        <f t="shared" si="100"/>
        <v>G807.4/280</v>
      </c>
    </row>
    <row r="777" customHeight="1" spans="1:6">
      <c r="A777" s="6">
        <v>776</v>
      </c>
      <c r="B777" s="8" t="s">
        <v>7653</v>
      </c>
      <c r="C777" s="8" t="s">
        <v>7654</v>
      </c>
      <c r="D777" s="8" t="s">
        <v>7655</v>
      </c>
      <c r="E777" s="8" t="s">
        <v>239</v>
      </c>
      <c r="F777" s="8" t="s">
        <v>7656</v>
      </c>
    </row>
    <row r="778" customHeight="1" spans="1:6">
      <c r="A778" s="6">
        <v>777</v>
      </c>
      <c r="B778" s="8" t="s">
        <v>7653</v>
      </c>
      <c r="C778" s="8" t="s">
        <v>7654</v>
      </c>
      <c r="D778" s="8" t="s">
        <v>7655</v>
      </c>
      <c r="E778" s="8" t="s">
        <v>239</v>
      </c>
      <c r="F778" s="8" t="s">
        <v>7656</v>
      </c>
    </row>
    <row r="779" customHeight="1" spans="1:6">
      <c r="A779" s="6">
        <v>778</v>
      </c>
      <c r="B779" s="8" t="s">
        <v>7657</v>
      </c>
      <c r="C779" s="8" t="s">
        <v>7658</v>
      </c>
      <c r="D779" s="8" t="s">
        <v>7659</v>
      </c>
      <c r="E779" s="8" t="s">
        <v>293</v>
      </c>
      <c r="F779" s="8" t="s">
        <v>7660</v>
      </c>
    </row>
    <row r="780" customHeight="1" spans="1:6">
      <c r="A780" s="6">
        <v>779</v>
      </c>
      <c r="B780" s="8" t="s">
        <v>7657</v>
      </c>
      <c r="C780" s="8" t="s">
        <v>7658</v>
      </c>
      <c r="D780" s="8" t="s">
        <v>7659</v>
      </c>
      <c r="E780" s="8" t="s">
        <v>293</v>
      </c>
      <c r="F780" s="8" t="s">
        <v>7660</v>
      </c>
    </row>
    <row r="781" customHeight="1" spans="1:6">
      <c r="A781" s="6">
        <v>780</v>
      </c>
      <c r="B781" s="8" t="s">
        <v>7657</v>
      </c>
      <c r="C781" s="8" t="s">
        <v>7658</v>
      </c>
      <c r="D781" s="8" t="s">
        <v>7659</v>
      </c>
      <c r="E781" s="8" t="s">
        <v>293</v>
      </c>
      <c r="F781" s="8" t="s">
        <v>7660</v>
      </c>
    </row>
    <row r="782" customHeight="1" spans="1:6">
      <c r="A782" s="6">
        <v>781</v>
      </c>
      <c r="B782" s="8" t="s">
        <v>7661</v>
      </c>
      <c r="C782" s="8" t="s">
        <v>7662</v>
      </c>
      <c r="D782" s="8" t="s">
        <v>7663</v>
      </c>
      <c r="E782" s="8" t="s">
        <v>2566</v>
      </c>
      <c r="F782" s="8" t="s">
        <v>7664</v>
      </c>
    </row>
    <row r="783" customHeight="1" spans="1:6">
      <c r="A783" s="6">
        <v>782</v>
      </c>
      <c r="B783" s="8" t="s">
        <v>7661</v>
      </c>
      <c r="C783" s="8" t="s">
        <v>7662</v>
      </c>
      <c r="D783" s="8" t="s">
        <v>7663</v>
      </c>
      <c r="E783" s="8" t="s">
        <v>2566</v>
      </c>
      <c r="F783" s="8" t="s">
        <v>7664</v>
      </c>
    </row>
    <row r="784" customHeight="1" spans="1:6">
      <c r="A784" s="6">
        <v>783</v>
      </c>
      <c r="B784" s="8" t="s">
        <v>7665</v>
      </c>
      <c r="C784" s="8" t="s">
        <v>7666</v>
      </c>
      <c r="D784" s="8" t="s">
        <v>7667</v>
      </c>
      <c r="E784" s="8" t="s">
        <v>1189</v>
      </c>
      <c r="F784" s="8" t="s">
        <v>7668</v>
      </c>
    </row>
    <row r="785" customHeight="1" spans="1:6">
      <c r="A785" s="6">
        <v>784</v>
      </c>
      <c r="B785" s="8" t="s">
        <v>7665</v>
      </c>
      <c r="C785" s="8" t="s">
        <v>7666</v>
      </c>
      <c r="D785" s="8" t="s">
        <v>7667</v>
      </c>
      <c r="E785" s="8" t="s">
        <v>1189</v>
      </c>
      <c r="F785" s="8" t="s">
        <v>7668</v>
      </c>
    </row>
    <row r="786" customHeight="1" spans="1:6">
      <c r="A786" s="6">
        <v>785</v>
      </c>
      <c r="B786" s="8" t="s">
        <v>7669</v>
      </c>
      <c r="C786" s="8" t="s">
        <v>7670</v>
      </c>
      <c r="D786" s="8" t="s">
        <v>7671</v>
      </c>
      <c r="E786" s="8" t="s">
        <v>1189</v>
      </c>
      <c r="F786" s="8" t="s">
        <v>7672</v>
      </c>
    </row>
    <row r="787" customHeight="1" spans="1:6">
      <c r="A787" s="6">
        <v>786</v>
      </c>
      <c r="B787" s="8" t="s">
        <v>7669</v>
      </c>
      <c r="C787" s="8" t="s">
        <v>7670</v>
      </c>
      <c r="D787" s="8" t="s">
        <v>7671</v>
      </c>
      <c r="E787" s="8" t="s">
        <v>1189</v>
      </c>
      <c r="F787" s="8" t="s">
        <v>7672</v>
      </c>
    </row>
    <row r="788" customHeight="1" spans="1:6">
      <c r="A788" s="6">
        <v>787</v>
      </c>
      <c r="B788" s="8" t="s">
        <v>7673</v>
      </c>
      <c r="C788" s="8" t="s">
        <v>7674</v>
      </c>
      <c r="D788" s="8" t="s">
        <v>7675</v>
      </c>
      <c r="E788" s="8" t="s">
        <v>7676</v>
      </c>
      <c r="F788" s="8" t="s">
        <v>7677</v>
      </c>
    </row>
    <row r="789" customHeight="1" spans="1:6">
      <c r="A789" s="6">
        <v>788</v>
      </c>
      <c r="B789" s="8" t="s">
        <v>7673</v>
      </c>
      <c r="C789" s="8" t="s">
        <v>7674</v>
      </c>
      <c r="D789" s="8" t="s">
        <v>7675</v>
      </c>
      <c r="E789" s="8" t="s">
        <v>7676</v>
      </c>
      <c r="F789" s="8" t="s">
        <v>7677</v>
      </c>
    </row>
    <row r="790" customHeight="1" spans="1:6">
      <c r="A790" s="6">
        <v>789</v>
      </c>
      <c r="B790" s="8" t="s">
        <v>7678</v>
      </c>
      <c r="C790" s="8" t="s">
        <v>7679</v>
      </c>
      <c r="D790" s="8" t="s">
        <v>7680</v>
      </c>
      <c r="E790" s="8" t="s">
        <v>2267</v>
      </c>
      <c r="F790" s="8" t="s">
        <v>7681</v>
      </c>
    </row>
    <row r="791" customHeight="1" spans="1:6">
      <c r="A791" s="6">
        <v>790</v>
      </c>
      <c r="B791" s="8" t="s">
        <v>7678</v>
      </c>
      <c r="C791" s="8" t="s">
        <v>7679</v>
      </c>
      <c r="D791" s="8" t="s">
        <v>7680</v>
      </c>
      <c r="E791" s="8" t="s">
        <v>2267</v>
      </c>
      <c r="F791" s="8" t="s">
        <v>7681</v>
      </c>
    </row>
    <row r="792" customHeight="1" spans="1:6">
      <c r="A792" s="6">
        <v>791</v>
      </c>
      <c r="B792" s="8" t="s">
        <v>7682</v>
      </c>
      <c r="C792" s="8" t="s">
        <v>7683</v>
      </c>
      <c r="D792" s="8" t="s">
        <v>7684</v>
      </c>
      <c r="E792" s="8" t="s">
        <v>2267</v>
      </c>
      <c r="F792" s="8" t="s">
        <v>7685</v>
      </c>
    </row>
    <row r="793" customHeight="1" spans="1:6">
      <c r="A793" s="6">
        <v>792</v>
      </c>
      <c r="B793" s="8" t="s">
        <v>7682</v>
      </c>
      <c r="C793" s="8" t="s">
        <v>7683</v>
      </c>
      <c r="D793" s="8" t="s">
        <v>7684</v>
      </c>
      <c r="E793" s="8" t="s">
        <v>2267</v>
      </c>
      <c r="F793" s="8" t="s">
        <v>7685</v>
      </c>
    </row>
    <row r="794" customHeight="1" spans="1:6">
      <c r="A794" s="6">
        <v>793</v>
      </c>
      <c r="B794" s="8" t="s">
        <v>7686</v>
      </c>
      <c r="C794" s="8" t="s">
        <v>7687</v>
      </c>
      <c r="D794" s="8" t="s">
        <v>7688</v>
      </c>
      <c r="E794" s="8" t="s">
        <v>2790</v>
      </c>
      <c r="F794" s="8" t="s">
        <v>7689</v>
      </c>
    </row>
    <row r="795" customHeight="1" spans="1:6">
      <c r="A795" s="6">
        <v>794</v>
      </c>
      <c r="B795" s="8" t="s">
        <v>7686</v>
      </c>
      <c r="C795" s="8" t="s">
        <v>7687</v>
      </c>
      <c r="D795" s="8" t="s">
        <v>7688</v>
      </c>
      <c r="E795" s="8" t="s">
        <v>2790</v>
      </c>
      <c r="F795" s="8" t="s">
        <v>7689</v>
      </c>
    </row>
    <row r="796" customHeight="1" spans="1:6">
      <c r="A796" s="6">
        <v>795</v>
      </c>
      <c r="B796" s="8" t="s">
        <v>7690</v>
      </c>
      <c r="C796" s="8" t="s">
        <v>7691</v>
      </c>
      <c r="D796" s="8" t="s">
        <v>7692</v>
      </c>
      <c r="E796" s="8" t="s">
        <v>1189</v>
      </c>
      <c r="F796" s="8" t="s">
        <v>7693</v>
      </c>
    </row>
    <row r="797" customHeight="1" spans="1:6">
      <c r="A797" s="6">
        <v>796</v>
      </c>
      <c r="B797" s="8" t="s">
        <v>7690</v>
      </c>
      <c r="C797" s="8" t="s">
        <v>7691</v>
      </c>
      <c r="D797" s="8" t="s">
        <v>7692</v>
      </c>
      <c r="E797" s="8" t="s">
        <v>1189</v>
      </c>
      <c r="F797" s="8" t="s">
        <v>7693</v>
      </c>
    </row>
    <row r="798" customHeight="1" spans="1:6">
      <c r="A798" s="6">
        <v>797</v>
      </c>
      <c r="B798" s="8" t="s">
        <v>7694</v>
      </c>
      <c r="C798" s="8" t="s">
        <v>7695</v>
      </c>
      <c r="D798" s="8" t="s">
        <v>7696</v>
      </c>
      <c r="E798" s="8" t="s">
        <v>2566</v>
      </c>
      <c r="F798" s="8" t="s">
        <v>7697</v>
      </c>
    </row>
    <row r="799" customHeight="1" spans="1:6">
      <c r="A799" s="6">
        <v>798</v>
      </c>
      <c r="B799" s="8" t="s">
        <v>7694</v>
      </c>
      <c r="C799" s="8" t="s">
        <v>7695</v>
      </c>
      <c r="D799" s="8" t="s">
        <v>7696</v>
      </c>
      <c r="E799" s="8" t="s">
        <v>2566</v>
      </c>
      <c r="F799" s="8" t="s">
        <v>7697</v>
      </c>
    </row>
    <row r="800" customHeight="1" spans="1:6">
      <c r="A800" s="6">
        <v>799</v>
      </c>
      <c r="B800" s="8" t="s">
        <v>7694</v>
      </c>
      <c r="C800" s="8" t="s">
        <v>7695</v>
      </c>
      <c r="D800" s="8" t="s">
        <v>7696</v>
      </c>
      <c r="E800" s="8" t="s">
        <v>2566</v>
      </c>
      <c r="F800" s="8" t="s">
        <v>7697</v>
      </c>
    </row>
    <row r="801" customHeight="1" spans="1:6">
      <c r="A801" s="6">
        <v>800</v>
      </c>
      <c r="B801" s="8" t="s">
        <v>7698</v>
      </c>
      <c r="C801" s="8" t="s">
        <v>7699</v>
      </c>
      <c r="D801" s="8" t="s">
        <v>7700</v>
      </c>
      <c r="E801" s="8" t="s">
        <v>2267</v>
      </c>
      <c r="F801" s="8" t="s">
        <v>7701</v>
      </c>
    </row>
    <row r="802" customHeight="1" spans="1:6">
      <c r="A802" s="6">
        <v>801</v>
      </c>
      <c r="B802" s="8" t="s">
        <v>7698</v>
      </c>
      <c r="C802" s="8" t="s">
        <v>7699</v>
      </c>
      <c r="D802" s="8" t="s">
        <v>7700</v>
      </c>
      <c r="E802" s="8" t="s">
        <v>2267</v>
      </c>
      <c r="F802" s="8" t="s">
        <v>7701</v>
      </c>
    </row>
    <row r="803" customHeight="1" spans="1:6">
      <c r="A803" s="6">
        <v>802</v>
      </c>
      <c r="B803" s="8" t="s">
        <v>7702</v>
      </c>
      <c r="C803" s="8" t="s">
        <v>7703</v>
      </c>
      <c r="D803" s="8" t="s">
        <v>7704</v>
      </c>
      <c r="E803" s="8" t="s">
        <v>2267</v>
      </c>
      <c r="F803" s="8" t="s">
        <v>7705</v>
      </c>
    </row>
    <row r="804" customHeight="1" spans="1:6">
      <c r="A804" s="6">
        <v>803</v>
      </c>
      <c r="B804" s="8" t="s">
        <v>7702</v>
      </c>
      <c r="C804" s="8" t="s">
        <v>7703</v>
      </c>
      <c r="D804" s="8" t="s">
        <v>7704</v>
      </c>
      <c r="E804" s="8" t="s">
        <v>2267</v>
      </c>
      <c r="F804" s="8" t="s">
        <v>7705</v>
      </c>
    </row>
    <row r="805" customHeight="1" spans="1:6">
      <c r="A805" s="6">
        <v>804</v>
      </c>
      <c r="B805" s="8" t="s">
        <v>7706</v>
      </c>
      <c r="C805" s="8" t="s">
        <v>7707</v>
      </c>
      <c r="D805" s="8" t="s">
        <v>7708</v>
      </c>
      <c r="E805" s="8" t="s">
        <v>1189</v>
      </c>
      <c r="F805" s="8" t="s">
        <v>7709</v>
      </c>
    </row>
    <row r="806" customHeight="1" spans="1:6">
      <c r="A806" s="6">
        <v>805</v>
      </c>
      <c r="B806" s="8" t="s">
        <v>7706</v>
      </c>
      <c r="C806" s="8" t="s">
        <v>7707</v>
      </c>
      <c r="D806" s="8" t="s">
        <v>7708</v>
      </c>
      <c r="E806" s="8" t="s">
        <v>1189</v>
      </c>
      <c r="F806" s="8" t="s">
        <v>7709</v>
      </c>
    </row>
    <row r="807" customHeight="1" spans="1:6">
      <c r="A807" s="6">
        <v>806</v>
      </c>
      <c r="B807" s="8" t="s">
        <v>7710</v>
      </c>
      <c r="C807" s="8" t="s">
        <v>7711</v>
      </c>
      <c r="D807" s="8" t="s">
        <v>7712</v>
      </c>
      <c r="E807" s="8" t="s">
        <v>2566</v>
      </c>
      <c r="F807" s="8" t="s">
        <v>7713</v>
      </c>
    </row>
    <row r="808" customHeight="1" spans="1:6">
      <c r="A808" s="6">
        <v>807</v>
      </c>
      <c r="B808" s="8" t="s">
        <v>7710</v>
      </c>
      <c r="C808" s="8" t="s">
        <v>7711</v>
      </c>
      <c r="D808" s="8" t="s">
        <v>7712</v>
      </c>
      <c r="E808" s="8" t="s">
        <v>2566</v>
      </c>
      <c r="F808" s="8" t="s">
        <v>7713</v>
      </c>
    </row>
    <row r="809" customHeight="1" spans="1:6">
      <c r="A809" s="6">
        <v>808</v>
      </c>
      <c r="B809" s="8" t="s">
        <v>7714</v>
      </c>
      <c r="C809" s="8" t="s">
        <v>7715</v>
      </c>
      <c r="D809" s="8" t="s">
        <v>7716</v>
      </c>
      <c r="E809" s="8" t="s">
        <v>7717</v>
      </c>
      <c r="F809" s="8" t="s">
        <v>7718</v>
      </c>
    </row>
    <row r="810" customHeight="1" spans="1:6">
      <c r="A810" s="6">
        <v>809</v>
      </c>
      <c r="B810" s="8" t="s">
        <v>7714</v>
      </c>
      <c r="C810" s="8" t="s">
        <v>7715</v>
      </c>
      <c r="D810" s="8" t="s">
        <v>7716</v>
      </c>
      <c r="E810" s="8" t="s">
        <v>7717</v>
      </c>
      <c r="F810" s="8" t="s">
        <v>7718</v>
      </c>
    </row>
    <row r="811" customHeight="1" spans="1:6">
      <c r="A811" s="6">
        <v>810</v>
      </c>
      <c r="B811" s="8" t="s">
        <v>7719</v>
      </c>
      <c r="C811" s="8" t="s">
        <v>7720</v>
      </c>
      <c r="D811" s="8" t="s">
        <v>7721</v>
      </c>
      <c r="E811" s="8" t="s">
        <v>2566</v>
      </c>
      <c r="F811" s="8" t="s">
        <v>7722</v>
      </c>
    </row>
    <row r="812" customHeight="1" spans="1:6">
      <c r="A812" s="6">
        <v>811</v>
      </c>
      <c r="B812" s="8" t="s">
        <v>7719</v>
      </c>
      <c r="C812" s="8" t="s">
        <v>7720</v>
      </c>
      <c r="D812" s="8" t="s">
        <v>7721</v>
      </c>
      <c r="E812" s="8" t="s">
        <v>2566</v>
      </c>
      <c r="F812" s="8" t="s">
        <v>7722</v>
      </c>
    </row>
    <row r="813" customHeight="1" spans="1:6">
      <c r="A813" s="6">
        <v>812</v>
      </c>
      <c r="B813" s="8" t="s">
        <v>7723</v>
      </c>
      <c r="C813" s="8" t="s">
        <v>7724</v>
      </c>
      <c r="D813" s="8" t="s">
        <v>7725</v>
      </c>
      <c r="E813" s="8" t="s">
        <v>2566</v>
      </c>
      <c r="F813" s="8" t="s">
        <v>7726</v>
      </c>
    </row>
    <row r="814" customHeight="1" spans="1:6">
      <c r="A814" s="6">
        <v>813</v>
      </c>
      <c r="B814" s="8" t="s">
        <v>7723</v>
      </c>
      <c r="C814" s="8" t="s">
        <v>7724</v>
      </c>
      <c r="D814" s="8" t="s">
        <v>7725</v>
      </c>
      <c r="E814" s="8" t="s">
        <v>2566</v>
      </c>
      <c r="F814" s="8" t="s">
        <v>7726</v>
      </c>
    </row>
    <row r="815" customHeight="1" spans="1:6">
      <c r="A815" s="6">
        <v>814</v>
      </c>
      <c r="B815" s="8" t="s">
        <v>7727</v>
      </c>
      <c r="C815" s="8" t="s">
        <v>7728</v>
      </c>
      <c r="D815" s="8" t="s">
        <v>7729</v>
      </c>
      <c r="E815" s="8" t="s">
        <v>1189</v>
      </c>
      <c r="F815" s="8" t="s">
        <v>7730</v>
      </c>
    </row>
    <row r="816" customHeight="1" spans="1:6">
      <c r="A816" s="6">
        <v>815</v>
      </c>
      <c r="B816" s="8" t="s">
        <v>7727</v>
      </c>
      <c r="C816" s="8" t="s">
        <v>7728</v>
      </c>
      <c r="D816" s="8" t="s">
        <v>7729</v>
      </c>
      <c r="E816" s="8" t="s">
        <v>1189</v>
      </c>
      <c r="F816" s="8" t="s">
        <v>7730</v>
      </c>
    </row>
    <row r="817" customHeight="1" spans="1:6">
      <c r="A817" s="6">
        <v>816</v>
      </c>
      <c r="B817" s="8" t="s">
        <v>7731</v>
      </c>
      <c r="C817" s="8" t="s">
        <v>7732</v>
      </c>
      <c r="D817" s="8" t="s">
        <v>7733</v>
      </c>
      <c r="E817" s="8" t="s">
        <v>1189</v>
      </c>
      <c r="F817" s="8" t="s">
        <v>7734</v>
      </c>
    </row>
    <row r="818" customHeight="1" spans="1:6">
      <c r="A818" s="6">
        <v>817</v>
      </c>
      <c r="B818" s="8" t="s">
        <v>7731</v>
      </c>
      <c r="C818" s="8" t="s">
        <v>7732</v>
      </c>
      <c r="D818" s="8" t="s">
        <v>7733</v>
      </c>
      <c r="E818" s="8" t="s">
        <v>1189</v>
      </c>
      <c r="F818" s="8" t="s">
        <v>7734</v>
      </c>
    </row>
    <row r="819" customHeight="1" spans="1:6">
      <c r="A819" s="6">
        <v>818</v>
      </c>
      <c r="B819" s="8" t="s">
        <v>7735</v>
      </c>
      <c r="C819" s="8" t="s">
        <v>7736</v>
      </c>
      <c r="D819" s="8" t="s">
        <v>7737</v>
      </c>
      <c r="E819" s="8" t="s">
        <v>7738</v>
      </c>
      <c r="F819" s="8" t="s">
        <v>7739</v>
      </c>
    </row>
    <row r="820" customHeight="1" spans="1:6">
      <c r="A820" s="6">
        <v>819</v>
      </c>
      <c r="B820" s="8" t="s">
        <v>7735</v>
      </c>
      <c r="C820" s="8" t="s">
        <v>7736</v>
      </c>
      <c r="D820" s="8" t="s">
        <v>7737</v>
      </c>
      <c r="E820" s="8" t="s">
        <v>7738</v>
      </c>
      <c r="F820" s="8" t="s">
        <v>7739</v>
      </c>
    </row>
    <row r="821" customHeight="1" spans="1:6">
      <c r="A821" s="6">
        <v>820</v>
      </c>
      <c r="B821" s="8" t="s">
        <v>7740</v>
      </c>
      <c r="C821" s="8" t="s">
        <v>7741</v>
      </c>
      <c r="D821" s="8" t="s">
        <v>7742</v>
      </c>
      <c r="E821" s="8" t="s">
        <v>571</v>
      </c>
      <c r="F821" s="8" t="s">
        <v>7743</v>
      </c>
    </row>
    <row r="822" customHeight="1" spans="1:6">
      <c r="A822" s="6">
        <v>821</v>
      </c>
      <c r="B822" s="8" t="s">
        <v>7740</v>
      </c>
      <c r="C822" s="8" t="s">
        <v>7741</v>
      </c>
      <c r="D822" s="8" t="s">
        <v>7742</v>
      </c>
      <c r="E822" s="8" t="s">
        <v>571</v>
      </c>
      <c r="F822" s="8" t="s">
        <v>7743</v>
      </c>
    </row>
    <row r="823" customHeight="1" spans="1:6">
      <c r="A823" s="6">
        <v>822</v>
      </c>
      <c r="B823" s="8" t="s">
        <v>7744</v>
      </c>
      <c r="C823" s="8" t="s">
        <v>7745</v>
      </c>
      <c r="D823" s="8" t="s">
        <v>7746</v>
      </c>
      <c r="E823" s="8" t="s">
        <v>425</v>
      </c>
      <c r="F823" s="8" t="s">
        <v>7747</v>
      </c>
    </row>
    <row r="824" customHeight="1" spans="1:6">
      <c r="A824" s="6">
        <v>823</v>
      </c>
      <c r="B824" s="8" t="s">
        <v>7744</v>
      </c>
      <c r="C824" s="8" t="s">
        <v>7745</v>
      </c>
      <c r="D824" s="8" t="s">
        <v>7746</v>
      </c>
      <c r="E824" s="8" t="s">
        <v>425</v>
      </c>
      <c r="F824" s="8" t="s">
        <v>7747</v>
      </c>
    </row>
    <row r="825" customHeight="1" spans="1:6">
      <c r="A825" s="6">
        <v>824</v>
      </c>
      <c r="B825" s="8" t="s">
        <v>7748</v>
      </c>
      <c r="C825" s="8" t="s">
        <v>7749</v>
      </c>
      <c r="D825" s="8" t="s">
        <v>7750</v>
      </c>
      <c r="E825" s="8" t="s">
        <v>2566</v>
      </c>
      <c r="F825" s="8" t="s">
        <v>7751</v>
      </c>
    </row>
    <row r="826" customHeight="1" spans="1:6">
      <c r="A826" s="6">
        <v>825</v>
      </c>
      <c r="B826" s="8" t="s">
        <v>7748</v>
      </c>
      <c r="C826" s="8" t="s">
        <v>7749</v>
      </c>
      <c r="D826" s="8" t="s">
        <v>7750</v>
      </c>
      <c r="E826" s="8" t="s">
        <v>2566</v>
      </c>
      <c r="F826" s="8" t="s">
        <v>7751</v>
      </c>
    </row>
    <row r="827" customHeight="1" spans="1:6">
      <c r="A827" s="6">
        <v>826</v>
      </c>
      <c r="B827" s="8" t="s">
        <v>7752</v>
      </c>
      <c r="C827" s="8" t="s">
        <v>7753</v>
      </c>
      <c r="D827" s="8" t="s">
        <v>7754</v>
      </c>
      <c r="E827" s="8" t="s">
        <v>1189</v>
      </c>
      <c r="F827" s="8" t="s">
        <v>7755</v>
      </c>
    </row>
    <row r="828" customHeight="1" spans="1:6">
      <c r="A828" s="6">
        <v>827</v>
      </c>
      <c r="B828" s="8" t="s">
        <v>7752</v>
      </c>
      <c r="C828" s="8" t="s">
        <v>7753</v>
      </c>
      <c r="D828" s="8" t="s">
        <v>7754</v>
      </c>
      <c r="E828" s="8" t="s">
        <v>1189</v>
      </c>
      <c r="F828" s="8" t="s">
        <v>7755</v>
      </c>
    </row>
    <row r="829" customHeight="1" spans="1:6">
      <c r="A829" s="6">
        <v>828</v>
      </c>
      <c r="B829" s="8" t="s">
        <v>7756</v>
      </c>
      <c r="C829" s="8" t="s">
        <v>7757</v>
      </c>
      <c r="D829" s="8" t="s">
        <v>7758</v>
      </c>
      <c r="E829" s="8" t="s">
        <v>7676</v>
      </c>
      <c r="F829" s="8" t="s">
        <v>7759</v>
      </c>
    </row>
    <row r="830" customHeight="1" spans="1:6">
      <c r="A830" s="6">
        <v>829</v>
      </c>
      <c r="B830" s="8" t="s">
        <v>7756</v>
      </c>
      <c r="C830" s="8" t="s">
        <v>7757</v>
      </c>
      <c r="D830" s="8" t="s">
        <v>7758</v>
      </c>
      <c r="E830" s="8" t="s">
        <v>7676</v>
      </c>
      <c r="F830" s="8" t="s">
        <v>7759</v>
      </c>
    </row>
    <row r="831" customHeight="1" spans="1:6">
      <c r="A831" s="6">
        <v>830</v>
      </c>
      <c r="B831" s="8" t="s">
        <v>7760</v>
      </c>
      <c r="C831" s="8" t="s">
        <v>7761</v>
      </c>
      <c r="D831" s="8" t="s">
        <v>7762</v>
      </c>
      <c r="E831" s="8" t="s">
        <v>2267</v>
      </c>
      <c r="F831" s="8" t="s">
        <v>7763</v>
      </c>
    </row>
    <row r="832" customHeight="1" spans="1:6">
      <c r="A832" s="6">
        <v>831</v>
      </c>
      <c r="B832" s="8" t="s">
        <v>7760</v>
      </c>
      <c r="C832" s="8" t="s">
        <v>7761</v>
      </c>
      <c r="D832" s="8" t="s">
        <v>7762</v>
      </c>
      <c r="E832" s="8" t="s">
        <v>2267</v>
      </c>
      <c r="F832" s="8" t="s">
        <v>7763</v>
      </c>
    </row>
    <row r="833" customHeight="1" spans="1:6">
      <c r="A833" s="6">
        <v>832</v>
      </c>
      <c r="B833" s="8" t="s">
        <v>7764</v>
      </c>
      <c r="C833" s="8" t="s">
        <v>7765</v>
      </c>
      <c r="D833" s="8" t="s">
        <v>7766</v>
      </c>
      <c r="E833" s="8" t="s">
        <v>2267</v>
      </c>
      <c r="F833" s="8" t="s">
        <v>7767</v>
      </c>
    </row>
    <row r="834" customHeight="1" spans="1:6">
      <c r="A834" s="6">
        <v>833</v>
      </c>
      <c r="B834" s="8" t="s">
        <v>7764</v>
      </c>
      <c r="C834" s="8" t="s">
        <v>7765</v>
      </c>
      <c r="D834" s="8" t="s">
        <v>7766</v>
      </c>
      <c r="E834" s="8" t="s">
        <v>2267</v>
      </c>
      <c r="F834" s="8" t="s">
        <v>7767</v>
      </c>
    </row>
    <row r="835" customHeight="1" spans="1:6">
      <c r="A835" s="6">
        <v>834</v>
      </c>
      <c r="B835" s="8" t="s">
        <v>7768</v>
      </c>
      <c r="C835" s="8" t="s">
        <v>7769</v>
      </c>
      <c r="D835" s="8" t="s">
        <v>7770</v>
      </c>
      <c r="E835" s="8" t="s">
        <v>5998</v>
      </c>
      <c r="F835" s="8" t="s">
        <v>7771</v>
      </c>
    </row>
    <row r="836" customHeight="1" spans="1:6">
      <c r="A836" s="6">
        <v>835</v>
      </c>
      <c r="B836" s="8" t="s">
        <v>7768</v>
      </c>
      <c r="C836" s="8" t="s">
        <v>7769</v>
      </c>
      <c r="D836" s="8" t="s">
        <v>7770</v>
      </c>
      <c r="E836" s="8" t="s">
        <v>5998</v>
      </c>
      <c r="F836" s="8" t="s">
        <v>7771</v>
      </c>
    </row>
    <row r="837" customHeight="1" spans="1:6">
      <c r="A837" s="6">
        <v>836</v>
      </c>
      <c r="B837" s="8" t="s">
        <v>7772</v>
      </c>
      <c r="C837" s="8" t="s">
        <v>7773</v>
      </c>
      <c r="D837" s="8" t="s">
        <v>7774</v>
      </c>
      <c r="E837" s="8" t="s">
        <v>1189</v>
      </c>
      <c r="F837" s="8" t="s">
        <v>7775</v>
      </c>
    </row>
    <row r="838" customHeight="1" spans="1:6">
      <c r="A838" s="6">
        <v>837</v>
      </c>
      <c r="B838" s="8" t="s">
        <v>7772</v>
      </c>
      <c r="C838" s="8" t="s">
        <v>7773</v>
      </c>
      <c r="D838" s="8" t="s">
        <v>7774</v>
      </c>
      <c r="E838" s="8" t="s">
        <v>1189</v>
      </c>
      <c r="F838" s="8" t="s">
        <v>7775</v>
      </c>
    </row>
    <row r="839" customHeight="1" spans="1:6">
      <c r="A839" s="6">
        <v>838</v>
      </c>
      <c r="B839" s="8" t="s">
        <v>7776</v>
      </c>
      <c r="C839" s="8" t="s">
        <v>7777</v>
      </c>
      <c r="D839" s="8" t="s">
        <v>7778</v>
      </c>
      <c r="E839" s="8" t="s">
        <v>1189</v>
      </c>
      <c r="F839" s="8" t="s">
        <v>7779</v>
      </c>
    </row>
    <row r="840" customHeight="1" spans="1:6">
      <c r="A840" s="6">
        <v>839</v>
      </c>
      <c r="B840" s="8" t="s">
        <v>7776</v>
      </c>
      <c r="C840" s="8" t="s">
        <v>7777</v>
      </c>
      <c r="D840" s="8" t="s">
        <v>7778</v>
      </c>
      <c r="E840" s="8" t="s">
        <v>1189</v>
      </c>
      <c r="F840" s="8" t="s">
        <v>7779</v>
      </c>
    </row>
    <row r="841" customHeight="1" spans="1:6">
      <c r="A841" s="6">
        <v>840</v>
      </c>
      <c r="B841" s="8" t="s">
        <v>7780</v>
      </c>
      <c r="C841" s="8" t="s">
        <v>7781</v>
      </c>
      <c r="D841" s="8" t="s">
        <v>7782</v>
      </c>
      <c r="E841" s="8" t="s">
        <v>216</v>
      </c>
      <c r="F841" s="8" t="s">
        <v>7783</v>
      </c>
    </row>
    <row r="842" customHeight="1" spans="1:6">
      <c r="A842" s="6">
        <v>841</v>
      </c>
      <c r="B842" s="8" t="s">
        <v>7780</v>
      </c>
      <c r="C842" s="8" t="s">
        <v>7781</v>
      </c>
      <c r="D842" s="8" t="s">
        <v>7782</v>
      </c>
      <c r="E842" s="8" t="s">
        <v>216</v>
      </c>
      <c r="F842" s="8" t="s">
        <v>7783</v>
      </c>
    </row>
    <row r="843" customHeight="1" spans="1:6">
      <c r="A843" s="6">
        <v>842</v>
      </c>
      <c r="B843" s="8" t="s">
        <v>7784</v>
      </c>
      <c r="C843" s="8" t="s">
        <v>7785</v>
      </c>
      <c r="D843" s="8" t="s">
        <v>7786</v>
      </c>
      <c r="E843" s="8" t="s">
        <v>216</v>
      </c>
      <c r="F843" s="8" t="s">
        <v>7787</v>
      </c>
    </row>
    <row r="844" customHeight="1" spans="1:6">
      <c r="A844" s="6">
        <v>843</v>
      </c>
      <c r="B844" s="8" t="s">
        <v>7784</v>
      </c>
      <c r="C844" s="8" t="s">
        <v>7785</v>
      </c>
      <c r="D844" s="8" t="s">
        <v>7786</v>
      </c>
      <c r="E844" s="8" t="s">
        <v>216</v>
      </c>
      <c r="F844" s="8" t="s">
        <v>7787</v>
      </c>
    </row>
    <row r="845" customHeight="1" spans="1:6">
      <c r="A845" s="6">
        <v>844</v>
      </c>
      <c r="B845" s="8" t="s">
        <v>7788</v>
      </c>
      <c r="C845" s="8" t="s">
        <v>7789</v>
      </c>
      <c r="D845" s="8" t="s">
        <v>7790</v>
      </c>
      <c r="E845" s="8" t="s">
        <v>1189</v>
      </c>
      <c r="F845" s="8" t="s">
        <v>7791</v>
      </c>
    </row>
    <row r="846" customHeight="1" spans="1:6">
      <c r="A846" s="6">
        <v>845</v>
      </c>
      <c r="B846" s="8" t="s">
        <v>7788</v>
      </c>
      <c r="C846" s="8" t="s">
        <v>7789</v>
      </c>
      <c r="D846" s="8" t="s">
        <v>7790</v>
      </c>
      <c r="E846" s="8" t="s">
        <v>1189</v>
      </c>
      <c r="F846" s="8" t="s">
        <v>7791</v>
      </c>
    </row>
    <row r="847" customHeight="1" spans="1:6">
      <c r="A847" s="6">
        <v>846</v>
      </c>
      <c r="B847" s="8" t="s">
        <v>7792</v>
      </c>
      <c r="C847" s="8" t="s">
        <v>7793</v>
      </c>
      <c r="D847" s="8" t="s">
        <v>7794</v>
      </c>
      <c r="E847" s="8" t="s">
        <v>1189</v>
      </c>
      <c r="F847" s="8" t="s">
        <v>7795</v>
      </c>
    </row>
    <row r="848" customHeight="1" spans="1:6">
      <c r="A848" s="6">
        <v>847</v>
      </c>
      <c r="B848" s="8" t="s">
        <v>7792</v>
      </c>
      <c r="C848" s="8" t="s">
        <v>7793</v>
      </c>
      <c r="D848" s="8" t="s">
        <v>7794</v>
      </c>
      <c r="E848" s="8" t="s">
        <v>1189</v>
      </c>
      <c r="F848" s="8" t="s">
        <v>7795</v>
      </c>
    </row>
    <row r="849" customHeight="1" spans="1:6">
      <c r="A849" s="6">
        <v>848</v>
      </c>
      <c r="B849" s="8" t="s">
        <v>7796</v>
      </c>
      <c r="C849" s="8" t="s">
        <v>7797</v>
      </c>
      <c r="D849" s="8" t="s">
        <v>7798</v>
      </c>
      <c r="E849" s="8" t="s">
        <v>216</v>
      </c>
      <c r="F849" s="8" t="s">
        <v>7799</v>
      </c>
    </row>
    <row r="850" customHeight="1" spans="1:6">
      <c r="A850" s="6">
        <v>849</v>
      </c>
      <c r="B850" s="8" t="s">
        <v>7796</v>
      </c>
      <c r="C850" s="8" t="s">
        <v>7797</v>
      </c>
      <c r="D850" s="8" t="s">
        <v>7798</v>
      </c>
      <c r="E850" s="8" t="s">
        <v>216</v>
      </c>
      <c r="F850" s="8" t="s">
        <v>7799</v>
      </c>
    </row>
    <row r="851" customHeight="1" spans="1:6">
      <c r="A851" s="6">
        <v>850</v>
      </c>
      <c r="B851" s="8" t="s">
        <v>7800</v>
      </c>
      <c r="C851" s="8" t="s">
        <v>7801</v>
      </c>
      <c r="D851" s="8" t="s">
        <v>7802</v>
      </c>
      <c r="E851" s="8" t="s">
        <v>216</v>
      </c>
      <c r="F851" s="8" t="s">
        <v>7803</v>
      </c>
    </row>
    <row r="852" customHeight="1" spans="1:6">
      <c r="A852" s="6">
        <v>851</v>
      </c>
      <c r="B852" s="8" t="s">
        <v>7800</v>
      </c>
      <c r="C852" s="8" t="s">
        <v>7801</v>
      </c>
      <c r="D852" s="8" t="s">
        <v>7802</v>
      </c>
      <c r="E852" s="8" t="s">
        <v>216</v>
      </c>
      <c r="F852" s="8" t="s">
        <v>7803</v>
      </c>
    </row>
    <row r="853" customHeight="1" spans="1:6">
      <c r="A853" s="6">
        <v>852</v>
      </c>
      <c r="B853" s="8" t="s">
        <v>7804</v>
      </c>
      <c r="C853" s="8" t="s">
        <v>7805</v>
      </c>
      <c r="D853" s="8" t="s">
        <v>7806</v>
      </c>
      <c r="E853" s="8" t="s">
        <v>375</v>
      </c>
      <c r="F853" s="8" t="s">
        <v>7807</v>
      </c>
    </row>
    <row r="854" customHeight="1" spans="1:6">
      <c r="A854" s="6">
        <v>853</v>
      </c>
      <c r="B854" s="8" t="s">
        <v>7804</v>
      </c>
      <c r="C854" s="8" t="s">
        <v>7805</v>
      </c>
      <c r="D854" s="8" t="s">
        <v>7806</v>
      </c>
      <c r="E854" s="8" t="s">
        <v>375</v>
      </c>
      <c r="F854" s="8" t="s">
        <v>7807</v>
      </c>
    </row>
    <row r="855" customHeight="1" spans="1:6">
      <c r="A855" s="6">
        <v>854</v>
      </c>
      <c r="B855" s="8" t="s">
        <v>7808</v>
      </c>
      <c r="C855" s="8" t="s">
        <v>7809</v>
      </c>
      <c r="D855" s="8" t="s">
        <v>7810</v>
      </c>
      <c r="E855" s="8" t="s">
        <v>239</v>
      </c>
      <c r="F855" s="8" t="s">
        <v>7811</v>
      </c>
    </row>
    <row r="856" customHeight="1" spans="1:6">
      <c r="A856" s="6">
        <v>855</v>
      </c>
      <c r="B856" s="8" t="s">
        <v>7808</v>
      </c>
      <c r="C856" s="8" t="s">
        <v>7809</v>
      </c>
      <c r="D856" s="8" t="s">
        <v>7810</v>
      </c>
      <c r="E856" s="8" t="s">
        <v>239</v>
      </c>
      <c r="F856" s="8" t="s">
        <v>7811</v>
      </c>
    </row>
    <row r="857" customHeight="1" spans="1:6">
      <c r="A857" s="6">
        <v>856</v>
      </c>
      <c r="B857" s="8" t="s">
        <v>7812</v>
      </c>
      <c r="C857" s="8" t="s">
        <v>7813</v>
      </c>
      <c r="D857" s="8" t="s">
        <v>7814</v>
      </c>
      <c r="E857" s="8" t="s">
        <v>216</v>
      </c>
      <c r="F857" s="8" t="s">
        <v>7815</v>
      </c>
    </row>
    <row r="858" customHeight="1" spans="1:6">
      <c r="A858" s="6">
        <v>857</v>
      </c>
      <c r="B858" s="8" t="s">
        <v>7812</v>
      </c>
      <c r="C858" s="8" t="s">
        <v>7813</v>
      </c>
      <c r="D858" s="8" t="s">
        <v>7814</v>
      </c>
      <c r="E858" s="8" t="s">
        <v>216</v>
      </c>
      <c r="F858" s="8" t="s">
        <v>7815</v>
      </c>
    </row>
    <row r="859" customHeight="1" spans="1:6">
      <c r="A859" s="6">
        <v>858</v>
      </c>
      <c r="B859" s="8" t="s">
        <v>7816</v>
      </c>
      <c r="C859" s="8" t="s">
        <v>7817</v>
      </c>
      <c r="D859" s="8" t="s">
        <v>7818</v>
      </c>
      <c r="E859" s="8" t="s">
        <v>1189</v>
      </c>
      <c r="F859" s="8" t="s">
        <v>7819</v>
      </c>
    </row>
    <row r="860" customHeight="1" spans="1:6">
      <c r="A860" s="6">
        <v>859</v>
      </c>
      <c r="B860" s="8" t="s">
        <v>7816</v>
      </c>
      <c r="C860" s="8" t="s">
        <v>7817</v>
      </c>
      <c r="D860" s="8" t="s">
        <v>7818</v>
      </c>
      <c r="E860" s="8" t="s">
        <v>1189</v>
      </c>
      <c r="F860" s="8" t="s">
        <v>7819</v>
      </c>
    </row>
    <row r="861" customHeight="1" spans="1:6">
      <c r="A861" s="6">
        <v>860</v>
      </c>
      <c r="B861" s="8" t="s">
        <v>7820</v>
      </c>
      <c r="C861" s="8" t="s">
        <v>7821</v>
      </c>
      <c r="D861" s="8" t="s">
        <v>7822</v>
      </c>
      <c r="E861" s="8" t="s">
        <v>216</v>
      </c>
      <c r="F861" s="8" t="s">
        <v>7823</v>
      </c>
    </row>
    <row r="862" customHeight="1" spans="1:6">
      <c r="A862" s="6">
        <v>861</v>
      </c>
      <c r="B862" s="8" t="s">
        <v>7820</v>
      </c>
      <c r="C862" s="8" t="s">
        <v>7821</v>
      </c>
      <c r="D862" s="8" t="s">
        <v>7822</v>
      </c>
      <c r="E862" s="8" t="s">
        <v>216</v>
      </c>
      <c r="F862" s="8" t="s">
        <v>7823</v>
      </c>
    </row>
    <row r="863" customHeight="1" spans="1:6">
      <c r="A863" s="6">
        <v>862</v>
      </c>
      <c r="B863" s="8" t="s">
        <v>7824</v>
      </c>
      <c r="C863" s="8" t="s">
        <v>7825</v>
      </c>
      <c r="D863" s="8" t="s">
        <v>7826</v>
      </c>
      <c r="E863" s="8" t="s">
        <v>4533</v>
      </c>
      <c r="F863" s="8" t="s">
        <v>7827</v>
      </c>
    </row>
    <row r="864" customHeight="1" spans="1:6">
      <c r="A864" s="6">
        <v>863</v>
      </c>
      <c r="B864" s="8" t="s">
        <v>7824</v>
      </c>
      <c r="C864" s="8" t="s">
        <v>7825</v>
      </c>
      <c r="D864" s="8" t="s">
        <v>7826</v>
      </c>
      <c r="E864" s="8" t="s">
        <v>4533</v>
      </c>
      <c r="F864" s="8" t="s">
        <v>7827</v>
      </c>
    </row>
    <row r="865" customHeight="1" spans="1:6">
      <c r="A865" s="6">
        <v>864</v>
      </c>
      <c r="B865" s="8" t="s">
        <v>7828</v>
      </c>
      <c r="C865" s="8" t="s">
        <v>7829</v>
      </c>
      <c r="D865" s="8" t="s">
        <v>7830</v>
      </c>
      <c r="E865" s="8" t="s">
        <v>890</v>
      </c>
      <c r="F865" s="8" t="s">
        <v>7831</v>
      </c>
    </row>
    <row r="866" customHeight="1" spans="1:6">
      <c r="A866" s="6">
        <v>865</v>
      </c>
      <c r="B866" s="8" t="s">
        <v>7828</v>
      </c>
      <c r="C866" s="8" t="s">
        <v>7829</v>
      </c>
      <c r="D866" s="8" t="s">
        <v>7830</v>
      </c>
      <c r="E866" s="8" t="s">
        <v>890</v>
      </c>
      <c r="F866" s="8" t="s">
        <v>7831</v>
      </c>
    </row>
    <row r="867" customHeight="1" spans="1:6">
      <c r="A867" s="6">
        <v>866</v>
      </c>
      <c r="B867" s="8" t="s">
        <v>7832</v>
      </c>
      <c r="C867" s="8" t="s">
        <v>7833</v>
      </c>
      <c r="D867" s="8" t="s">
        <v>7834</v>
      </c>
      <c r="E867" s="8" t="s">
        <v>239</v>
      </c>
      <c r="F867" s="8" t="s">
        <v>7835</v>
      </c>
    </row>
    <row r="868" customHeight="1" spans="1:6">
      <c r="A868" s="6">
        <v>867</v>
      </c>
      <c r="B868" s="8" t="s">
        <v>7832</v>
      </c>
      <c r="C868" s="8" t="s">
        <v>7833</v>
      </c>
      <c r="D868" s="8" t="s">
        <v>7834</v>
      </c>
      <c r="E868" s="8" t="s">
        <v>239</v>
      </c>
      <c r="F868" s="8" t="s">
        <v>7835</v>
      </c>
    </row>
    <row r="869" customHeight="1" spans="1:6">
      <c r="A869" s="6">
        <v>868</v>
      </c>
      <c r="B869" s="8" t="s">
        <v>7836</v>
      </c>
      <c r="C869" s="8" t="s">
        <v>7837</v>
      </c>
      <c r="D869" s="8" t="s">
        <v>7838</v>
      </c>
      <c r="E869" s="8" t="s">
        <v>7839</v>
      </c>
      <c r="F869" s="8" t="s">
        <v>7840</v>
      </c>
    </row>
    <row r="870" customHeight="1" spans="1:6">
      <c r="A870" s="6">
        <v>869</v>
      </c>
      <c r="B870" s="8" t="s">
        <v>7836</v>
      </c>
      <c r="C870" s="8" t="s">
        <v>7837</v>
      </c>
      <c r="D870" s="8" t="s">
        <v>7838</v>
      </c>
      <c r="E870" s="8" t="s">
        <v>7839</v>
      </c>
      <c r="F870" s="8" t="s">
        <v>7840</v>
      </c>
    </row>
    <row r="871" customHeight="1" spans="1:6">
      <c r="A871" s="6">
        <v>870</v>
      </c>
      <c r="B871" s="8" t="s">
        <v>7841</v>
      </c>
      <c r="C871" s="8" t="s">
        <v>7842</v>
      </c>
      <c r="D871" s="8" t="s">
        <v>7843</v>
      </c>
      <c r="E871" s="8" t="s">
        <v>3996</v>
      </c>
      <c r="F871" s="8" t="s">
        <v>7844</v>
      </c>
    </row>
    <row r="872" customHeight="1" spans="1:6">
      <c r="A872" s="6">
        <v>871</v>
      </c>
      <c r="B872" s="8" t="s">
        <v>7841</v>
      </c>
      <c r="C872" s="8" t="s">
        <v>7842</v>
      </c>
      <c r="D872" s="8" t="s">
        <v>7843</v>
      </c>
      <c r="E872" s="8" t="s">
        <v>3996</v>
      </c>
      <c r="F872" s="8" t="s">
        <v>7844</v>
      </c>
    </row>
    <row r="873" customHeight="1" spans="1:6">
      <c r="A873" s="6">
        <v>872</v>
      </c>
      <c r="B873" s="8" t="s">
        <v>7845</v>
      </c>
      <c r="C873" s="8" t="s">
        <v>7846</v>
      </c>
      <c r="D873" s="8" t="s">
        <v>7847</v>
      </c>
      <c r="E873" s="8" t="s">
        <v>239</v>
      </c>
      <c r="F873" s="8" t="s">
        <v>7848</v>
      </c>
    </row>
    <row r="874" customHeight="1" spans="1:6">
      <c r="A874" s="6">
        <v>873</v>
      </c>
      <c r="B874" s="8" t="s">
        <v>7845</v>
      </c>
      <c r="C874" s="8" t="s">
        <v>7846</v>
      </c>
      <c r="D874" s="8" t="s">
        <v>7847</v>
      </c>
      <c r="E874" s="8" t="s">
        <v>239</v>
      </c>
      <c r="F874" s="8" t="s">
        <v>7848</v>
      </c>
    </row>
    <row r="875" customHeight="1" spans="1:6">
      <c r="A875" s="6">
        <v>874</v>
      </c>
      <c r="B875" s="8" t="s">
        <v>7849</v>
      </c>
      <c r="C875" s="8" t="s">
        <v>7850</v>
      </c>
      <c r="D875" s="8" t="s">
        <v>7851</v>
      </c>
      <c r="E875" s="8" t="s">
        <v>1189</v>
      </c>
      <c r="F875" s="8" t="s">
        <v>7852</v>
      </c>
    </row>
    <row r="876" customHeight="1" spans="1:6">
      <c r="A876" s="6">
        <v>875</v>
      </c>
      <c r="B876" s="8" t="s">
        <v>7849</v>
      </c>
      <c r="C876" s="8" t="s">
        <v>7850</v>
      </c>
      <c r="D876" s="8" t="s">
        <v>7851</v>
      </c>
      <c r="E876" s="8" t="s">
        <v>1189</v>
      </c>
      <c r="F876" s="8" t="s">
        <v>7852</v>
      </c>
    </row>
    <row r="877" customHeight="1" spans="1:6">
      <c r="A877" s="6">
        <v>876</v>
      </c>
      <c r="B877" s="8" t="s">
        <v>7853</v>
      </c>
      <c r="C877" s="8" t="s">
        <v>7854</v>
      </c>
      <c r="D877" s="8" t="s">
        <v>7855</v>
      </c>
      <c r="E877" s="8" t="s">
        <v>239</v>
      </c>
      <c r="F877" s="8" t="s">
        <v>7856</v>
      </c>
    </row>
    <row r="878" customHeight="1" spans="1:6">
      <c r="A878" s="6">
        <v>877</v>
      </c>
      <c r="B878" s="8" t="s">
        <v>7853</v>
      </c>
      <c r="C878" s="8" t="s">
        <v>7854</v>
      </c>
      <c r="D878" s="8" t="s">
        <v>7855</v>
      </c>
      <c r="E878" s="8" t="s">
        <v>239</v>
      </c>
      <c r="F878" s="8" t="s">
        <v>7856</v>
      </c>
    </row>
    <row r="879" customHeight="1" spans="1:6">
      <c r="A879" s="6">
        <v>878</v>
      </c>
      <c r="B879" s="8" t="s">
        <v>7857</v>
      </c>
      <c r="C879" s="8" t="s">
        <v>7858</v>
      </c>
      <c r="D879" s="8" t="s">
        <v>7859</v>
      </c>
      <c r="E879" s="8" t="s">
        <v>239</v>
      </c>
      <c r="F879" s="8" t="s">
        <v>7860</v>
      </c>
    </row>
    <row r="880" customHeight="1" spans="1:6">
      <c r="A880" s="6">
        <v>879</v>
      </c>
      <c r="B880" s="8" t="s">
        <v>7857</v>
      </c>
      <c r="C880" s="8" t="s">
        <v>7858</v>
      </c>
      <c r="D880" s="8" t="s">
        <v>7859</v>
      </c>
      <c r="E880" s="8" t="s">
        <v>239</v>
      </c>
      <c r="F880" s="8" t="s">
        <v>7860</v>
      </c>
    </row>
    <row r="881" customHeight="1" spans="1:6">
      <c r="A881" s="6">
        <v>880</v>
      </c>
      <c r="B881" s="8" t="s">
        <v>7861</v>
      </c>
      <c r="C881" s="8" t="s">
        <v>7862</v>
      </c>
      <c r="D881" s="8" t="s">
        <v>7863</v>
      </c>
      <c r="E881" s="8" t="s">
        <v>4896</v>
      </c>
      <c r="F881" s="8" t="s">
        <v>7864</v>
      </c>
    </row>
    <row r="882" customHeight="1" spans="1:6">
      <c r="A882" s="6">
        <v>881</v>
      </c>
      <c r="B882" s="8" t="s">
        <v>7861</v>
      </c>
      <c r="C882" s="8" t="s">
        <v>7862</v>
      </c>
      <c r="D882" s="8" t="s">
        <v>7863</v>
      </c>
      <c r="E882" s="8" t="s">
        <v>4896</v>
      </c>
      <c r="F882" s="8" t="s">
        <v>7864</v>
      </c>
    </row>
    <row r="883" customHeight="1" spans="1:6">
      <c r="A883" s="6">
        <v>882</v>
      </c>
      <c r="B883" s="8" t="s">
        <v>7865</v>
      </c>
      <c r="C883" s="8" t="s">
        <v>7866</v>
      </c>
      <c r="D883" s="8" t="s">
        <v>7867</v>
      </c>
      <c r="E883" s="8" t="s">
        <v>202</v>
      </c>
      <c r="F883" s="8" t="s">
        <v>7868</v>
      </c>
    </row>
    <row r="884" customHeight="1" spans="1:6">
      <c r="A884" s="6">
        <v>883</v>
      </c>
      <c r="B884" s="8" t="s">
        <v>7865</v>
      </c>
      <c r="C884" s="8" t="s">
        <v>7866</v>
      </c>
      <c r="D884" s="8" t="s">
        <v>7867</v>
      </c>
      <c r="E884" s="8" t="s">
        <v>202</v>
      </c>
      <c r="F884" s="8" t="s">
        <v>7868</v>
      </c>
    </row>
    <row r="885" customHeight="1" spans="1:6">
      <c r="A885" s="6">
        <v>884</v>
      </c>
      <c r="B885" s="8" t="s">
        <v>7869</v>
      </c>
      <c r="C885" s="8" t="s">
        <v>7870</v>
      </c>
      <c r="D885" s="8" t="s">
        <v>7871</v>
      </c>
      <c r="E885" s="8" t="s">
        <v>2267</v>
      </c>
      <c r="F885" s="8" t="s">
        <v>7872</v>
      </c>
    </row>
    <row r="886" customHeight="1" spans="1:6">
      <c r="A886" s="6">
        <v>885</v>
      </c>
      <c r="B886" s="8" t="s">
        <v>7869</v>
      </c>
      <c r="C886" s="8" t="s">
        <v>7870</v>
      </c>
      <c r="D886" s="8" t="s">
        <v>7871</v>
      </c>
      <c r="E886" s="8" t="s">
        <v>2267</v>
      </c>
      <c r="F886" s="8" t="s">
        <v>7872</v>
      </c>
    </row>
    <row r="887" customHeight="1" spans="1:6">
      <c r="A887" s="6">
        <v>886</v>
      </c>
      <c r="B887" s="8" t="s">
        <v>7873</v>
      </c>
      <c r="C887" s="8" t="s">
        <v>7874</v>
      </c>
      <c r="D887" s="8" t="s">
        <v>7875</v>
      </c>
      <c r="E887" s="8" t="s">
        <v>1189</v>
      </c>
      <c r="F887" s="8" t="s">
        <v>7876</v>
      </c>
    </row>
    <row r="888" customHeight="1" spans="1:6">
      <c r="A888" s="6">
        <v>887</v>
      </c>
      <c r="B888" s="8" t="s">
        <v>7873</v>
      </c>
      <c r="C888" s="8" t="s">
        <v>7874</v>
      </c>
      <c r="D888" s="8" t="s">
        <v>7875</v>
      </c>
      <c r="E888" s="8" t="s">
        <v>1189</v>
      </c>
      <c r="F888" s="8" t="s">
        <v>7876</v>
      </c>
    </row>
    <row r="889" customHeight="1" spans="1:6">
      <c r="A889" s="6">
        <v>888</v>
      </c>
      <c r="B889" s="8" t="s">
        <v>7877</v>
      </c>
      <c r="C889" s="8" t="s">
        <v>7878</v>
      </c>
      <c r="D889" s="8" t="s">
        <v>7879</v>
      </c>
      <c r="E889" s="8" t="s">
        <v>2566</v>
      </c>
      <c r="F889" s="8" t="s">
        <v>7880</v>
      </c>
    </row>
    <row r="890" customHeight="1" spans="1:6">
      <c r="A890" s="6">
        <v>889</v>
      </c>
      <c r="B890" s="8" t="s">
        <v>7877</v>
      </c>
      <c r="C890" s="8" t="s">
        <v>7878</v>
      </c>
      <c r="D890" s="8" t="s">
        <v>7879</v>
      </c>
      <c r="E890" s="8" t="s">
        <v>2566</v>
      </c>
      <c r="F890" s="8" t="s">
        <v>7880</v>
      </c>
    </row>
    <row r="891" customHeight="1" spans="1:6">
      <c r="A891" s="6">
        <v>890</v>
      </c>
      <c r="B891" s="8" t="s">
        <v>7881</v>
      </c>
      <c r="C891" s="8" t="s">
        <v>7882</v>
      </c>
      <c r="D891" s="8" t="s">
        <v>7883</v>
      </c>
      <c r="E891" s="8" t="s">
        <v>7884</v>
      </c>
      <c r="F891" s="8" t="s">
        <v>7885</v>
      </c>
    </row>
    <row r="892" customHeight="1" spans="1:6">
      <c r="A892" s="6">
        <v>891</v>
      </c>
      <c r="B892" s="8" t="s">
        <v>7881</v>
      </c>
      <c r="C892" s="8" t="s">
        <v>7882</v>
      </c>
      <c r="D892" s="8" t="s">
        <v>7883</v>
      </c>
      <c r="E892" s="8" t="s">
        <v>7884</v>
      </c>
      <c r="F892" s="8" t="s">
        <v>7885</v>
      </c>
    </row>
    <row r="893" customHeight="1" spans="1:6">
      <c r="A893" s="6">
        <v>892</v>
      </c>
      <c r="B893" s="8" t="s">
        <v>7886</v>
      </c>
      <c r="C893" s="8" t="s">
        <v>7887</v>
      </c>
      <c r="D893" s="8" t="s">
        <v>7888</v>
      </c>
      <c r="E893" s="8" t="s">
        <v>2267</v>
      </c>
      <c r="F893" s="8" t="s">
        <v>7889</v>
      </c>
    </row>
    <row r="894" customHeight="1" spans="1:6">
      <c r="A894" s="6">
        <v>893</v>
      </c>
      <c r="B894" s="8" t="s">
        <v>7886</v>
      </c>
      <c r="C894" s="8" t="s">
        <v>7887</v>
      </c>
      <c r="D894" s="8" t="s">
        <v>7888</v>
      </c>
      <c r="E894" s="8" t="s">
        <v>2267</v>
      </c>
      <c r="F894" s="8" t="s">
        <v>7889</v>
      </c>
    </row>
    <row r="895" customHeight="1" spans="1:6">
      <c r="A895" s="6">
        <v>894</v>
      </c>
      <c r="B895" s="8" t="s">
        <v>7890</v>
      </c>
      <c r="C895" s="8" t="s">
        <v>7891</v>
      </c>
      <c r="D895" s="8" t="s">
        <v>7892</v>
      </c>
      <c r="E895" s="8" t="s">
        <v>256</v>
      </c>
      <c r="F895" s="8" t="s">
        <v>7893</v>
      </c>
    </row>
    <row r="896" customHeight="1" spans="1:6">
      <c r="A896" s="6">
        <v>895</v>
      </c>
      <c r="B896" s="8" t="s">
        <v>7890</v>
      </c>
      <c r="C896" s="8" t="s">
        <v>7891</v>
      </c>
      <c r="D896" s="8" t="s">
        <v>7892</v>
      </c>
      <c r="E896" s="8" t="s">
        <v>256</v>
      </c>
      <c r="F896" s="8" t="s">
        <v>7893</v>
      </c>
    </row>
    <row r="897" customHeight="1" spans="1:6">
      <c r="A897" s="6">
        <v>896</v>
      </c>
      <c r="B897" s="8" t="s">
        <v>7894</v>
      </c>
      <c r="C897" s="8" t="s">
        <v>7895</v>
      </c>
      <c r="D897" s="8" t="s">
        <v>7896</v>
      </c>
      <c r="E897" s="8" t="s">
        <v>2438</v>
      </c>
      <c r="F897" s="8" t="s">
        <v>7897</v>
      </c>
    </row>
    <row r="898" customHeight="1" spans="1:6">
      <c r="A898" s="6">
        <v>897</v>
      </c>
      <c r="B898" s="8" t="s">
        <v>7894</v>
      </c>
      <c r="C898" s="8" t="s">
        <v>7895</v>
      </c>
      <c r="D898" s="8" t="s">
        <v>7896</v>
      </c>
      <c r="E898" s="8" t="s">
        <v>2438</v>
      </c>
      <c r="F898" s="8" t="s">
        <v>7897</v>
      </c>
    </row>
    <row r="899" customHeight="1" spans="1:6">
      <c r="A899" s="6">
        <v>898</v>
      </c>
      <c r="B899" s="8" t="s">
        <v>7898</v>
      </c>
      <c r="C899" s="8" t="s">
        <v>7899</v>
      </c>
      <c r="D899" s="8" t="s">
        <v>7900</v>
      </c>
      <c r="E899" s="8" t="s">
        <v>7202</v>
      </c>
      <c r="F899" s="8" t="s">
        <v>7901</v>
      </c>
    </row>
    <row r="900" customHeight="1" spans="1:6">
      <c r="A900" s="6">
        <v>899</v>
      </c>
      <c r="B900" s="8" t="s">
        <v>7898</v>
      </c>
      <c r="C900" s="8" t="s">
        <v>7899</v>
      </c>
      <c r="D900" s="8" t="s">
        <v>7900</v>
      </c>
      <c r="E900" s="8" t="s">
        <v>7202</v>
      </c>
      <c r="F900" s="8" t="s">
        <v>7901</v>
      </c>
    </row>
    <row r="901" customHeight="1" spans="1:6">
      <c r="A901" s="6">
        <v>900</v>
      </c>
      <c r="B901" s="8" t="s">
        <v>7902</v>
      </c>
      <c r="C901" s="8" t="s">
        <v>7903</v>
      </c>
      <c r="D901" s="8" t="s">
        <v>7904</v>
      </c>
      <c r="E901" s="8" t="s">
        <v>571</v>
      </c>
      <c r="F901" s="8" t="s">
        <v>7905</v>
      </c>
    </row>
    <row r="902" customHeight="1" spans="1:6">
      <c r="A902" s="6">
        <v>901</v>
      </c>
      <c r="B902" s="8" t="s">
        <v>7902</v>
      </c>
      <c r="C902" s="8" t="s">
        <v>7903</v>
      </c>
      <c r="D902" s="8" t="s">
        <v>7904</v>
      </c>
      <c r="E902" s="8" t="s">
        <v>571</v>
      </c>
      <c r="F902" s="8" t="s">
        <v>7905</v>
      </c>
    </row>
    <row r="903" customHeight="1" spans="1:6">
      <c r="A903" s="6">
        <v>902</v>
      </c>
      <c r="B903" s="8" t="s">
        <v>7906</v>
      </c>
      <c r="C903" s="8" t="s">
        <v>7907</v>
      </c>
      <c r="D903" s="8" t="s">
        <v>7908</v>
      </c>
      <c r="E903" s="8" t="s">
        <v>571</v>
      </c>
      <c r="F903" s="8" t="s">
        <v>7909</v>
      </c>
    </row>
    <row r="904" customHeight="1" spans="1:6">
      <c r="A904" s="6">
        <v>903</v>
      </c>
      <c r="B904" s="8" t="s">
        <v>7906</v>
      </c>
      <c r="C904" s="8" t="s">
        <v>7907</v>
      </c>
      <c r="D904" s="8" t="s">
        <v>7908</v>
      </c>
      <c r="E904" s="8" t="s">
        <v>571</v>
      </c>
      <c r="F904" s="8" t="s">
        <v>7909</v>
      </c>
    </row>
    <row r="905" customHeight="1" spans="1:6">
      <c r="A905" s="6">
        <v>904</v>
      </c>
      <c r="B905" s="8" t="s">
        <v>7910</v>
      </c>
      <c r="C905" s="8" t="s">
        <v>7911</v>
      </c>
      <c r="D905" s="8" t="s">
        <v>7912</v>
      </c>
      <c r="E905" s="8" t="s">
        <v>239</v>
      </c>
      <c r="F905" s="8" t="s">
        <v>7913</v>
      </c>
    </row>
    <row r="906" customHeight="1" spans="1:6">
      <c r="A906" s="6">
        <v>905</v>
      </c>
      <c r="B906" s="8" t="s">
        <v>7910</v>
      </c>
      <c r="C906" s="8" t="s">
        <v>7911</v>
      </c>
      <c r="D906" s="8" t="s">
        <v>7912</v>
      </c>
      <c r="E906" s="8" t="s">
        <v>239</v>
      </c>
      <c r="F906" s="8" t="s">
        <v>7913</v>
      </c>
    </row>
    <row r="907" customHeight="1" spans="1:6">
      <c r="A907" s="6">
        <v>906</v>
      </c>
      <c r="B907" s="8" t="s">
        <v>7914</v>
      </c>
      <c r="C907" s="8" t="s">
        <v>7915</v>
      </c>
      <c r="D907" s="8" t="s">
        <v>7916</v>
      </c>
      <c r="E907" s="8" t="s">
        <v>1342</v>
      </c>
      <c r="F907" s="8" t="s">
        <v>7917</v>
      </c>
    </row>
    <row r="908" customHeight="1" spans="1:6">
      <c r="A908" s="6">
        <v>907</v>
      </c>
      <c r="B908" s="8" t="s">
        <v>7914</v>
      </c>
      <c r="C908" s="8" t="s">
        <v>7915</v>
      </c>
      <c r="D908" s="8" t="s">
        <v>7916</v>
      </c>
      <c r="E908" s="8" t="s">
        <v>1342</v>
      </c>
      <c r="F908" s="8" t="s">
        <v>7917</v>
      </c>
    </row>
    <row r="909" customHeight="1" spans="1:6">
      <c r="A909" s="6">
        <v>908</v>
      </c>
      <c r="B909" s="8" t="s">
        <v>7918</v>
      </c>
      <c r="C909" s="8" t="s">
        <v>7919</v>
      </c>
      <c r="D909" s="8" t="s">
        <v>7920</v>
      </c>
      <c r="E909" s="8" t="s">
        <v>1189</v>
      </c>
      <c r="F909" s="8" t="s">
        <v>7921</v>
      </c>
    </row>
    <row r="910" customHeight="1" spans="1:6">
      <c r="A910" s="6">
        <v>909</v>
      </c>
      <c r="B910" s="8" t="s">
        <v>7918</v>
      </c>
      <c r="C910" s="8" t="s">
        <v>7919</v>
      </c>
      <c r="D910" s="8" t="s">
        <v>7920</v>
      </c>
      <c r="E910" s="8" t="s">
        <v>1189</v>
      </c>
      <c r="F910" s="8" t="s">
        <v>7921</v>
      </c>
    </row>
    <row r="911" customHeight="1" spans="1:6">
      <c r="A911" s="6">
        <v>910</v>
      </c>
      <c r="B911" s="8" t="s">
        <v>7922</v>
      </c>
      <c r="C911" s="8" t="s">
        <v>7923</v>
      </c>
      <c r="D911" s="8" t="s">
        <v>7924</v>
      </c>
      <c r="E911" s="8" t="s">
        <v>2267</v>
      </c>
      <c r="F911" s="8" t="s">
        <v>7925</v>
      </c>
    </row>
    <row r="912" customHeight="1" spans="1:6">
      <c r="A912" s="6">
        <v>911</v>
      </c>
      <c r="B912" s="8" t="s">
        <v>7922</v>
      </c>
      <c r="C912" s="8" t="s">
        <v>7923</v>
      </c>
      <c r="D912" s="8" t="s">
        <v>7924</v>
      </c>
      <c r="E912" s="8" t="s">
        <v>2267</v>
      </c>
      <c r="F912" s="8" t="s">
        <v>7925</v>
      </c>
    </row>
    <row r="913" customHeight="1" spans="1:6">
      <c r="A913" s="6">
        <v>912</v>
      </c>
      <c r="B913" s="8" t="s">
        <v>7926</v>
      </c>
      <c r="C913" s="8" t="s">
        <v>7927</v>
      </c>
      <c r="D913" s="8" t="s">
        <v>7928</v>
      </c>
      <c r="E913" s="8" t="s">
        <v>239</v>
      </c>
      <c r="F913" s="8" t="s">
        <v>7929</v>
      </c>
    </row>
    <row r="914" customHeight="1" spans="1:6">
      <c r="A914" s="6">
        <v>913</v>
      </c>
      <c r="B914" s="8" t="s">
        <v>7926</v>
      </c>
      <c r="C914" s="8" t="s">
        <v>7927</v>
      </c>
      <c r="D914" s="8" t="s">
        <v>7928</v>
      </c>
      <c r="E914" s="8" t="s">
        <v>239</v>
      </c>
      <c r="F914" s="8" t="s">
        <v>7929</v>
      </c>
    </row>
    <row r="915" customHeight="1" spans="1:6">
      <c r="A915" s="6">
        <v>914</v>
      </c>
      <c r="B915" s="8" t="s">
        <v>7930</v>
      </c>
      <c r="C915" s="8" t="s">
        <v>7931</v>
      </c>
      <c r="D915" s="8" t="s">
        <v>7932</v>
      </c>
      <c r="E915" s="8" t="s">
        <v>1189</v>
      </c>
      <c r="F915" s="8" t="s">
        <v>7933</v>
      </c>
    </row>
    <row r="916" customHeight="1" spans="1:6">
      <c r="A916" s="6">
        <v>915</v>
      </c>
      <c r="B916" s="8" t="s">
        <v>7930</v>
      </c>
      <c r="C916" s="8" t="s">
        <v>7931</v>
      </c>
      <c r="D916" s="8" t="s">
        <v>7932</v>
      </c>
      <c r="E916" s="8" t="s">
        <v>1189</v>
      </c>
      <c r="F916" s="8" t="s">
        <v>7933</v>
      </c>
    </row>
    <row r="917" customHeight="1" spans="1:6">
      <c r="A917" s="6">
        <v>916</v>
      </c>
      <c r="B917" s="8" t="s">
        <v>7934</v>
      </c>
      <c r="C917" s="8" t="s">
        <v>7935</v>
      </c>
      <c r="D917" s="8" t="s">
        <v>7936</v>
      </c>
      <c r="E917" s="8" t="s">
        <v>1189</v>
      </c>
      <c r="F917" s="8" t="s">
        <v>7937</v>
      </c>
    </row>
    <row r="918" customHeight="1" spans="1:6">
      <c r="A918" s="6">
        <v>917</v>
      </c>
      <c r="B918" s="8" t="s">
        <v>7934</v>
      </c>
      <c r="C918" s="8" t="s">
        <v>7935</v>
      </c>
      <c r="D918" s="8" t="s">
        <v>7936</v>
      </c>
      <c r="E918" s="8" t="s">
        <v>1189</v>
      </c>
      <c r="F918" s="8" t="s">
        <v>7937</v>
      </c>
    </row>
    <row r="919" customHeight="1" spans="1:6">
      <c r="A919" s="6">
        <v>918</v>
      </c>
      <c r="B919" s="8" t="s">
        <v>7938</v>
      </c>
      <c r="C919" s="8" t="s">
        <v>7939</v>
      </c>
      <c r="D919" s="8" t="s">
        <v>7904</v>
      </c>
      <c r="E919" s="8" t="s">
        <v>571</v>
      </c>
      <c r="F919" s="8" t="s">
        <v>7940</v>
      </c>
    </row>
    <row r="920" customHeight="1" spans="1:6">
      <c r="A920" s="6">
        <v>919</v>
      </c>
      <c r="B920" s="8" t="s">
        <v>7938</v>
      </c>
      <c r="C920" s="8" t="s">
        <v>7939</v>
      </c>
      <c r="D920" s="8" t="s">
        <v>7904</v>
      </c>
      <c r="E920" s="8" t="s">
        <v>571</v>
      </c>
      <c r="F920" s="8" t="s">
        <v>7940</v>
      </c>
    </row>
    <row r="921" customHeight="1" spans="1:6">
      <c r="A921" s="6">
        <v>920</v>
      </c>
      <c r="B921" s="8" t="s">
        <v>7941</v>
      </c>
      <c r="C921" s="8" t="s">
        <v>7942</v>
      </c>
      <c r="D921" s="8" t="s">
        <v>7943</v>
      </c>
      <c r="E921" s="8" t="s">
        <v>13</v>
      </c>
      <c r="F921" s="8" t="s">
        <v>7944</v>
      </c>
    </row>
    <row r="922" customHeight="1" spans="1:6">
      <c r="A922" s="6">
        <v>921</v>
      </c>
      <c r="B922" s="8" t="s">
        <v>7941</v>
      </c>
      <c r="C922" s="8" t="s">
        <v>7942</v>
      </c>
      <c r="D922" s="8" t="s">
        <v>7943</v>
      </c>
      <c r="E922" s="8" t="s">
        <v>13</v>
      </c>
      <c r="F922" s="8" t="s">
        <v>7944</v>
      </c>
    </row>
    <row r="923" customHeight="1" spans="1:6">
      <c r="A923" s="6">
        <v>922</v>
      </c>
      <c r="B923" s="8" t="s">
        <v>7945</v>
      </c>
      <c r="C923" s="8" t="s">
        <v>7946</v>
      </c>
      <c r="D923" s="8" t="s">
        <v>7947</v>
      </c>
      <c r="E923" s="8" t="s">
        <v>239</v>
      </c>
      <c r="F923" s="8" t="s">
        <v>7948</v>
      </c>
    </row>
    <row r="924" customHeight="1" spans="1:6">
      <c r="A924" s="6">
        <v>923</v>
      </c>
      <c r="B924" s="8" t="s">
        <v>7945</v>
      </c>
      <c r="C924" s="8" t="s">
        <v>7946</v>
      </c>
      <c r="D924" s="8" t="s">
        <v>7947</v>
      </c>
      <c r="E924" s="8" t="s">
        <v>239</v>
      </c>
      <c r="F924" s="8" t="s">
        <v>7948</v>
      </c>
    </row>
    <row r="925" customHeight="1" spans="1:6">
      <c r="A925" s="6">
        <v>924</v>
      </c>
      <c r="B925" s="8" t="s">
        <v>7949</v>
      </c>
      <c r="C925" s="8" t="s">
        <v>7950</v>
      </c>
      <c r="D925" s="8" t="s">
        <v>7794</v>
      </c>
      <c r="E925" s="8" t="s">
        <v>28</v>
      </c>
      <c r="F925" s="8" t="s">
        <v>7951</v>
      </c>
    </row>
    <row r="926" customHeight="1" spans="1:6">
      <c r="A926" s="6">
        <v>925</v>
      </c>
      <c r="B926" s="8" t="s">
        <v>7949</v>
      </c>
      <c r="C926" s="8" t="s">
        <v>7950</v>
      </c>
      <c r="D926" s="8" t="s">
        <v>7794</v>
      </c>
      <c r="E926" s="8" t="s">
        <v>28</v>
      </c>
      <c r="F926" s="8" t="s">
        <v>7951</v>
      </c>
    </row>
    <row r="927" customHeight="1" spans="1:6">
      <c r="A927" s="6">
        <v>926</v>
      </c>
      <c r="B927" s="8" t="s">
        <v>7952</v>
      </c>
      <c r="C927" s="8" t="s">
        <v>7953</v>
      </c>
      <c r="D927" s="8" t="s">
        <v>7954</v>
      </c>
      <c r="E927" s="8" t="s">
        <v>48</v>
      </c>
      <c r="F927" s="8" t="s">
        <v>7955</v>
      </c>
    </row>
    <row r="928" customHeight="1" spans="1:6">
      <c r="A928" s="6">
        <v>927</v>
      </c>
      <c r="B928" s="8" t="s">
        <v>7952</v>
      </c>
      <c r="C928" s="8" t="s">
        <v>7953</v>
      </c>
      <c r="D928" s="8" t="s">
        <v>7954</v>
      </c>
      <c r="E928" s="8" t="s">
        <v>48</v>
      </c>
      <c r="F928" s="8" t="s">
        <v>7955</v>
      </c>
    </row>
    <row r="929" customHeight="1" spans="1:6">
      <c r="A929" s="6">
        <v>928</v>
      </c>
      <c r="B929" s="8" t="s">
        <v>7956</v>
      </c>
      <c r="C929" s="8" t="s">
        <v>7957</v>
      </c>
      <c r="D929" s="8" t="s">
        <v>7958</v>
      </c>
      <c r="E929" s="8" t="s">
        <v>7959</v>
      </c>
      <c r="F929" s="8" t="s">
        <v>7960</v>
      </c>
    </row>
    <row r="930" customHeight="1" spans="1:6">
      <c r="A930" s="6">
        <v>929</v>
      </c>
      <c r="B930" s="8" t="s">
        <v>7956</v>
      </c>
      <c r="C930" s="8" t="s">
        <v>7957</v>
      </c>
      <c r="D930" s="8" t="s">
        <v>7958</v>
      </c>
      <c r="E930" s="8" t="s">
        <v>7959</v>
      </c>
      <c r="F930" s="8" t="s">
        <v>7960</v>
      </c>
    </row>
    <row r="931" customHeight="1" spans="1:6">
      <c r="A931" s="6">
        <v>930</v>
      </c>
      <c r="B931" s="8" t="s">
        <v>7961</v>
      </c>
      <c r="C931" s="8" t="s">
        <v>7962</v>
      </c>
      <c r="D931" s="8" t="s">
        <v>7904</v>
      </c>
      <c r="E931" s="8" t="s">
        <v>571</v>
      </c>
      <c r="F931" s="8" t="s">
        <v>7963</v>
      </c>
    </row>
    <row r="932" customHeight="1" spans="1:6">
      <c r="A932" s="6">
        <v>931</v>
      </c>
      <c r="B932" s="8" t="s">
        <v>7961</v>
      </c>
      <c r="C932" s="8" t="s">
        <v>7962</v>
      </c>
      <c r="D932" s="8" t="s">
        <v>7904</v>
      </c>
      <c r="E932" s="8" t="s">
        <v>571</v>
      </c>
      <c r="F932" s="8" t="s">
        <v>7963</v>
      </c>
    </row>
    <row r="933" customHeight="1" spans="1:6">
      <c r="A933" s="6">
        <v>932</v>
      </c>
      <c r="B933" s="8" t="s">
        <v>7964</v>
      </c>
      <c r="C933" s="8" t="s">
        <v>7965</v>
      </c>
      <c r="D933" s="8" t="s">
        <v>7966</v>
      </c>
      <c r="E933" s="8" t="s">
        <v>1189</v>
      </c>
      <c r="F933" s="8" t="s">
        <v>7967</v>
      </c>
    </row>
    <row r="934" customHeight="1" spans="1:6">
      <c r="A934" s="6">
        <v>933</v>
      </c>
      <c r="B934" s="8" t="s">
        <v>7964</v>
      </c>
      <c r="C934" s="8" t="s">
        <v>7965</v>
      </c>
      <c r="D934" s="8" t="s">
        <v>7966</v>
      </c>
      <c r="E934" s="8" t="s">
        <v>1189</v>
      </c>
      <c r="F934" s="8" t="s">
        <v>7967</v>
      </c>
    </row>
    <row r="935" customHeight="1" spans="1:6">
      <c r="A935" s="6">
        <v>934</v>
      </c>
      <c r="B935" s="8" t="s">
        <v>7968</v>
      </c>
      <c r="C935" s="8" t="s">
        <v>7969</v>
      </c>
      <c r="D935" s="8" t="s">
        <v>7970</v>
      </c>
      <c r="E935" s="8" t="s">
        <v>1189</v>
      </c>
      <c r="F935" s="8" t="s">
        <v>7971</v>
      </c>
    </row>
    <row r="936" customHeight="1" spans="1:6">
      <c r="A936" s="6">
        <v>935</v>
      </c>
      <c r="B936" s="8" t="s">
        <v>7968</v>
      </c>
      <c r="C936" s="8" t="s">
        <v>7969</v>
      </c>
      <c r="D936" s="8" t="s">
        <v>7970</v>
      </c>
      <c r="E936" s="8" t="s">
        <v>1189</v>
      </c>
      <c r="F936" s="8" t="s">
        <v>7971</v>
      </c>
    </row>
    <row r="937" customHeight="1" spans="1:6">
      <c r="A937" s="6">
        <v>936</v>
      </c>
      <c r="B937" s="8" t="s">
        <v>7972</v>
      </c>
      <c r="C937" s="8" t="s">
        <v>7973</v>
      </c>
      <c r="D937" s="8" t="s">
        <v>7974</v>
      </c>
      <c r="E937" s="8" t="s">
        <v>1189</v>
      </c>
      <c r="F937" s="8" t="s">
        <v>7975</v>
      </c>
    </row>
    <row r="938" customHeight="1" spans="1:6">
      <c r="A938" s="6">
        <v>937</v>
      </c>
      <c r="B938" s="8" t="s">
        <v>7972</v>
      </c>
      <c r="C938" s="8" t="s">
        <v>7973</v>
      </c>
      <c r="D938" s="8" t="s">
        <v>7974</v>
      </c>
      <c r="E938" s="8" t="s">
        <v>1189</v>
      </c>
      <c r="F938" s="8" t="s">
        <v>7975</v>
      </c>
    </row>
    <row r="939" customHeight="1" spans="1:6">
      <c r="A939" s="6">
        <v>938</v>
      </c>
      <c r="B939" s="8" t="s">
        <v>7976</v>
      </c>
      <c r="C939" s="8" t="s">
        <v>7977</v>
      </c>
      <c r="D939" s="8" t="s">
        <v>7978</v>
      </c>
      <c r="E939" s="8" t="s">
        <v>2267</v>
      </c>
      <c r="F939" s="8" t="s">
        <v>7979</v>
      </c>
    </row>
    <row r="940" customHeight="1" spans="1:6">
      <c r="A940" s="6">
        <v>939</v>
      </c>
      <c r="B940" s="8" t="s">
        <v>7976</v>
      </c>
      <c r="C940" s="8" t="s">
        <v>7977</v>
      </c>
      <c r="D940" s="8" t="s">
        <v>7978</v>
      </c>
      <c r="E940" s="8" t="s">
        <v>2267</v>
      </c>
      <c r="F940" s="8" t="s">
        <v>7979</v>
      </c>
    </row>
    <row r="941" customHeight="1" spans="1:6">
      <c r="A941" s="6">
        <v>940</v>
      </c>
      <c r="B941" s="8" t="s">
        <v>7980</v>
      </c>
      <c r="C941" s="8" t="s">
        <v>7981</v>
      </c>
      <c r="D941" s="8" t="s">
        <v>7982</v>
      </c>
      <c r="E941" s="8" t="s">
        <v>2438</v>
      </c>
      <c r="F941" s="8" t="s">
        <v>7983</v>
      </c>
    </row>
    <row r="942" customHeight="1" spans="1:6">
      <c r="A942" s="6">
        <v>941</v>
      </c>
      <c r="B942" s="8" t="s">
        <v>7980</v>
      </c>
      <c r="C942" s="8" t="s">
        <v>7981</v>
      </c>
      <c r="D942" s="8" t="s">
        <v>7982</v>
      </c>
      <c r="E942" s="8" t="s">
        <v>2438</v>
      </c>
      <c r="F942" s="8" t="s">
        <v>7983</v>
      </c>
    </row>
    <row r="943" customHeight="1" spans="1:6">
      <c r="A943" s="6">
        <v>942</v>
      </c>
      <c r="B943" s="8" t="s">
        <v>7984</v>
      </c>
      <c r="C943" s="8" t="s">
        <v>7985</v>
      </c>
      <c r="D943" s="8" t="s">
        <v>7986</v>
      </c>
      <c r="E943" s="8" t="s">
        <v>239</v>
      </c>
      <c r="F943" s="8" t="s">
        <v>7987</v>
      </c>
    </row>
    <row r="944" customHeight="1" spans="1:6">
      <c r="A944" s="6">
        <v>943</v>
      </c>
      <c r="B944" s="8" t="s">
        <v>7984</v>
      </c>
      <c r="C944" s="8" t="s">
        <v>7985</v>
      </c>
      <c r="D944" s="8" t="s">
        <v>7986</v>
      </c>
      <c r="E944" s="8" t="s">
        <v>239</v>
      </c>
      <c r="F944" s="8" t="s">
        <v>7987</v>
      </c>
    </row>
    <row r="945" customHeight="1" spans="1:6">
      <c r="A945" s="6">
        <v>944</v>
      </c>
      <c r="B945" s="8" t="s">
        <v>7988</v>
      </c>
      <c r="C945" s="8" t="s">
        <v>7989</v>
      </c>
      <c r="D945" s="8" t="s">
        <v>7990</v>
      </c>
      <c r="E945" s="8" t="s">
        <v>675</v>
      </c>
      <c r="F945" s="8" t="s">
        <v>7991</v>
      </c>
    </row>
    <row r="946" customHeight="1" spans="1:6">
      <c r="A946" s="6">
        <v>945</v>
      </c>
      <c r="B946" s="8" t="s">
        <v>7988</v>
      </c>
      <c r="C946" s="8" t="s">
        <v>7989</v>
      </c>
      <c r="D946" s="8" t="s">
        <v>7990</v>
      </c>
      <c r="E946" s="8" t="s">
        <v>675</v>
      </c>
      <c r="F946" s="8" t="s">
        <v>7991</v>
      </c>
    </row>
    <row r="947" customHeight="1" spans="1:6">
      <c r="A947" s="6">
        <v>946</v>
      </c>
      <c r="B947" s="8" t="s">
        <v>7992</v>
      </c>
      <c r="C947" s="8" t="s">
        <v>7993</v>
      </c>
      <c r="D947" s="8" t="s">
        <v>7904</v>
      </c>
      <c r="E947" s="8" t="s">
        <v>571</v>
      </c>
      <c r="F947" s="8" t="s">
        <v>7994</v>
      </c>
    </row>
    <row r="948" customHeight="1" spans="1:6">
      <c r="A948" s="6">
        <v>947</v>
      </c>
      <c r="B948" s="8" t="s">
        <v>7992</v>
      </c>
      <c r="C948" s="8" t="s">
        <v>7993</v>
      </c>
      <c r="D948" s="8" t="s">
        <v>7904</v>
      </c>
      <c r="E948" s="8" t="s">
        <v>571</v>
      </c>
      <c r="F948" s="8" t="s">
        <v>7994</v>
      </c>
    </row>
    <row r="949" customHeight="1" spans="1:6">
      <c r="A949" s="6">
        <v>948</v>
      </c>
      <c r="B949" s="8" t="s">
        <v>7995</v>
      </c>
      <c r="C949" s="8" t="s">
        <v>7996</v>
      </c>
      <c r="D949" s="8" t="s">
        <v>7997</v>
      </c>
      <c r="E949" s="8" t="s">
        <v>239</v>
      </c>
      <c r="F949" s="8" t="s">
        <v>7998</v>
      </c>
    </row>
    <row r="950" customHeight="1" spans="1:6">
      <c r="A950" s="6">
        <v>949</v>
      </c>
      <c r="B950" s="8" t="s">
        <v>7995</v>
      </c>
      <c r="C950" s="8" t="s">
        <v>7996</v>
      </c>
      <c r="D950" s="8" t="s">
        <v>7997</v>
      </c>
      <c r="E950" s="8" t="s">
        <v>239</v>
      </c>
      <c r="F950" s="8" t="s">
        <v>7998</v>
      </c>
    </row>
    <row r="951" customHeight="1" spans="1:6">
      <c r="A951" s="6">
        <v>950</v>
      </c>
      <c r="B951" s="8" t="s">
        <v>7999</v>
      </c>
      <c r="C951" s="8" t="s">
        <v>8000</v>
      </c>
      <c r="D951" s="8" t="s">
        <v>8001</v>
      </c>
      <c r="E951" s="8" t="s">
        <v>8002</v>
      </c>
      <c r="F951" s="8" t="s">
        <v>8003</v>
      </c>
    </row>
    <row r="952" customHeight="1" spans="1:6">
      <c r="A952" s="6">
        <v>951</v>
      </c>
      <c r="B952" s="8" t="s">
        <v>7999</v>
      </c>
      <c r="C952" s="8" t="s">
        <v>8000</v>
      </c>
      <c r="D952" s="8" t="s">
        <v>8001</v>
      </c>
      <c r="E952" s="8" t="s">
        <v>8002</v>
      </c>
      <c r="F952" s="8" t="s">
        <v>8003</v>
      </c>
    </row>
    <row r="953" customHeight="1" spans="1:6">
      <c r="A953" s="6">
        <v>952</v>
      </c>
      <c r="B953" s="8" t="s">
        <v>8004</v>
      </c>
      <c r="C953" s="8" t="s">
        <v>8005</v>
      </c>
      <c r="D953" s="8" t="s">
        <v>8006</v>
      </c>
      <c r="E953" s="8" t="s">
        <v>239</v>
      </c>
      <c r="F953" s="8" t="s">
        <v>8007</v>
      </c>
    </row>
    <row r="954" customHeight="1" spans="1:6">
      <c r="A954" s="6">
        <v>953</v>
      </c>
      <c r="B954" s="8" t="s">
        <v>8004</v>
      </c>
      <c r="C954" s="8" t="s">
        <v>8005</v>
      </c>
      <c r="D954" s="8" t="s">
        <v>8006</v>
      </c>
      <c r="E954" s="8" t="s">
        <v>239</v>
      </c>
      <c r="F954" s="8" t="s">
        <v>8007</v>
      </c>
    </row>
    <row r="955" customHeight="1" spans="1:6">
      <c r="A955" s="6">
        <v>954</v>
      </c>
      <c r="B955" s="8" t="s">
        <v>8008</v>
      </c>
      <c r="C955" s="8" t="s">
        <v>8009</v>
      </c>
      <c r="D955" s="8" t="s">
        <v>8010</v>
      </c>
      <c r="E955" s="8" t="s">
        <v>239</v>
      </c>
      <c r="F955" s="8" t="s">
        <v>8011</v>
      </c>
    </row>
    <row r="956" customHeight="1" spans="1:6">
      <c r="A956" s="6">
        <v>955</v>
      </c>
      <c r="B956" s="8" t="s">
        <v>8008</v>
      </c>
      <c r="C956" s="8" t="s">
        <v>8009</v>
      </c>
      <c r="D956" s="8" t="s">
        <v>8010</v>
      </c>
      <c r="E956" s="8" t="s">
        <v>239</v>
      </c>
      <c r="F956" s="8" t="s">
        <v>8011</v>
      </c>
    </row>
    <row r="957" customHeight="1" spans="1:6">
      <c r="A957" s="6">
        <v>956</v>
      </c>
      <c r="B957" s="8" t="s">
        <v>8012</v>
      </c>
      <c r="C957" s="8" t="s">
        <v>8013</v>
      </c>
      <c r="D957" s="8" t="s">
        <v>8014</v>
      </c>
      <c r="E957" s="8" t="s">
        <v>239</v>
      </c>
      <c r="F957" s="8" t="s">
        <v>8015</v>
      </c>
    </row>
    <row r="958" customHeight="1" spans="1:6">
      <c r="A958" s="6">
        <v>957</v>
      </c>
      <c r="B958" s="8" t="s">
        <v>8012</v>
      </c>
      <c r="C958" s="8" t="s">
        <v>8013</v>
      </c>
      <c r="D958" s="8" t="s">
        <v>8014</v>
      </c>
      <c r="E958" s="8" t="s">
        <v>239</v>
      </c>
      <c r="F958" s="8" t="s">
        <v>8015</v>
      </c>
    </row>
    <row r="959" customHeight="1" spans="1:6">
      <c r="A959" s="6">
        <v>958</v>
      </c>
      <c r="B959" s="8" t="s">
        <v>8016</v>
      </c>
      <c r="C959" s="8" t="s">
        <v>8017</v>
      </c>
      <c r="D959" s="8" t="s">
        <v>8018</v>
      </c>
      <c r="E959" s="8" t="s">
        <v>216</v>
      </c>
      <c r="F959" s="8" t="s">
        <v>8019</v>
      </c>
    </row>
    <row r="960" customHeight="1" spans="1:6">
      <c r="A960" s="6">
        <v>959</v>
      </c>
      <c r="B960" s="8" t="s">
        <v>8016</v>
      </c>
      <c r="C960" s="8" t="s">
        <v>8017</v>
      </c>
      <c r="D960" s="8" t="s">
        <v>8018</v>
      </c>
      <c r="E960" s="8" t="s">
        <v>216</v>
      </c>
      <c r="F960" s="8" t="s">
        <v>8019</v>
      </c>
    </row>
    <row r="961" customHeight="1" spans="1:6">
      <c r="A961" s="6">
        <v>960</v>
      </c>
      <c r="B961" s="8" t="s">
        <v>8020</v>
      </c>
      <c r="C961" s="8" t="s">
        <v>8021</v>
      </c>
      <c r="D961" s="8" t="s">
        <v>7904</v>
      </c>
      <c r="E961" s="8" t="s">
        <v>571</v>
      </c>
      <c r="F961" s="8" t="s">
        <v>8022</v>
      </c>
    </row>
    <row r="962" customHeight="1" spans="1:6">
      <c r="A962" s="6">
        <v>961</v>
      </c>
      <c r="B962" s="8" t="s">
        <v>8020</v>
      </c>
      <c r="C962" s="8" t="s">
        <v>8021</v>
      </c>
      <c r="D962" s="8" t="s">
        <v>7904</v>
      </c>
      <c r="E962" s="8" t="s">
        <v>571</v>
      </c>
      <c r="F962" s="8" t="s">
        <v>8022</v>
      </c>
    </row>
    <row r="963" customHeight="1" spans="1:6">
      <c r="A963" s="6">
        <v>962</v>
      </c>
      <c r="B963" s="8" t="s">
        <v>8023</v>
      </c>
      <c r="C963" s="8" t="s">
        <v>8024</v>
      </c>
      <c r="D963" s="8" t="s">
        <v>8025</v>
      </c>
      <c r="E963" s="8" t="s">
        <v>665</v>
      </c>
      <c r="F963" s="8" t="s">
        <v>8026</v>
      </c>
    </row>
    <row r="964" customHeight="1" spans="1:6">
      <c r="A964" s="6">
        <v>963</v>
      </c>
      <c r="B964" s="8" t="s">
        <v>8023</v>
      </c>
      <c r="C964" s="8" t="s">
        <v>8024</v>
      </c>
      <c r="D964" s="8" t="s">
        <v>8025</v>
      </c>
      <c r="E964" s="8" t="s">
        <v>665</v>
      </c>
      <c r="F964" s="8" t="s">
        <v>8026</v>
      </c>
    </row>
    <row r="965" customHeight="1" spans="1:6">
      <c r="A965" s="6">
        <v>964</v>
      </c>
      <c r="B965" s="8" t="s">
        <v>8027</v>
      </c>
      <c r="C965" s="8" t="s">
        <v>8028</v>
      </c>
      <c r="D965" s="8" t="s">
        <v>8029</v>
      </c>
      <c r="E965" s="8" t="s">
        <v>1189</v>
      </c>
      <c r="F965" s="8" t="s">
        <v>8030</v>
      </c>
    </row>
    <row r="966" customHeight="1" spans="1:6">
      <c r="A966" s="6">
        <v>965</v>
      </c>
      <c r="B966" s="8" t="s">
        <v>8027</v>
      </c>
      <c r="C966" s="8" t="s">
        <v>8028</v>
      </c>
      <c r="D966" s="8" t="s">
        <v>8029</v>
      </c>
      <c r="E966" s="8" t="s">
        <v>1189</v>
      </c>
      <c r="F966" s="8" t="s">
        <v>8030</v>
      </c>
    </row>
    <row r="967" customHeight="1" spans="1:6">
      <c r="A967" s="6">
        <v>966</v>
      </c>
      <c r="B967" s="8" t="s">
        <v>8031</v>
      </c>
      <c r="C967" s="8" t="s">
        <v>8032</v>
      </c>
      <c r="D967" s="8" t="s">
        <v>8033</v>
      </c>
      <c r="E967" s="8" t="s">
        <v>2267</v>
      </c>
      <c r="F967" s="8" t="s">
        <v>8034</v>
      </c>
    </row>
    <row r="968" customHeight="1" spans="1:6">
      <c r="A968" s="6">
        <v>967</v>
      </c>
      <c r="B968" s="8" t="s">
        <v>8031</v>
      </c>
      <c r="C968" s="8" t="s">
        <v>8032</v>
      </c>
      <c r="D968" s="8" t="s">
        <v>8033</v>
      </c>
      <c r="E968" s="8" t="s">
        <v>2267</v>
      </c>
      <c r="F968" s="8" t="s">
        <v>8034</v>
      </c>
    </row>
    <row r="969" customHeight="1" spans="1:6">
      <c r="A969" s="6">
        <v>968</v>
      </c>
      <c r="B969" s="8" t="s">
        <v>8035</v>
      </c>
      <c r="C969" s="8" t="s">
        <v>8036</v>
      </c>
      <c r="D969" s="8" t="s">
        <v>8037</v>
      </c>
      <c r="E969" s="8" t="s">
        <v>288</v>
      </c>
      <c r="F969" s="8" t="s">
        <v>8038</v>
      </c>
    </row>
    <row r="970" customHeight="1" spans="1:6">
      <c r="A970" s="6">
        <v>969</v>
      </c>
      <c r="B970" s="8" t="s">
        <v>8035</v>
      </c>
      <c r="C970" s="8" t="s">
        <v>8036</v>
      </c>
      <c r="D970" s="8" t="s">
        <v>8037</v>
      </c>
      <c r="E970" s="8" t="s">
        <v>288</v>
      </c>
      <c r="F970" s="8" t="s">
        <v>8038</v>
      </c>
    </row>
    <row r="971" customHeight="1" spans="1:6">
      <c r="A971" s="6">
        <v>970</v>
      </c>
      <c r="B971" s="8" t="s">
        <v>8039</v>
      </c>
      <c r="C971" s="8" t="s">
        <v>8040</v>
      </c>
      <c r="D971" s="8" t="s">
        <v>7904</v>
      </c>
      <c r="E971" s="8" t="s">
        <v>571</v>
      </c>
      <c r="F971" s="8" t="s">
        <v>8041</v>
      </c>
    </row>
    <row r="972" customHeight="1" spans="1:6">
      <c r="A972" s="6">
        <v>971</v>
      </c>
      <c r="B972" s="8" t="s">
        <v>8039</v>
      </c>
      <c r="C972" s="8" t="s">
        <v>8040</v>
      </c>
      <c r="D972" s="8" t="s">
        <v>7904</v>
      </c>
      <c r="E972" s="8" t="s">
        <v>571</v>
      </c>
      <c r="F972" s="8" t="s">
        <v>8041</v>
      </c>
    </row>
    <row r="973" customHeight="1" spans="1:6">
      <c r="A973" s="6">
        <v>972</v>
      </c>
      <c r="B973" s="8" t="s">
        <v>8042</v>
      </c>
      <c r="C973" s="8" t="s">
        <v>8043</v>
      </c>
      <c r="D973" s="8" t="s">
        <v>8044</v>
      </c>
      <c r="E973" s="8" t="s">
        <v>7583</v>
      </c>
      <c r="F973" s="8" t="s">
        <v>8045</v>
      </c>
    </row>
    <row r="974" customHeight="1" spans="1:6">
      <c r="A974" s="6">
        <v>973</v>
      </c>
      <c r="B974" s="8" t="s">
        <v>8042</v>
      </c>
      <c r="C974" s="8" t="s">
        <v>8043</v>
      </c>
      <c r="D974" s="8" t="s">
        <v>8044</v>
      </c>
      <c r="E974" s="8" t="s">
        <v>7583</v>
      </c>
      <c r="F974" s="8" t="s">
        <v>8045</v>
      </c>
    </row>
    <row r="975" customHeight="1" spans="1:6">
      <c r="A975" s="6">
        <v>974</v>
      </c>
      <c r="B975" s="8" t="s">
        <v>8046</v>
      </c>
      <c r="C975" s="8" t="s">
        <v>8047</v>
      </c>
      <c r="D975" s="8" t="s">
        <v>8048</v>
      </c>
      <c r="E975" s="8" t="s">
        <v>7583</v>
      </c>
      <c r="F975" s="8" t="s">
        <v>8049</v>
      </c>
    </row>
    <row r="976" customHeight="1" spans="1:6">
      <c r="A976" s="6">
        <v>975</v>
      </c>
      <c r="B976" s="8" t="s">
        <v>8046</v>
      </c>
      <c r="C976" s="8" t="s">
        <v>8047</v>
      </c>
      <c r="D976" s="8" t="s">
        <v>8048</v>
      </c>
      <c r="E976" s="8" t="s">
        <v>7583</v>
      </c>
      <c r="F976" s="8" t="s">
        <v>8049</v>
      </c>
    </row>
    <row r="977" customHeight="1" spans="1:6">
      <c r="A977" s="6">
        <v>976</v>
      </c>
      <c r="B977" s="8" t="s">
        <v>8050</v>
      </c>
      <c r="C977" s="8" t="s">
        <v>8051</v>
      </c>
      <c r="D977" s="8" t="s">
        <v>7904</v>
      </c>
      <c r="E977" s="8" t="s">
        <v>571</v>
      </c>
      <c r="F977" s="8" t="s">
        <v>8052</v>
      </c>
    </row>
    <row r="978" customHeight="1" spans="1:6">
      <c r="A978" s="6">
        <v>977</v>
      </c>
      <c r="B978" s="8" t="s">
        <v>8050</v>
      </c>
      <c r="C978" s="8" t="s">
        <v>8051</v>
      </c>
      <c r="D978" s="8" t="s">
        <v>7904</v>
      </c>
      <c r="E978" s="8" t="s">
        <v>571</v>
      </c>
      <c r="F978" s="8" t="s">
        <v>8052</v>
      </c>
    </row>
    <row r="979" customHeight="1" spans="1:6">
      <c r="A979" s="6">
        <v>978</v>
      </c>
      <c r="B979" s="8" t="s">
        <v>8053</v>
      </c>
      <c r="C979" s="8" t="s">
        <v>8054</v>
      </c>
      <c r="D979" s="8" t="s">
        <v>7904</v>
      </c>
      <c r="E979" s="8" t="s">
        <v>571</v>
      </c>
      <c r="F979" s="8" t="s">
        <v>8055</v>
      </c>
    </row>
    <row r="980" customHeight="1" spans="1:6">
      <c r="A980" s="6">
        <v>979</v>
      </c>
      <c r="B980" s="8" t="s">
        <v>8053</v>
      </c>
      <c r="C980" s="8" t="s">
        <v>8054</v>
      </c>
      <c r="D980" s="8" t="s">
        <v>7904</v>
      </c>
      <c r="E980" s="8" t="s">
        <v>571</v>
      </c>
      <c r="F980" s="8" t="s">
        <v>8055</v>
      </c>
    </row>
    <row r="981" customHeight="1" spans="1:6">
      <c r="A981" s="6">
        <v>980</v>
      </c>
      <c r="B981" s="8" t="s">
        <v>8056</v>
      </c>
      <c r="C981" s="8" t="s">
        <v>8057</v>
      </c>
      <c r="D981" s="8" t="s">
        <v>8058</v>
      </c>
      <c r="E981" s="8" t="s">
        <v>701</v>
      </c>
      <c r="F981" s="8" t="s">
        <v>8059</v>
      </c>
    </row>
    <row r="982" customHeight="1" spans="1:6">
      <c r="A982" s="6">
        <v>981</v>
      </c>
      <c r="B982" s="8" t="s">
        <v>8056</v>
      </c>
      <c r="C982" s="8" t="s">
        <v>8057</v>
      </c>
      <c r="D982" s="8" t="s">
        <v>8058</v>
      </c>
      <c r="E982" s="8" t="s">
        <v>701</v>
      </c>
      <c r="F982" s="8" t="s">
        <v>8059</v>
      </c>
    </row>
    <row r="983" customHeight="1" spans="1:6">
      <c r="A983" s="6">
        <v>982</v>
      </c>
      <c r="B983" s="8" t="s">
        <v>8060</v>
      </c>
      <c r="C983" s="8" t="s">
        <v>8061</v>
      </c>
      <c r="D983" s="8" t="s">
        <v>8062</v>
      </c>
      <c r="E983" s="8" t="s">
        <v>239</v>
      </c>
      <c r="F983" s="8" t="s">
        <v>8063</v>
      </c>
    </row>
    <row r="984" customHeight="1" spans="1:6">
      <c r="A984" s="6">
        <v>983</v>
      </c>
      <c r="B984" s="8" t="s">
        <v>8060</v>
      </c>
      <c r="C984" s="8" t="s">
        <v>8061</v>
      </c>
      <c r="D984" s="8" t="s">
        <v>8062</v>
      </c>
      <c r="E984" s="8" t="s">
        <v>239</v>
      </c>
      <c r="F984" s="8" t="s">
        <v>8063</v>
      </c>
    </row>
    <row r="985" customHeight="1" spans="1:6">
      <c r="A985" s="6">
        <v>984</v>
      </c>
      <c r="B985" s="8" t="s">
        <v>8064</v>
      </c>
      <c r="C985" s="8" t="s">
        <v>8065</v>
      </c>
      <c r="D985" s="8" t="s">
        <v>8066</v>
      </c>
      <c r="E985" s="8" t="s">
        <v>1189</v>
      </c>
      <c r="F985" s="8" t="s">
        <v>8067</v>
      </c>
    </row>
    <row r="986" customHeight="1" spans="1:6">
      <c r="A986" s="6">
        <v>985</v>
      </c>
      <c r="B986" s="8" t="s">
        <v>8064</v>
      </c>
      <c r="C986" s="8" t="s">
        <v>8065</v>
      </c>
      <c r="D986" s="8" t="s">
        <v>8066</v>
      </c>
      <c r="E986" s="8" t="s">
        <v>1189</v>
      </c>
      <c r="F986" s="8" t="s">
        <v>8067</v>
      </c>
    </row>
    <row r="987" customHeight="1" spans="1:6">
      <c r="A987" s="6">
        <v>986</v>
      </c>
      <c r="B987" s="8" t="s">
        <v>8068</v>
      </c>
      <c r="C987" s="8" t="s">
        <v>8069</v>
      </c>
      <c r="D987" s="8" t="s">
        <v>8070</v>
      </c>
      <c r="E987" s="8" t="s">
        <v>1189</v>
      </c>
      <c r="F987" s="8" t="s">
        <v>8071</v>
      </c>
    </row>
    <row r="988" customHeight="1" spans="1:6">
      <c r="A988" s="6">
        <v>987</v>
      </c>
      <c r="B988" s="8" t="s">
        <v>8068</v>
      </c>
      <c r="C988" s="8" t="s">
        <v>8069</v>
      </c>
      <c r="D988" s="8" t="s">
        <v>8070</v>
      </c>
      <c r="E988" s="8" t="s">
        <v>1189</v>
      </c>
      <c r="F988" s="8" t="s">
        <v>8071</v>
      </c>
    </row>
    <row r="989" customHeight="1" spans="1:6">
      <c r="A989" s="6">
        <v>988</v>
      </c>
      <c r="B989" s="8" t="s">
        <v>8072</v>
      </c>
      <c r="C989" s="8" t="s">
        <v>8073</v>
      </c>
      <c r="D989" s="8" t="s">
        <v>8074</v>
      </c>
      <c r="E989" s="8" t="s">
        <v>2438</v>
      </c>
      <c r="F989" s="8" t="s">
        <v>8075</v>
      </c>
    </row>
    <row r="990" customHeight="1" spans="1:6">
      <c r="A990" s="6">
        <v>989</v>
      </c>
      <c r="B990" s="8" t="s">
        <v>8072</v>
      </c>
      <c r="C990" s="8" t="s">
        <v>8073</v>
      </c>
      <c r="D990" s="8" t="s">
        <v>8074</v>
      </c>
      <c r="E990" s="8" t="s">
        <v>2438</v>
      </c>
      <c r="F990" s="8" t="s">
        <v>8075</v>
      </c>
    </row>
    <row r="991" customHeight="1" spans="1:6">
      <c r="A991" s="6">
        <v>990</v>
      </c>
      <c r="B991" s="8" t="s">
        <v>8072</v>
      </c>
      <c r="C991" s="8" t="s">
        <v>8076</v>
      </c>
      <c r="D991" s="8" t="s">
        <v>8074</v>
      </c>
      <c r="E991" s="8" t="s">
        <v>2438</v>
      </c>
      <c r="F991" s="8" t="s">
        <v>8077</v>
      </c>
    </row>
    <row r="992" customHeight="1" spans="1:6">
      <c r="A992" s="6">
        <v>991</v>
      </c>
      <c r="B992" s="8" t="s">
        <v>8072</v>
      </c>
      <c r="C992" s="8" t="s">
        <v>8076</v>
      </c>
      <c r="D992" s="8" t="s">
        <v>8074</v>
      </c>
      <c r="E992" s="8" t="s">
        <v>2438</v>
      </c>
      <c r="F992" s="8" t="s">
        <v>8077</v>
      </c>
    </row>
    <row r="993" customHeight="1" spans="1:6">
      <c r="A993" s="6">
        <v>992</v>
      </c>
      <c r="B993" s="8" t="s">
        <v>8072</v>
      </c>
      <c r="C993" s="8" t="s">
        <v>8078</v>
      </c>
      <c r="D993" s="8" t="s">
        <v>8074</v>
      </c>
      <c r="E993" s="8" t="s">
        <v>2438</v>
      </c>
      <c r="F993" s="8" t="s">
        <v>8079</v>
      </c>
    </row>
    <row r="994" customHeight="1" spans="1:6">
      <c r="A994" s="6">
        <v>993</v>
      </c>
      <c r="B994" s="8" t="s">
        <v>8072</v>
      </c>
      <c r="C994" s="8" t="s">
        <v>8078</v>
      </c>
      <c r="D994" s="8" t="s">
        <v>8074</v>
      </c>
      <c r="E994" s="8" t="s">
        <v>2438</v>
      </c>
      <c r="F994" s="8" t="s">
        <v>8079</v>
      </c>
    </row>
    <row r="995" customHeight="1" spans="1:6">
      <c r="A995" s="6">
        <v>994</v>
      </c>
      <c r="B995" s="8" t="s">
        <v>8080</v>
      </c>
      <c r="C995" s="8" t="s">
        <v>8081</v>
      </c>
      <c r="D995" s="8" t="s">
        <v>8082</v>
      </c>
      <c r="E995" s="8" t="s">
        <v>5093</v>
      </c>
      <c r="F995" s="8" t="s">
        <v>8083</v>
      </c>
    </row>
    <row r="996" customHeight="1" spans="1:6">
      <c r="A996" s="6">
        <v>995</v>
      </c>
      <c r="B996" s="8" t="s">
        <v>8080</v>
      </c>
      <c r="C996" s="8" t="s">
        <v>8081</v>
      </c>
      <c r="D996" s="8" t="s">
        <v>8082</v>
      </c>
      <c r="E996" s="8" t="s">
        <v>5093</v>
      </c>
      <c r="F996" s="8" t="s">
        <v>8083</v>
      </c>
    </row>
    <row r="997" customHeight="1" spans="1:6">
      <c r="A997" s="6">
        <v>996</v>
      </c>
      <c r="B997" s="8" t="s">
        <v>8084</v>
      </c>
      <c r="C997" s="8" t="s">
        <v>8085</v>
      </c>
      <c r="D997" s="8" t="s">
        <v>8086</v>
      </c>
      <c r="E997" s="8" t="s">
        <v>7884</v>
      </c>
      <c r="F997" s="8" t="s">
        <v>8087</v>
      </c>
    </row>
    <row r="998" customHeight="1" spans="1:6">
      <c r="A998" s="6">
        <v>997</v>
      </c>
      <c r="B998" s="8" t="s">
        <v>8084</v>
      </c>
      <c r="C998" s="8" t="s">
        <v>8085</v>
      </c>
      <c r="D998" s="8" t="s">
        <v>8086</v>
      </c>
      <c r="E998" s="8" t="s">
        <v>7884</v>
      </c>
      <c r="F998" s="8" t="s">
        <v>8087</v>
      </c>
    </row>
    <row r="999" customHeight="1" spans="1:6">
      <c r="A999" s="6">
        <v>998</v>
      </c>
      <c r="B999" s="8" t="s">
        <v>8088</v>
      </c>
      <c r="C999" s="8" t="s">
        <v>8089</v>
      </c>
      <c r="D999" s="8" t="s">
        <v>8090</v>
      </c>
      <c r="E999" s="8" t="s">
        <v>2438</v>
      </c>
      <c r="F999" s="8" t="s">
        <v>8091</v>
      </c>
    </row>
    <row r="1000" customHeight="1" spans="1:6">
      <c r="A1000" s="6">
        <v>999</v>
      </c>
      <c r="B1000" s="8" t="s">
        <v>8088</v>
      </c>
      <c r="C1000" s="8" t="s">
        <v>8089</v>
      </c>
      <c r="D1000" s="8" t="s">
        <v>8090</v>
      </c>
      <c r="E1000" s="8" t="s">
        <v>2438</v>
      </c>
      <c r="F1000" s="8" t="s">
        <v>8091</v>
      </c>
    </row>
    <row r="1001" customHeight="1" spans="1:6">
      <c r="A1001" s="6">
        <v>1000</v>
      </c>
      <c r="B1001" s="8" t="s">
        <v>8092</v>
      </c>
      <c r="C1001" s="8" t="s">
        <v>8093</v>
      </c>
      <c r="D1001" s="8" t="s">
        <v>8094</v>
      </c>
      <c r="E1001" s="8" t="s">
        <v>2438</v>
      </c>
      <c r="F1001" s="8" t="s">
        <v>8095</v>
      </c>
    </row>
    <row r="1002" customHeight="1" spans="1:6">
      <c r="A1002" s="6">
        <v>1001</v>
      </c>
      <c r="B1002" s="8" t="s">
        <v>8092</v>
      </c>
      <c r="C1002" s="8" t="s">
        <v>8093</v>
      </c>
      <c r="D1002" s="8" t="s">
        <v>8094</v>
      </c>
      <c r="E1002" s="8" t="s">
        <v>2438</v>
      </c>
      <c r="F1002" s="8" t="s">
        <v>8095</v>
      </c>
    </row>
    <row r="1003" customHeight="1" spans="1:6">
      <c r="A1003" s="6">
        <v>1002</v>
      </c>
      <c r="B1003" s="8" t="s">
        <v>8096</v>
      </c>
      <c r="C1003" s="8" t="s">
        <v>8097</v>
      </c>
      <c r="D1003" s="8" t="s">
        <v>8098</v>
      </c>
      <c r="E1003" s="8" t="s">
        <v>7583</v>
      </c>
      <c r="F1003" s="8" t="s">
        <v>8099</v>
      </c>
    </row>
    <row r="1004" customHeight="1" spans="1:6">
      <c r="A1004" s="6">
        <v>1003</v>
      </c>
      <c r="B1004" s="8" t="s">
        <v>8096</v>
      </c>
      <c r="C1004" s="8" t="s">
        <v>8097</v>
      </c>
      <c r="D1004" s="8" t="s">
        <v>8098</v>
      </c>
      <c r="E1004" s="8" t="s">
        <v>7583</v>
      </c>
      <c r="F1004" s="8" t="s">
        <v>8099</v>
      </c>
    </row>
    <row r="1005" customHeight="1" spans="1:6">
      <c r="A1005" s="6">
        <v>1004</v>
      </c>
      <c r="B1005" s="8" t="s">
        <v>8100</v>
      </c>
      <c r="C1005" s="8" t="s">
        <v>8101</v>
      </c>
      <c r="D1005" s="8" t="s">
        <v>8102</v>
      </c>
      <c r="E1005" s="8" t="s">
        <v>2337</v>
      </c>
      <c r="F1005" s="8" t="s">
        <v>8103</v>
      </c>
    </row>
    <row r="1006" customHeight="1" spans="1:6">
      <c r="A1006" s="6">
        <v>1005</v>
      </c>
      <c r="B1006" s="8" t="s">
        <v>8100</v>
      </c>
      <c r="C1006" s="8" t="s">
        <v>8101</v>
      </c>
      <c r="D1006" s="8" t="s">
        <v>8102</v>
      </c>
      <c r="E1006" s="8" t="s">
        <v>2337</v>
      </c>
      <c r="F1006" s="8" t="s">
        <v>8103</v>
      </c>
    </row>
    <row r="1007" customHeight="1" spans="1:6">
      <c r="A1007" s="6">
        <v>1006</v>
      </c>
      <c r="B1007" s="8" t="s">
        <v>8104</v>
      </c>
      <c r="C1007" s="8" t="s">
        <v>8105</v>
      </c>
      <c r="D1007" s="8" t="s">
        <v>8106</v>
      </c>
      <c r="E1007" s="8" t="s">
        <v>2438</v>
      </c>
      <c r="F1007" s="8" t="s">
        <v>8107</v>
      </c>
    </row>
    <row r="1008" customHeight="1" spans="1:6">
      <c r="A1008" s="6">
        <v>1007</v>
      </c>
      <c r="B1008" s="8" t="s">
        <v>8104</v>
      </c>
      <c r="C1008" s="8" t="s">
        <v>8105</v>
      </c>
      <c r="D1008" s="8" t="s">
        <v>8106</v>
      </c>
      <c r="E1008" s="8" t="s">
        <v>2438</v>
      </c>
      <c r="F1008" s="8" t="s">
        <v>8107</v>
      </c>
    </row>
    <row r="1009" customHeight="1" spans="1:6">
      <c r="A1009" s="6">
        <v>1008</v>
      </c>
      <c r="B1009" s="8" t="s">
        <v>8108</v>
      </c>
      <c r="C1009" s="8" t="s">
        <v>8109</v>
      </c>
      <c r="D1009" s="8" t="s">
        <v>8110</v>
      </c>
      <c r="E1009" s="8" t="s">
        <v>425</v>
      </c>
      <c r="F1009" s="8" t="s">
        <v>8111</v>
      </c>
    </row>
    <row r="1010" customHeight="1" spans="1:6">
      <c r="A1010" s="6">
        <v>1009</v>
      </c>
      <c r="B1010" s="8" t="s">
        <v>8108</v>
      </c>
      <c r="C1010" s="8" t="s">
        <v>8109</v>
      </c>
      <c r="D1010" s="8" t="s">
        <v>8110</v>
      </c>
      <c r="E1010" s="8" t="s">
        <v>425</v>
      </c>
      <c r="F1010" s="8" t="s">
        <v>8111</v>
      </c>
    </row>
    <row r="1011" customHeight="1" spans="1:6">
      <c r="A1011" s="6">
        <v>1010</v>
      </c>
      <c r="B1011" s="8" t="s">
        <v>8112</v>
      </c>
      <c r="C1011" s="8" t="s">
        <v>8113</v>
      </c>
      <c r="D1011" s="8" t="s">
        <v>7904</v>
      </c>
      <c r="E1011" s="8" t="s">
        <v>571</v>
      </c>
      <c r="F1011" s="8" t="s">
        <v>8114</v>
      </c>
    </row>
    <row r="1012" customHeight="1" spans="1:6">
      <c r="A1012" s="6">
        <v>1011</v>
      </c>
      <c r="B1012" s="8" t="s">
        <v>8112</v>
      </c>
      <c r="C1012" s="8" t="s">
        <v>8113</v>
      </c>
      <c r="D1012" s="8" t="s">
        <v>7904</v>
      </c>
      <c r="E1012" s="8" t="s">
        <v>571</v>
      </c>
      <c r="F1012" s="8" t="s">
        <v>8114</v>
      </c>
    </row>
    <row r="1013" customHeight="1" spans="1:6">
      <c r="A1013" s="6">
        <v>1012</v>
      </c>
      <c r="B1013" s="8" t="s">
        <v>8115</v>
      </c>
      <c r="C1013" s="8" t="s">
        <v>8116</v>
      </c>
      <c r="D1013" s="8" t="s">
        <v>8117</v>
      </c>
      <c r="E1013" s="8" t="s">
        <v>216</v>
      </c>
      <c r="F1013" s="8" t="s">
        <v>8118</v>
      </c>
    </row>
    <row r="1014" customHeight="1" spans="1:6">
      <c r="A1014" s="6">
        <v>1013</v>
      </c>
      <c r="B1014" s="8" t="s">
        <v>8115</v>
      </c>
      <c r="C1014" s="8" t="s">
        <v>8116</v>
      </c>
      <c r="D1014" s="8" t="s">
        <v>8117</v>
      </c>
      <c r="E1014" s="8" t="s">
        <v>216</v>
      </c>
      <c r="F1014" s="8" t="s">
        <v>8118</v>
      </c>
    </row>
    <row r="1015" customHeight="1" spans="1:6">
      <c r="A1015" s="6">
        <v>1014</v>
      </c>
      <c r="B1015" s="8" t="s">
        <v>8119</v>
      </c>
      <c r="C1015" s="8" t="s">
        <v>8120</v>
      </c>
      <c r="D1015" s="8" t="s">
        <v>7904</v>
      </c>
      <c r="E1015" s="8" t="s">
        <v>571</v>
      </c>
      <c r="F1015" s="8" t="s">
        <v>8121</v>
      </c>
    </row>
    <row r="1016" customHeight="1" spans="1:6">
      <c r="A1016" s="6">
        <v>1015</v>
      </c>
      <c r="B1016" s="8" t="s">
        <v>8119</v>
      </c>
      <c r="C1016" s="8" t="s">
        <v>8120</v>
      </c>
      <c r="D1016" s="8" t="s">
        <v>7904</v>
      </c>
      <c r="E1016" s="8" t="s">
        <v>571</v>
      </c>
      <c r="F1016" s="8" t="s">
        <v>8121</v>
      </c>
    </row>
    <row r="1017" customHeight="1" spans="1:6">
      <c r="A1017" s="6">
        <v>1016</v>
      </c>
      <c r="B1017" s="8" t="s">
        <v>8122</v>
      </c>
      <c r="C1017" s="8" t="s">
        <v>8123</v>
      </c>
      <c r="D1017" s="8" t="s">
        <v>8124</v>
      </c>
      <c r="E1017" s="8" t="s">
        <v>283</v>
      </c>
      <c r="F1017" s="8" t="s">
        <v>8125</v>
      </c>
    </row>
    <row r="1018" customHeight="1" spans="1:6">
      <c r="A1018" s="6">
        <v>1017</v>
      </c>
      <c r="B1018" s="8" t="s">
        <v>8122</v>
      </c>
      <c r="C1018" s="8" t="s">
        <v>8123</v>
      </c>
      <c r="D1018" s="8" t="s">
        <v>8124</v>
      </c>
      <c r="E1018" s="8" t="s">
        <v>283</v>
      </c>
      <c r="F1018" s="8" t="s">
        <v>8125</v>
      </c>
    </row>
    <row r="1019" customHeight="1" spans="1:6">
      <c r="A1019" s="6">
        <v>1018</v>
      </c>
      <c r="B1019" s="8" t="s">
        <v>8126</v>
      </c>
      <c r="C1019" s="8" t="s">
        <v>8127</v>
      </c>
      <c r="D1019" s="8" t="s">
        <v>8128</v>
      </c>
      <c r="E1019" s="8" t="s">
        <v>1189</v>
      </c>
      <c r="F1019" s="8" t="s">
        <v>8129</v>
      </c>
    </row>
    <row r="1020" customHeight="1" spans="1:6">
      <c r="A1020" s="6">
        <v>1019</v>
      </c>
      <c r="B1020" s="8" t="s">
        <v>8126</v>
      </c>
      <c r="C1020" s="8" t="s">
        <v>8127</v>
      </c>
      <c r="D1020" s="8" t="s">
        <v>8128</v>
      </c>
      <c r="E1020" s="8" t="s">
        <v>1189</v>
      </c>
      <c r="F1020" s="8" t="s">
        <v>8129</v>
      </c>
    </row>
    <row r="1021" customHeight="1" spans="1:6">
      <c r="A1021" s="6">
        <v>1020</v>
      </c>
      <c r="B1021" s="8" t="s">
        <v>8130</v>
      </c>
      <c r="C1021" s="8" t="s">
        <v>8131</v>
      </c>
      <c r="D1021" s="8" t="s">
        <v>8132</v>
      </c>
      <c r="E1021" s="8" t="s">
        <v>239</v>
      </c>
      <c r="F1021" s="8" t="s">
        <v>8133</v>
      </c>
    </row>
    <row r="1022" customHeight="1" spans="1:6">
      <c r="A1022" s="6">
        <v>1021</v>
      </c>
      <c r="B1022" s="8" t="s">
        <v>8130</v>
      </c>
      <c r="C1022" s="8" t="s">
        <v>8131</v>
      </c>
      <c r="D1022" s="8" t="s">
        <v>8132</v>
      </c>
      <c r="E1022" s="8" t="s">
        <v>239</v>
      </c>
      <c r="F1022" s="8" t="s">
        <v>8133</v>
      </c>
    </row>
    <row r="1023" customHeight="1" spans="1:6">
      <c r="A1023" s="6">
        <v>1022</v>
      </c>
      <c r="B1023" s="8" t="s">
        <v>8134</v>
      </c>
      <c r="C1023" s="8" t="s">
        <v>8135</v>
      </c>
      <c r="D1023" s="8" t="s">
        <v>8136</v>
      </c>
      <c r="E1023" s="8" t="s">
        <v>2790</v>
      </c>
      <c r="F1023" s="8" t="s">
        <v>8137</v>
      </c>
    </row>
    <row r="1024" customHeight="1" spans="1:6">
      <c r="A1024" s="6">
        <v>1023</v>
      </c>
      <c r="B1024" s="8" t="s">
        <v>8134</v>
      </c>
      <c r="C1024" s="8" t="s">
        <v>8135</v>
      </c>
      <c r="D1024" s="8" t="s">
        <v>8136</v>
      </c>
      <c r="E1024" s="8" t="s">
        <v>2790</v>
      </c>
      <c r="F1024" s="8" t="s">
        <v>8137</v>
      </c>
    </row>
    <row r="1025" customHeight="1" spans="1:6">
      <c r="A1025" s="6">
        <v>1024</v>
      </c>
      <c r="B1025" s="8" t="s">
        <v>8138</v>
      </c>
      <c r="C1025" s="8" t="s">
        <v>8139</v>
      </c>
      <c r="D1025" s="8" t="s">
        <v>8140</v>
      </c>
      <c r="E1025" s="8" t="s">
        <v>2267</v>
      </c>
      <c r="F1025" s="8" t="s">
        <v>8141</v>
      </c>
    </row>
    <row r="1026" customHeight="1" spans="1:6">
      <c r="A1026" s="6">
        <v>1025</v>
      </c>
      <c r="B1026" s="8" t="s">
        <v>8138</v>
      </c>
      <c r="C1026" s="8" t="s">
        <v>8139</v>
      </c>
      <c r="D1026" s="8" t="s">
        <v>8140</v>
      </c>
      <c r="E1026" s="8" t="s">
        <v>2267</v>
      </c>
      <c r="F1026" s="8" t="s">
        <v>8141</v>
      </c>
    </row>
    <row r="1027" customHeight="1" spans="1:6">
      <c r="A1027" s="6">
        <v>1026</v>
      </c>
      <c r="B1027" s="8" t="s">
        <v>8142</v>
      </c>
      <c r="C1027" s="8" t="s">
        <v>8143</v>
      </c>
      <c r="D1027" s="8" t="s">
        <v>8144</v>
      </c>
      <c r="E1027" s="8" t="s">
        <v>7583</v>
      </c>
      <c r="F1027" s="8" t="s">
        <v>8145</v>
      </c>
    </row>
    <row r="1028" customHeight="1" spans="1:6">
      <c r="A1028" s="6">
        <v>1027</v>
      </c>
      <c r="B1028" s="8" t="s">
        <v>8142</v>
      </c>
      <c r="C1028" s="8" t="s">
        <v>8143</v>
      </c>
      <c r="D1028" s="8" t="s">
        <v>8144</v>
      </c>
      <c r="E1028" s="8" t="s">
        <v>7583</v>
      </c>
      <c r="F1028" s="8" t="s">
        <v>8145</v>
      </c>
    </row>
    <row r="1029" customHeight="1" spans="1:6">
      <c r="A1029" s="6">
        <v>1028</v>
      </c>
      <c r="B1029" s="8" t="s">
        <v>8146</v>
      </c>
      <c r="C1029" s="8" t="s">
        <v>8147</v>
      </c>
      <c r="D1029" s="8" t="s">
        <v>8148</v>
      </c>
      <c r="E1029" s="8" t="s">
        <v>7583</v>
      </c>
      <c r="F1029" s="8" t="s">
        <v>8149</v>
      </c>
    </row>
    <row r="1030" customHeight="1" spans="1:6">
      <c r="A1030" s="6">
        <v>1029</v>
      </c>
      <c r="B1030" s="8" t="s">
        <v>8146</v>
      </c>
      <c r="C1030" s="8" t="s">
        <v>8147</v>
      </c>
      <c r="D1030" s="8" t="s">
        <v>8148</v>
      </c>
      <c r="E1030" s="8" t="s">
        <v>7583</v>
      </c>
      <c r="F1030" s="8" t="s">
        <v>8149</v>
      </c>
    </row>
    <row r="1031" customHeight="1" spans="1:6">
      <c r="A1031" s="6">
        <v>1030</v>
      </c>
      <c r="B1031" s="8" t="s">
        <v>8150</v>
      </c>
      <c r="C1031" s="8" t="s">
        <v>8151</v>
      </c>
      <c r="D1031" s="8" t="s">
        <v>8152</v>
      </c>
      <c r="E1031" s="8" t="s">
        <v>8153</v>
      </c>
      <c r="F1031" s="8" t="s">
        <v>8154</v>
      </c>
    </row>
    <row r="1032" customHeight="1" spans="1:6">
      <c r="A1032" s="6">
        <v>1031</v>
      </c>
      <c r="B1032" s="8" t="s">
        <v>8150</v>
      </c>
      <c r="C1032" s="8" t="s">
        <v>8151</v>
      </c>
      <c r="D1032" s="8" t="s">
        <v>8152</v>
      </c>
      <c r="E1032" s="8" t="s">
        <v>8153</v>
      </c>
      <c r="F1032" s="8" t="s">
        <v>8154</v>
      </c>
    </row>
    <row r="1033" customHeight="1" spans="1:6">
      <c r="A1033" s="6">
        <v>1032</v>
      </c>
      <c r="B1033" s="8" t="s">
        <v>8155</v>
      </c>
      <c r="C1033" s="8" t="s">
        <v>8156</v>
      </c>
      <c r="D1033" s="8" t="s">
        <v>8157</v>
      </c>
      <c r="E1033" s="8" t="s">
        <v>216</v>
      </c>
      <c r="F1033" s="8" t="s">
        <v>8158</v>
      </c>
    </row>
    <row r="1034" customHeight="1" spans="1:6">
      <c r="A1034" s="6">
        <v>1033</v>
      </c>
      <c r="B1034" s="8" t="s">
        <v>8155</v>
      </c>
      <c r="C1034" s="8" t="s">
        <v>8156</v>
      </c>
      <c r="D1034" s="8" t="s">
        <v>8157</v>
      </c>
      <c r="E1034" s="8" t="s">
        <v>216</v>
      </c>
      <c r="F1034" s="8" t="s">
        <v>8158</v>
      </c>
    </row>
    <row r="1035" customHeight="1" spans="1:6">
      <c r="A1035" s="6">
        <v>1034</v>
      </c>
      <c r="B1035" s="8" t="s">
        <v>8159</v>
      </c>
      <c r="C1035" s="8" t="s">
        <v>8160</v>
      </c>
      <c r="D1035" s="8" t="s">
        <v>8161</v>
      </c>
      <c r="E1035" s="8" t="s">
        <v>216</v>
      </c>
      <c r="F1035" s="8" t="s">
        <v>8162</v>
      </c>
    </row>
    <row r="1036" customHeight="1" spans="1:6">
      <c r="A1036" s="6">
        <v>1035</v>
      </c>
      <c r="B1036" s="8" t="s">
        <v>8159</v>
      </c>
      <c r="C1036" s="8" t="s">
        <v>8160</v>
      </c>
      <c r="D1036" s="8" t="s">
        <v>8161</v>
      </c>
      <c r="E1036" s="8" t="s">
        <v>216</v>
      </c>
      <c r="F1036" s="8" t="s">
        <v>8162</v>
      </c>
    </row>
    <row r="1037" customHeight="1" spans="1:6">
      <c r="A1037" s="6">
        <v>1036</v>
      </c>
      <c r="B1037" s="8" t="s">
        <v>8163</v>
      </c>
      <c r="C1037" s="8" t="s">
        <v>8164</v>
      </c>
      <c r="D1037" s="8" t="s">
        <v>8165</v>
      </c>
      <c r="E1037" s="8" t="s">
        <v>1189</v>
      </c>
      <c r="F1037" s="8" t="s">
        <v>8166</v>
      </c>
    </row>
    <row r="1038" customHeight="1" spans="1:6">
      <c r="A1038" s="6">
        <v>1037</v>
      </c>
      <c r="B1038" s="8" t="s">
        <v>8163</v>
      </c>
      <c r="C1038" s="8" t="s">
        <v>8164</v>
      </c>
      <c r="D1038" s="8" t="s">
        <v>8165</v>
      </c>
      <c r="E1038" s="8" t="s">
        <v>1189</v>
      </c>
      <c r="F1038" s="8" t="s">
        <v>8166</v>
      </c>
    </row>
    <row r="1039" customHeight="1" spans="1:6">
      <c r="A1039" s="6">
        <v>1038</v>
      </c>
      <c r="B1039" s="8" t="s">
        <v>8167</v>
      </c>
      <c r="C1039" s="8" t="s">
        <v>8168</v>
      </c>
      <c r="D1039" s="8" t="s">
        <v>8169</v>
      </c>
      <c r="E1039" s="8" t="s">
        <v>7884</v>
      </c>
      <c r="F1039" s="8" t="s">
        <v>8170</v>
      </c>
    </row>
    <row r="1040" customHeight="1" spans="1:6">
      <c r="A1040" s="6">
        <v>1039</v>
      </c>
      <c r="B1040" s="8" t="s">
        <v>8167</v>
      </c>
      <c r="C1040" s="8" t="s">
        <v>8168</v>
      </c>
      <c r="D1040" s="8" t="s">
        <v>8169</v>
      </c>
      <c r="E1040" s="8" t="s">
        <v>7884</v>
      </c>
      <c r="F1040" s="8" t="s">
        <v>8170</v>
      </c>
    </row>
    <row r="1041" customHeight="1" spans="1:6">
      <c r="A1041" s="6">
        <v>1040</v>
      </c>
      <c r="B1041" s="8" t="s">
        <v>8171</v>
      </c>
      <c r="C1041" s="8" t="s">
        <v>8172</v>
      </c>
      <c r="D1041" s="8" t="s">
        <v>8173</v>
      </c>
      <c r="E1041" s="8" t="s">
        <v>239</v>
      </c>
      <c r="F1041" s="8" t="s">
        <v>8174</v>
      </c>
    </row>
    <row r="1042" customHeight="1" spans="1:6">
      <c r="A1042" s="6">
        <v>1041</v>
      </c>
      <c r="B1042" s="8" t="s">
        <v>8171</v>
      </c>
      <c r="C1042" s="8" t="s">
        <v>8172</v>
      </c>
      <c r="D1042" s="8" t="s">
        <v>8173</v>
      </c>
      <c r="E1042" s="8" t="s">
        <v>239</v>
      </c>
      <c r="F1042" s="8" t="s">
        <v>8174</v>
      </c>
    </row>
    <row r="1043" customHeight="1" spans="1:6">
      <c r="A1043" s="6">
        <v>1042</v>
      </c>
      <c r="B1043" s="8" t="s">
        <v>8175</v>
      </c>
      <c r="C1043" s="8" t="s">
        <v>8176</v>
      </c>
      <c r="D1043" s="8" t="s">
        <v>8177</v>
      </c>
      <c r="E1043" s="8" t="s">
        <v>7884</v>
      </c>
      <c r="F1043" s="8" t="s">
        <v>8178</v>
      </c>
    </row>
    <row r="1044" customHeight="1" spans="1:6">
      <c r="A1044" s="6">
        <v>1043</v>
      </c>
      <c r="B1044" s="8" t="s">
        <v>8175</v>
      </c>
      <c r="C1044" s="8" t="s">
        <v>8176</v>
      </c>
      <c r="D1044" s="8" t="s">
        <v>8177</v>
      </c>
      <c r="E1044" s="8" t="s">
        <v>7884</v>
      </c>
      <c r="F1044" s="8" t="s">
        <v>8178</v>
      </c>
    </row>
    <row r="1045" customHeight="1" spans="1:6">
      <c r="A1045" s="6">
        <v>1044</v>
      </c>
      <c r="B1045" s="8" t="s">
        <v>8179</v>
      </c>
      <c r="C1045" s="8" t="s">
        <v>8180</v>
      </c>
      <c r="D1045" s="8" t="s">
        <v>8177</v>
      </c>
      <c r="E1045" s="8" t="s">
        <v>7884</v>
      </c>
      <c r="F1045" s="8" t="s">
        <v>8181</v>
      </c>
    </row>
    <row r="1046" customHeight="1" spans="1:6">
      <c r="A1046" s="6">
        <v>1045</v>
      </c>
      <c r="B1046" s="8" t="s">
        <v>8179</v>
      </c>
      <c r="C1046" s="8" t="s">
        <v>8180</v>
      </c>
      <c r="D1046" s="8" t="s">
        <v>8177</v>
      </c>
      <c r="E1046" s="8" t="s">
        <v>7884</v>
      </c>
      <c r="F1046" s="8" t="s">
        <v>8181</v>
      </c>
    </row>
    <row r="1047" customHeight="1" spans="1:6">
      <c r="A1047" s="6">
        <v>1046</v>
      </c>
      <c r="B1047" s="7" t="str">
        <f>"978-7-121-41569-2"</f>
        <v>978-7-121-41569-2</v>
      </c>
      <c r="C1047" s="7" t="str">
        <f>"野外生存百科"</f>
        <v>野外生存百科</v>
      </c>
      <c r="D1047" s="7" t="str">
        <f>"(英) 科林·托厄尔著；艾思， 边若溪译"</f>
        <v>(英) 科林·托厄尔著；艾思， 边若溪译</v>
      </c>
      <c r="E1047" s="7" t="str">
        <f>"电子工业出版社"</f>
        <v>电子工业出版社</v>
      </c>
      <c r="F1047" s="7" t="str">
        <f>"G895-49/2"</f>
        <v>G895-49/2</v>
      </c>
    </row>
    <row r="1048" customHeight="1" spans="1:6">
      <c r="A1048" s="6">
        <v>1047</v>
      </c>
      <c r="B1048" s="7" t="str">
        <f>"978-7-121-41569-2"</f>
        <v>978-7-121-41569-2</v>
      </c>
      <c r="C1048" s="7" t="str">
        <f>"野外生存百科"</f>
        <v>野外生存百科</v>
      </c>
      <c r="D1048" s="7" t="str">
        <f>"(英) 科林·托厄尔著；艾思， 边若溪译"</f>
        <v>(英) 科林·托厄尔著；艾思， 边若溪译</v>
      </c>
      <c r="E1048" s="7" t="str">
        <f>"电子工业出版社"</f>
        <v>电子工业出版社</v>
      </c>
      <c r="F1048" s="7" t="str">
        <f>"G895-49/2"</f>
        <v>G895-49/2</v>
      </c>
    </row>
    <row r="1049" customHeight="1" spans="1:6">
      <c r="A1049" s="6">
        <v>1048</v>
      </c>
      <c r="B1049" s="7" t="str">
        <f>"978-7-5682-9404-1"</f>
        <v>978-7-5682-9404-1</v>
      </c>
      <c r="C1049" s="7" t="str">
        <f>"数字游戏设计史"</f>
        <v>数字游戏设计史</v>
      </c>
      <c r="D1049" s="7" t="str">
        <f>"黄石著"</f>
        <v>黄石著</v>
      </c>
      <c r="E1049" s="7" t="str">
        <f>"北京理工大学出版社"</f>
        <v>北京理工大学出版社</v>
      </c>
      <c r="F1049" s="7" t="str">
        <f>"G898.3/33"</f>
        <v>G898.3/33</v>
      </c>
    </row>
    <row r="1050" customHeight="1" spans="1:6">
      <c r="A1050" s="6">
        <v>1049</v>
      </c>
      <c r="B1050" s="7" t="str">
        <f>"978-7-5682-9404-1"</f>
        <v>978-7-5682-9404-1</v>
      </c>
      <c r="C1050" s="7" t="str">
        <f>"数字游戏设计史"</f>
        <v>数字游戏设计史</v>
      </c>
      <c r="D1050" s="7" t="str">
        <f>"黄石著"</f>
        <v>黄石著</v>
      </c>
      <c r="E1050" s="7" t="str">
        <f>"北京理工大学出版社"</f>
        <v>北京理工大学出版社</v>
      </c>
      <c r="F1050" s="7" t="str">
        <f>"G898.3/33"</f>
        <v>G898.3/33</v>
      </c>
    </row>
    <row r="1051" customHeight="1" spans="1:6">
      <c r="A1051" s="6">
        <v>1050</v>
      </c>
      <c r="B1051" s="8" t="s">
        <v>8182</v>
      </c>
      <c r="C1051" s="8" t="s">
        <v>8183</v>
      </c>
      <c r="D1051" s="8" t="s">
        <v>8184</v>
      </c>
      <c r="E1051" s="8" t="s">
        <v>43</v>
      </c>
      <c r="F1051" s="8" t="s">
        <v>8185</v>
      </c>
    </row>
    <row r="1052" customHeight="1" spans="1:6">
      <c r="A1052" s="6">
        <v>1051</v>
      </c>
      <c r="B1052" s="8" t="s">
        <v>8182</v>
      </c>
      <c r="C1052" s="8" t="s">
        <v>8183</v>
      </c>
      <c r="D1052" s="8" t="s">
        <v>8184</v>
      </c>
      <c r="E1052" s="8" t="s">
        <v>43</v>
      </c>
      <c r="F1052" s="8" t="s">
        <v>8185</v>
      </c>
    </row>
  </sheetData>
  <pageMargins left="0.75" right="0.75" top="1" bottom="1" header="0.5" footer="0.5"/>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FF00"/>
  </sheetPr>
  <dimension ref="A1:F1188"/>
  <sheetViews>
    <sheetView workbookViewId="0">
      <selection activeCell="D22" sqref="D22"/>
    </sheetView>
  </sheetViews>
  <sheetFormatPr defaultColWidth="9" defaultRowHeight="18" customHeight="1" outlineLevelCol="5"/>
  <cols>
    <col min="1" max="1" width="5.375" style="12" customWidth="1"/>
    <col min="2" max="2" width="19.375" customWidth="1"/>
    <col min="3" max="3" width="45.625" customWidth="1"/>
    <col min="4" max="4" width="35.625" customWidth="1"/>
    <col min="5" max="5" width="33.75" customWidth="1"/>
    <col min="6" max="6" width="18.25" customWidth="1"/>
  </cols>
  <sheetData>
    <row r="1" s="4" customFormat="1" customHeight="1" spans="1:6">
      <c r="A1" s="14" t="s">
        <v>8186</v>
      </c>
      <c r="B1" s="14" t="s">
        <v>8187</v>
      </c>
      <c r="C1" s="14" t="s">
        <v>8188</v>
      </c>
      <c r="D1" s="14" t="s">
        <v>8189</v>
      </c>
      <c r="E1" s="14" t="s">
        <v>8190</v>
      </c>
      <c r="F1" s="14" t="s">
        <v>8191</v>
      </c>
    </row>
    <row r="2" customHeight="1" spans="1:6">
      <c r="A2" s="6">
        <v>1</v>
      </c>
      <c r="B2" s="7" t="str">
        <f>"978-7-101-15236-4"</f>
        <v>978-7-101-15236-4</v>
      </c>
      <c r="C2" s="7" t="str">
        <f>"符号里的中国"</f>
        <v>符号里的中国</v>
      </c>
      <c r="D2" s="7" t="str">
        <f>"赵运涛著"</f>
        <v>赵运涛著</v>
      </c>
      <c r="E2" s="7" t="str">
        <f>"中华书局"</f>
        <v>中华书局</v>
      </c>
      <c r="F2" s="7" t="str">
        <f>"H0/455"</f>
        <v>H0/455</v>
      </c>
    </row>
    <row r="3" customHeight="1" spans="1:6">
      <c r="A3" s="6">
        <v>2</v>
      </c>
      <c r="B3" s="7" t="str">
        <f>"978-7-101-15236-4"</f>
        <v>978-7-101-15236-4</v>
      </c>
      <c r="C3" s="7" t="str">
        <f>"符号里的中国"</f>
        <v>符号里的中国</v>
      </c>
      <c r="D3" s="7" t="str">
        <f>"赵运涛著"</f>
        <v>赵运涛著</v>
      </c>
      <c r="E3" s="7" t="str">
        <f>"中华书局"</f>
        <v>中华书局</v>
      </c>
      <c r="F3" s="7" t="str">
        <f>"H0/455"</f>
        <v>H0/455</v>
      </c>
    </row>
    <row r="4" customHeight="1" spans="1:6">
      <c r="A4" s="6">
        <v>3</v>
      </c>
      <c r="B4" s="7" t="str">
        <f>"978-7-5576-9156-1"</f>
        <v>978-7-5576-9156-1</v>
      </c>
      <c r="C4" s="7" t="str">
        <f>"我们赖以生存的意义"</f>
        <v>我们赖以生存的意义</v>
      </c>
      <c r="D4" s="7" t="str">
        <f>"(英) 本杰明·伯根著Benjamin K. Bergen；宋睿华， 王尔山译"</f>
        <v>(英) 本杰明·伯根著Benjamin K. Bergen；宋睿华， 王尔山译</v>
      </c>
      <c r="E4" s="7" t="str">
        <f>"天津科学技术出版社"</f>
        <v>天津科学技术出版社</v>
      </c>
      <c r="F4" s="7" t="str">
        <f>"H0/456"</f>
        <v>H0/456</v>
      </c>
    </row>
    <row r="5" customHeight="1" spans="1:6">
      <c r="A5" s="6">
        <v>4</v>
      </c>
      <c r="B5" s="7" t="str">
        <f>"978-7-5576-9156-1"</f>
        <v>978-7-5576-9156-1</v>
      </c>
      <c r="C5" s="7" t="str">
        <f>"我们赖以生存的意义"</f>
        <v>我们赖以生存的意义</v>
      </c>
      <c r="D5" s="7" t="str">
        <f>"(英) 本杰明·伯根著Benjamin K. Bergen；宋睿华， 王尔山译"</f>
        <v>(英) 本杰明·伯根著Benjamin K. Bergen；宋睿华， 王尔山译</v>
      </c>
      <c r="E5" s="7" t="str">
        <f>"天津科学技术出版社"</f>
        <v>天津科学技术出版社</v>
      </c>
      <c r="F5" s="7" t="str">
        <f>"H0/456"</f>
        <v>H0/456</v>
      </c>
    </row>
    <row r="6" customHeight="1" spans="1:6">
      <c r="A6" s="6">
        <v>5</v>
      </c>
      <c r="B6" s="7" t="str">
        <f>"978-7-5454-7727-6"</f>
        <v>978-7-5454-7727-6</v>
      </c>
      <c r="C6" s="7" t="str">
        <f>"这就是语言学"</f>
        <v>这就是语言学</v>
      </c>
      <c r="D6" s="7" t="str">
        <f>"(日) 佐久间淳一著；范莉婷， 程茜译"</f>
        <v>(日) 佐久间淳一著；范莉婷， 程茜译</v>
      </c>
      <c r="E6" s="7" t="str">
        <f>"广东经济出版社"</f>
        <v>广东经济出版社</v>
      </c>
      <c r="F6" s="7" t="str">
        <f>"H0/457"</f>
        <v>H0/457</v>
      </c>
    </row>
    <row r="7" customHeight="1" spans="1:6">
      <c r="A7" s="6">
        <v>6</v>
      </c>
      <c r="B7" s="7" t="str">
        <f>"978-7-5454-7727-6"</f>
        <v>978-7-5454-7727-6</v>
      </c>
      <c r="C7" s="7" t="str">
        <f>"这就是语言学"</f>
        <v>这就是语言学</v>
      </c>
      <c r="D7" s="7" t="str">
        <f>"(日) 佐久间淳一著；范莉婷， 程茜译"</f>
        <v>(日) 佐久间淳一著；范莉婷， 程茜译</v>
      </c>
      <c r="E7" s="7" t="str">
        <f>"广东经济出版社"</f>
        <v>广东经济出版社</v>
      </c>
      <c r="F7" s="7" t="str">
        <f>"H0/457"</f>
        <v>H0/457</v>
      </c>
    </row>
    <row r="8" customHeight="1" spans="1:6">
      <c r="A8" s="6">
        <v>7</v>
      </c>
      <c r="B8" s="8" t="s">
        <v>8192</v>
      </c>
      <c r="C8" s="8" t="s">
        <v>8193</v>
      </c>
      <c r="D8" s="8" t="s">
        <v>8194</v>
      </c>
      <c r="E8" s="8" t="s">
        <v>665</v>
      </c>
      <c r="F8" s="8" t="s">
        <v>8195</v>
      </c>
    </row>
    <row r="9" customHeight="1" spans="1:6">
      <c r="A9" s="6">
        <v>8</v>
      </c>
      <c r="B9" s="8" t="s">
        <v>8192</v>
      </c>
      <c r="C9" s="8" t="s">
        <v>8193</v>
      </c>
      <c r="D9" s="8" t="s">
        <v>8194</v>
      </c>
      <c r="E9" s="8" t="s">
        <v>665</v>
      </c>
      <c r="F9" s="8" t="s">
        <v>8195</v>
      </c>
    </row>
    <row r="10" customHeight="1" spans="1:6">
      <c r="A10" s="6">
        <v>9</v>
      </c>
      <c r="B10" s="8" t="s">
        <v>8192</v>
      </c>
      <c r="C10" s="8" t="s">
        <v>8193</v>
      </c>
      <c r="D10" s="8" t="s">
        <v>8194</v>
      </c>
      <c r="E10" s="8" t="s">
        <v>665</v>
      </c>
      <c r="F10" s="8" t="s">
        <v>8195</v>
      </c>
    </row>
    <row r="11" customHeight="1" spans="1:6">
      <c r="A11" s="6">
        <v>10</v>
      </c>
      <c r="B11" s="8" t="s">
        <v>8196</v>
      </c>
      <c r="C11" s="8" t="s">
        <v>8197</v>
      </c>
      <c r="D11" s="8" t="s">
        <v>8198</v>
      </c>
      <c r="E11" s="8" t="s">
        <v>23</v>
      </c>
      <c r="F11" s="8" t="s">
        <v>8199</v>
      </c>
    </row>
    <row r="12" customHeight="1" spans="1:6">
      <c r="A12" s="6">
        <v>11</v>
      </c>
      <c r="B12" s="8" t="s">
        <v>8196</v>
      </c>
      <c r="C12" s="8" t="s">
        <v>8197</v>
      </c>
      <c r="D12" s="8" t="s">
        <v>8198</v>
      </c>
      <c r="E12" s="8" t="s">
        <v>23</v>
      </c>
      <c r="F12" s="8" t="s">
        <v>8199</v>
      </c>
    </row>
    <row r="13" customHeight="1" spans="1:6">
      <c r="A13" s="6">
        <v>12</v>
      </c>
      <c r="B13" s="8" t="s">
        <v>8200</v>
      </c>
      <c r="C13" s="8" t="s">
        <v>8201</v>
      </c>
      <c r="D13" s="8" t="s">
        <v>8202</v>
      </c>
      <c r="E13" s="8" t="s">
        <v>571</v>
      </c>
      <c r="F13" s="8" t="s">
        <v>8203</v>
      </c>
    </row>
    <row r="14" customHeight="1" spans="1:6">
      <c r="A14" s="6">
        <v>13</v>
      </c>
      <c r="B14" s="8" t="s">
        <v>8200</v>
      </c>
      <c r="C14" s="8" t="s">
        <v>8201</v>
      </c>
      <c r="D14" s="8" t="s">
        <v>8202</v>
      </c>
      <c r="E14" s="8" t="s">
        <v>571</v>
      </c>
      <c r="F14" s="8" t="s">
        <v>8203</v>
      </c>
    </row>
    <row r="15" customHeight="1" spans="1:6">
      <c r="A15" s="6">
        <v>14</v>
      </c>
      <c r="B15" s="8" t="s">
        <v>8204</v>
      </c>
      <c r="C15" s="8" t="s">
        <v>8205</v>
      </c>
      <c r="D15" s="8" t="s">
        <v>8206</v>
      </c>
      <c r="E15" s="8" t="s">
        <v>624</v>
      </c>
      <c r="F15" s="8" t="s">
        <v>8207</v>
      </c>
    </row>
    <row r="16" customHeight="1" spans="1:6">
      <c r="A16" s="6">
        <v>15</v>
      </c>
      <c r="B16" s="8" t="s">
        <v>8204</v>
      </c>
      <c r="C16" s="8" t="s">
        <v>8205</v>
      </c>
      <c r="D16" s="8" t="s">
        <v>8206</v>
      </c>
      <c r="E16" s="8" t="s">
        <v>624</v>
      </c>
      <c r="F16" s="8" t="s">
        <v>8207</v>
      </c>
    </row>
    <row r="17" customHeight="1" spans="1:6">
      <c r="A17" s="6">
        <v>16</v>
      </c>
      <c r="B17" s="8" t="s">
        <v>8208</v>
      </c>
      <c r="C17" s="8" t="s">
        <v>8209</v>
      </c>
      <c r="D17" s="8" t="s">
        <v>8210</v>
      </c>
      <c r="E17" s="8" t="s">
        <v>288</v>
      </c>
      <c r="F17" s="8" t="s">
        <v>8211</v>
      </c>
    </row>
    <row r="18" customHeight="1" spans="1:6">
      <c r="A18" s="6">
        <v>17</v>
      </c>
      <c r="B18" s="8" t="s">
        <v>8208</v>
      </c>
      <c r="C18" s="8" t="s">
        <v>8209</v>
      </c>
      <c r="D18" s="8" t="s">
        <v>8210</v>
      </c>
      <c r="E18" s="8" t="s">
        <v>288</v>
      </c>
      <c r="F18" s="8" t="s">
        <v>8211</v>
      </c>
    </row>
    <row r="19" customHeight="1" spans="1:6">
      <c r="A19" s="6">
        <v>18</v>
      </c>
      <c r="B19" s="8" t="s">
        <v>8212</v>
      </c>
      <c r="C19" s="8" t="s">
        <v>8213</v>
      </c>
      <c r="D19" s="8" t="s">
        <v>8214</v>
      </c>
      <c r="E19" s="8" t="s">
        <v>1818</v>
      </c>
      <c r="F19" s="8" t="s">
        <v>8215</v>
      </c>
    </row>
    <row r="20" customHeight="1" spans="1:6">
      <c r="A20" s="6">
        <v>19</v>
      </c>
      <c r="B20" s="8" t="s">
        <v>8212</v>
      </c>
      <c r="C20" s="8" t="s">
        <v>8213</v>
      </c>
      <c r="D20" s="8" t="s">
        <v>8214</v>
      </c>
      <c r="E20" s="8" t="s">
        <v>1818</v>
      </c>
      <c r="F20" s="8" t="s">
        <v>8215</v>
      </c>
    </row>
    <row r="21" customHeight="1" spans="1:6">
      <c r="A21" s="6">
        <v>20</v>
      </c>
      <c r="B21" s="8" t="s">
        <v>8216</v>
      </c>
      <c r="C21" s="8" t="s">
        <v>8217</v>
      </c>
      <c r="D21" s="8" t="s">
        <v>8218</v>
      </c>
      <c r="E21" s="8" t="s">
        <v>43</v>
      </c>
      <c r="F21" s="8" t="s">
        <v>8219</v>
      </c>
    </row>
    <row r="22" customHeight="1" spans="1:6">
      <c r="A22" s="6">
        <v>21</v>
      </c>
      <c r="B22" s="8" t="s">
        <v>8216</v>
      </c>
      <c r="C22" s="8" t="s">
        <v>8217</v>
      </c>
      <c r="D22" s="8" t="s">
        <v>8218</v>
      </c>
      <c r="E22" s="8" t="s">
        <v>43</v>
      </c>
      <c r="F22" s="8" t="s">
        <v>8219</v>
      </c>
    </row>
    <row r="23" customHeight="1" spans="1:6">
      <c r="A23" s="6">
        <v>22</v>
      </c>
      <c r="B23" s="8" t="s">
        <v>8220</v>
      </c>
      <c r="C23" s="8" t="s">
        <v>8221</v>
      </c>
      <c r="D23" s="8" t="s">
        <v>8222</v>
      </c>
      <c r="E23" s="8" t="s">
        <v>28</v>
      </c>
      <c r="F23" s="8" t="s">
        <v>8223</v>
      </c>
    </row>
    <row r="24" customHeight="1" spans="1:6">
      <c r="A24" s="6">
        <v>23</v>
      </c>
      <c r="B24" s="8" t="s">
        <v>8220</v>
      </c>
      <c r="C24" s="8" t="s">
        <v>8221</v>
      </c>
      <c r="D24" s="8" t="s">
        <v>8222</v>
      </c>
      <c r="E24" s="8" t="s">
        <v>28</v>
      </c>
      <c r="F24" s="8" t="s">
        <v>8223</v>
      </c>
    </row>
    <row r="25" customHeight="1" spans="1:6">
      <c r="A25" s="6">
        <v>24</v>
      </c>
      <c r="B25" s="8" t="s">
        <v>8224</v>
      </c>
      <c r="C25" s="8" t="s">
        <v>8225</v>
      </c>
      <c r="D25" s="8" t="s">
        <v>8226</v>
      </c>
      <c r="E25" s="8" t="s">
        <v>7717</v>
      </c>
      <c r="F25" s="8" t="s">
        <v>8227</v>
      </c>
    </row>
    <row r="26" customHeight="1" spans="1:6">
      <c r="A26" s="6">
        <v>25</v>
      </c>
      <c r="B26" s="8" t="s">
        <v>8224</v>
      </c>
      <c r="C26" s="8" t="s">
        <v>8225</v>
      </c>
      <c r="D26" s="8" t="s">
        <v>8226</v>
      </c>
      <c r="E26" s="8" t="s">
        <v>7717</v>
      </c>
      <c r="F26" s="8" t="s">
        <v>8227</v>
      </c>
    </row>
    <row r="27" customHeight="1" spans="1:6">
      <c r="A27" s="6">
        <v>26</v>
      </c>
      <c r="B27" s="8" t="s">
        <v>8224</v>
      </c>
      <c r="C27" s="8" t="s">
        <v>8225</v>
      </c>
      <c r="D27" s="8" t="s">
        <v>8226</v>
      </c>
      <c r="E27" s="8" t="s">
        <v>7717</v>
      </c>
      <c r="F27" s="8" t="s">
        <v>8227</v>
      </c>
    </row>
    <row r="28" customHeight="1" spans="1:6">
      <c r="A28" s="6">
        <v>27</v>
      </c>
      <c r="B28" s="8" t="s">
        <v>8228</v>
      </c>
      <c r="C28" s="8" t="s">
        <v>8229</v>
      </c>
      <c r="D28" s="8" t="s">
        <v>8230</v>
      </c>
      <c r="E28" s="8" t="s">
        <v>283</v>
      </c>
      <c r="F28" s="8" t="s">
        <v>8231</v>
      </c>
    </row>
    <row r="29" customHeight="1" spans="1:6">
      <c r="A29" s="6">
        <v>28</v>
      </c>
      <c r="B29" s="8" t="s">
        <v>8228</v>
      </c>
      <c r="C29" s="8" t="s">
        <v>8229</v>
      </c>
      <c r="D29" s="8" t="s">
        <v>8230</v>
      </c>
      <c r="E29" s="8" t="s">
        <v>283</v>
      </c>
      <c r="F29" s="8" t="s">
        <v>8231</v>
      </c>
    </row>
    <row r="30" customHeight="1" spans="1:6">
      <c r="A30" s="6">
        <v>29</v>
      </c>
      <c r="B30" s="8" t="s">
        <v>8232</v>
      </c>
      <c r="C30" s="8" t="s">
        <v>8233</v>
      </c>
      <c r="D30" s="8" t="s">
        <v>8234</v>
      </c>
      <c r="E30" s="8" t="s">
        <v>43</v>
      </c>
      <c r="F30" s="8" t="s">
        <v>8235</v>
      </c>
    </row>
    <row r="31" customHeight="1" spans="1:6">
      <c r="A31" s="6">
        <v>30</v>
      </c>
      <c r="B31" s="8" t="s">
        <v>8232</v>
      </c>
      <c r="C31" s="8" t="s">
        <v>8233</v>
      </c>
      <c r="D31" s="8" t="s">
        <v>8234</v>
      </c>
      <c r="E31" s="8" t="s">
        <v>43</v>
      </c>
      <c r="F31" s="8" t="s">
        <v>8235</v>
      </c>
    </row>
    <row r="32" customHeight="1" spans="1:6">
      <c r="A32" s="6">
        <v>31</v>
      </c>
      <c r="B32" s="8" t="s">
        <v>8236</v>
      </c>
      <c r="C32" s="8" t="s">
        <v>8237</v>
      </c>
      <c r="D32" s="8" t="s">
        <v>8238</v>
      </c>
      <c r="E32" s="8" t="s">
        <v>1872</v>
      </c>
      <c r="F32" s="8" t="s">
        <v>8239</v>
      </c>
    </row>
    <row r="33" customHeight="1" spans="1:6">
      <c r="A33" s="6">
        <v>32</v>
      </c>
      <c r="B33" s="8" t="s">
        <v>8236</v>
      </c>
      <c r="C33" s="8" t="s">
        <v>8237</v>
      </c>
      <c r="D33" s="8" t="s">
        <v>8238</v>
      </c>
      <c r="E33" s="8" t="s">
        <v>1872</v>
      </c>
      <c r="F33" s="8" t="s">
        <v>8239</v>
      </c>
    </row>
    <row r="34" customHeight="1" spans="1:6">
      <c r="A34" s="6">
        <v>33</v>
      </c>
      <c r="B34" s="8" t="s">
        <v>8240</v>
      </c>
      <c r="C34" s="8" t="s">
        <v>8241</v>
      </c>
      <c r="D34" s="8" t="s">
        <v>8242</v>
      </c>
      <c r="E34" s="8" t="s">
        <v>5000</v>
      </c>
      <c r="F34" s="8" t="s">
        <v>8243</v>
      </c>
    </row>
    <row r="35" customHeight="1" spans="1:6">
      <c r="A35" s="6">
        <v>34</v>
      </c>
      <c r="B35" s="8" t="s">
        <v>8240</v>
      </c>
      <c r="C35" s="8" t="s">
        <v>8241</v>
      </c>
      <c r="D35" s="8" t="s">
        <v>8242</v>
      </c>
      <c r="E35" s="8" t="s">
        <v>5000</v>
      </c>
      <c r="F35" s="8" t="s">
        <v>8243</v>
      </c>
    </row>
    <row r="36" customHeight="1" spans="1:6">
      <c r="A36" s="6">
        <v>35</v>
      </c>
      <c r="B36" s="8" t="s">
        <v>8244</v>
      </c>
      <c r="C36" s="8" t="s">
        <v>8245</v>
      </c>
      <c r="D36" s="8" t="s">
        <v>8246</v>
      </c>
      <c r="E36" s="8" t="s">
        <v>5098</v>
      </c>
      <c r="F36" s="8" t="s">
        <v>8247</v>
      </c>
    </row>
    <row r="37" customHeight="1" spans="1:6">
      <c r="A37" s="6">
        <v>36</v>
      </c>
      <c r="B37" s="8" t="s">
        <v>8244</v>
      </c>
      <c r="C37" s="8" t="s">
        <v>8245</v>
      </c>
      <c r="D37" s="8" t="s">
        <v>8246</v>
      </c>
      <c r="E37" s="8" t="s">
        <v>5098</v>
      </c>
      <c r="F37" s="8" t="s">
        <v>8247</v>
      </c>
    </row>
    <row r="38" customHeight="1" spans="1:6">
      <c r="A38" s="6">
        <v>37</v>
      </c>
      <c r="B38" s="8" t="s">
        <v>8248</v>
      </c>
      <c r="C38" s="8" t="s">
        <v>8249</v>
      </c>
      <c r="D38" s="8" t="s">
        <v>8250</v>
      </c>
      <c r="E38" s="8" t="s">
        <v>420</v>
      </c>
      <c r="F38" s="8" t="s">
        <v>8251</v>
      </c>
    </row>
    <row r="39" customHeight="1" spans="1:6">
      <c r="A39" s="6">
        <v>38</v>
      </c>
      <c r="B39" s="8" t="s">
        <v>8248</v>
      </c>
      <c r="C39" s="8" t="s">
        <v>8249</v>
      </c>
      <c r="D39" s="8" t="s">
        <v>8250</v>
      </c>
      <c r="E39" s="8" t="s">
        <v>420</v>
      </c>
      <c r="F39" s="8" t="s">
        <v>8251</v>
      </c>
    </row>
    <row r="40" customHeight="1" spans="1:6">
      <c r="A40" s="6">
        <v>39</v>
      </c>
      <c r="B40" s="8" t="s">
        <v>8248</v>
      </c>
      <c r="C40" s="8" t="s">
        <v>8249</v>
      </c>
      <c r="D40" s="8" t="s">
        <v>8250</v>
      </c>
      <c r="E40" s="8" t="s">
        <v>420</v>
      </c>
      <c r="F40" s="8" t="s">
        <v>8251</v>
      </c>
    </row>
    <row r="41" customHeight="1" spans="1:6">
      <c r="A41" s="6">
        <v>40</v>
      </c>
      <c r="B41" s="8" t="s">
        <v>8252</v>
      </c>
      <c r="C41" s="8" t="s">
        <v>8253</v>
      </c>
      <c r="D41" s="8" t="s">
        <v>8254</v>
      </c>
      <c r="E41" s="8" t="s">
        <v>1818</v>
      </c>
      <c r="F41" s="8" t="s">
        <v>8255</v>
      </c>
    </row>
    <row r="42" customHeight="1" spans="1:6">
      <c r="A42" s="6">
        <v>41</v>
      </c>
      <c r="B42" s="8" t="s">
        <v>8252</v>
      </c>
      <c r="C42" s="8" t="s">
        <v>8253</v>
      </c>
      <c r="D42" s="8" t="s">
        <v>8254</v>
      </c>
      <c r="E42" s="8" t="s">
        <v>1818</v>
      </c>
      <c r="F42" s="8" t="s">
        <v>8255</v>
      </c>
    </row>
    <row r="43" customHeight="1" spans="1:6">
      <c r="A43" s="6">
        <v>42</v>
      </c>
      <c r="B43" s="8" t="s">
        <v>8256</v>
      </c>
      <c r="C43" s="8" t="s">
        <v>8257</v>
      </c>
      <c r="D43" s="8" t="s">
        <v>8258</v>
      </c>
      <c r="E43" s="8" t="s">
        <v>656</v>
      </c>
      <c r="F43" s="8" t="s">
        <v>8259</v>
      </c>
    </row>
    <row r="44" customHeight="1" spans="1:6">
      <c r="A44" s="6">
        <v>43</v>
      </c>
      <c r="B44" s="8" t="s">
        <v>8256</v>
      </c>
      <c r="C44" s="8" t="s">
        <v>8257</v>
      </c>
      <c r="D44" s="8" t="s">
        <v>8258</v>
      </c>
      <c r="E44" s="8" t="s">
        <v>656</v>
      </c>
      <c r="F44" s="8" t="s">
        <v>8259</v>
      </c>
    </row>
    <row r="45" customHeight="1" spans="1:6">
      <c r="A45" s="6">
        <v>44</v>
      </c>
      <c r="B45" s="8" t="s">
        <v>8260</v>
      </c>
      <c r="C45" s="8" t="s">
        <v>8261</v>
      </c>
      <c r="D45" s="8" t="s">
        <v>8262</v>
      </c>
      <c r="E45" s="8" t="s">
        <v>1189</v>
      </c>
      <c r="F45" s="8" t="s">
        <v>8263</v>
      </c>
    </row>
    <row r="46" customHeight="1" spans="1:6">
      <c r="A46" s="6">
        <v>45</v>
      </c>
      <c r="B46" s="8" t="s">
        <v>8260</v>
      </c>
      <c r="C46" s="8" t="s">
        <v>8261</v>
      </c>
      <c r="D46" s="8" t="s">
        <v>8262</v>
      </c>
      <c r="E46" s="8" t="s">
        <v>1189</v>
      </c>
      <c r="F46" s="8" t="s">
        <v>8263</v>
      </c>
    </row>
    <row r="47" customHeight="1" spans="1:6">
      <c r="A47" s="6">
        <v>46</v>
      </c>
      <c r="B47" s="8" t="s">
        <v>8264</v>
      </c>
      <c r="C47" s="8" t="s">
        <v>8265</v>
      </c>
      <c r="D47" s="8" t="s">
        <v>8266</v>
      </c>
      <c r="E47" s="8" t="s">
        <v>311</v>
      </c>
      <c r="F47" s="8" t="s">
        <v>8267</v>
      </c>
    </row>
    <row r="48" customHeight="1" spans="1:6">
      <c r="A48" s="6">
        <v>47</v>
      </c>
      <c r="B48" s="8" t="s">
        <v>8264</v>
      </c>
      <c r="C48" s="8" t="s">
        <v>8265</v>
      </c>
      <c r="D48" s="8" t="s">
        <v>8266</v>
      </c>
      <c r="E48" s="8" t="s">
        <v>311</v>
      </c>
      <c r="F48" s="8" t="s">
        <v>8267</v>
      </c>
    </row>
    <row r="49" customHeight="1" spans="1:6">
      <c r="A49" s="6">
        <v>48</v>
      </c>
      <c r="B49" s="8" t="s">
        <v>8264</v>
      </c>
      <c r="C49" s="8" t="s">
        <v>8265</v>
      </c>
      <c r="D49" s="8" t="s">
        <v>8266</v>
      </c>
      <c r="E49" s="8" t="s">
        <v>311</v>
      </c>
      <c r="F49" s="8" t="s">
        <v>8267</v>
      </c>
    </row>
    <row r="50" customHeight="1" spans="1:6">
      <c r="A50" s="6">
        <v>49</v>
      </c>
      <c r="B50" s="8" t="s">
        <v>8268</v>
      </c>
      <c r="C50" s="8" t="s">
        <v>8269</v>
      </c>
      <c r="D50" s="8" t="s">
        <v>8270</v>
      </c>
      <c r="E50" s="8" t="s">
        <v>8271</v>
      </c>
      <c r="F50" s="8" t="s">
        <v>8272</v>
      </c>
    </row>
    <row r="51" customHeight="1" spans="1:6">
      <c r="A51" s="6">
        <v>50</v>
      </c>
      <c r="B51" s="8" t="s">
        <v>8268</v>
      </c>
      <c r="C51" s="8" t="s">
        <v>8269</v>
      </c>
      <c r="D51" s="8" t="s">
        <v>8270</v>
      </c>
      <c r="E51" s="8" t="s">
        <v>8271</v>
      </c>
      <c r="F51" s="8" t="s">
        <v>8272</v>
      </c>
    </row>
    <row r="52" customHeight="1" spans="1:6">
      <c r="A52" s="6">
        <v>51</v>
      </c>
      <c r="B52" s="8" t="s">
        <v>8268</v>
      </c>
      <c r="C52" s="8" t="s">
        <v>8269</v>
      </c>
      <c r="D52" s="8" t="s">
        <v>8270</v>
      </c>
      <c r="E52" s="8" t="s">
        <v>8271</v>
      </c>
      <c r="F52" s="8" t="s">
        <v>8272</v>
      </c>
    </row>
    <row r="53" customHeight="1" spans="1:6">
      <c r="A53" s="6">
        <v>52</v>
      </c>
      <c r="B53" s="8" t="s">
        <v>8273</v>
      </c>
      <c r="C53" s="8" t="s">
        <v>8274</v>
      </c>
      <c r="D53" s="8" t="s">
        <v>8275</v>
      </c>
      <c r="E53" s="8" t="s">
        <v>3</v>
      </c>
      <c r="F53" s="8" t="s">
        <v>8276</v>
      </c>
    </row>
    <row r="54" customHeight="1" spans="1:6">
      <c r="A54" s="6">
        <v>53</v>
      </c>
      <c r="B54" s="8" t="s">
        <v>8273</v>
      </c>
      <c r="C54" s="8" t="s">
        <v>8274</v>
      </c>
      <c r="D54" s="8" t="s">
        <v>8275</v>
      </c>
      <c r="E54" s="8" t="s">
        <v>3</v>
      </c>
      <c r="F54" s="8" t="s">
        <v>8276</v>
      </c>
    </row>
    <row r="55" customHeight="1" spans="1:6">
      <c r="A55" s="6">
        <v>54</v>
      </c>
      <c r="B55" s="8" t="s">
        <v>8277</v>
      </c>
      <c r="C55" s="8" t="s">
        <v>8278</v>
      </c>
      <c r="D55" s="8" t="s">
        <v>8279</v>
      </c>
      <c r="E55" s="8" t="s">
        <v>665</v>
      </c>
      <c r="F55" s="8" t="s">
        <v>8280</v>
      </c>
    </row>
    <row r="56" customHeight="1" spans="1:6">
      <c r="A56" s="6">
        <v>55</v>
      </c>
      <c r="B56" s="8" t="s">
        <v>8277</v>
      </c>
      <c r="C56" s="8" t="s">
        <v>8278</v>
      </c>
      <c r="D56" s="8" t="s">
        <v>8279</v>
      </c>
      <c r="E56" s="8" t="s">
        <v>665</v>
      </c>
      <c r="F56" s="8" t="s">
        <v>8280</v>
      </c>
    </row>
    <row r="57" customHeight="1" spans="1:6">
      <c r="A57" s="6">
        <v>56</v>
      </c>
      <c r="B57" s="8" t="s">
        <v>8277</v>
      </c>
      <c r="C57" s="8" t="s">
        <v>8278</v>
      </c>
      <c r="D57" s="8" t="s">
        <v>8279</v>
      </c>
      <c r="E57" s="8" t="s">
        <v>665</v>
      </c>
      <c r="F57" s="8" t="s">
        <v>8280</v>
      </c>
    </row>
    <row r="58" customHeight="1" spans="1:6">
      <c r="A58" s="6">
        <v>57</v>
      </c>
      <c r="B58" s="8" t="s">
        <v>8281</v>
      </c>
      <c r="C58" s="8" t="s">
        <v>8282</v>
      </c>
      <c r="D58" s="8" t="s">
        <v>8283</v>
      </c>
      <c r="E58" s="8" t="s">
        <v>350</v>
      </c>
      <c r="F58" s="8" t="s">
        <v>8284</v>
      </c>
    </row>
    <row r="59" customHeight="1" spans="1:6">
      <c r="A59" s="6">
        <v>58</v>
      </c>
      <c r="B59" s="8" t="s">
        <v>8281</v>
      </c>
      <c r="C59" s="8" t="s">
        <v>8282</v>
      </c>
      <c r="D59" s="8" t="s">
        <v>8283</v>
      </c>
      <c r="E59" s="8" t="s">
        <v>350</v>
      </c>
      <c r="F59" s="8" t="s">
        <v>8284</v>
      </c>
    </row>
    <row r="60" customHeight="1" spans="1:6">
      <c r="A60" s="6">
        <v>59</v>
      </c>
      <c r="B60" s="8" t="s">
        <v>8281</v>
      </c>
      <c r="C60" s="8" t="s">
        <v>8282</v>
      </c>
      <c r="D60" s="8" t="s">
        <v>8283</v>
      </c>
      <c r="E60" s="8" t="s">
        <v>350</v>
      </c>
      <c r="F60" s="8" t="s">
        <v>8284</v>
      </c>
    </row>
    <row r="61" customHeight="1" spans="1:6">
      <c r="A61" s="6">
        <v>60</v>
      </c>
      <c r="B61" s="8" t="s">
        <v>8285</v>
      </c>
      <c r="C61" s="8" t="s">
        <v>8286</v>
      </c>
      <c r="D61" s="8" t="s">
        <v>8287</v>
      </c>
      <c r="E61" s="8" t="s">
        <v>8288</v>
      </c>
      <c r="F61" s="8" t="s">
        <v>8289</v>
      </c>
    </row>
    <row r="62" customHeight="1" spans="1:6">
      <c r="A62" s="6">
        <v>61</v>
      </c>
      <c r="B62" s="8" t="s">
        <v>8285</v>
      </c>
      <c r="C62" s="8" t="s">
        <v>8286</v>
      </c>
      <c r="D62" s="8" t="s">
        <v>8287</v>
      </c>
      <c r="E62" s="8" t="s">
        <v>8288</v>
      </c>
      <c r="F62" s="8" t="s">
        <v>8289</v>
      </c>
    </row>
    <row r="63" customHeight="1" spans="1:6">
      <c r="A63" s="6">
        <v>62</v>
      </c>
      <c r="B63" s="8" t="s">
        <v>8285</v>
      </c>
      <c r="C63" s="8" t="s">
        <v>8286</v>
      </c>
      <c r="D63" s="8" t="s">
        <v>8287</v>
      </c>
      <c r="E63" s="8" t="s">
        <v>8288</v>
      </c>
      <c r="F63" s="8" t="s">
        <v>8289</v>
      </c>
    </row>
    <row r="64" customHeight="1" spans="1:6">
      <c r="A64" s="6">
        <v>63</v>
      </c>
      <c r="B64" s="7" t="str">
        <f>"978-7-306-07109-5"</f>
        <v>978-7-306-07109-5</v>
      </c>
      <c r="C64" s="7" t="str">
        <f>"说话的艺术"</f>
        <v>说话的艺术</v>
      </c>
      <c r="D64" s="7" t="str">
        <f>"汤智斌编著"</f>
        <v>汤智斌编著</v>
      </c>
      <c r="E64" s="7" t="str">
        <f>"中山大学出版社"</f>
        <v>中山大学出版社</v>
      </c>
      <c r="F64" s="7" t="str">
        <f>"H019-49/411"</f>
        <v>H019-49/411</v>
      </c>
    </row>
    <row r="65" customHeight="1" spans="1:6">
      <c r="A65" s="6">
        <v>64</v>
      </c>
      <c r="B65" s="7" t="str">
        <f>"978-7-306-07109-5"</f>
        <v>978-7-306-07109-5</v>
      </c>
      <c r="C65" s="7" t="str">
        <f>"说话的艺术"</f>
        <v>说话的艺术</v>
      </c>
      <c r="D65" s="7" t="str">
        <f>"汤智斌编著"</f>
        <v>汤智斌编著</v>
      </c>
      <c r="E65" s="7" t="str">
        <f>"中山大学出版社"</f>
        <v>中山大学出版社</v>
      </c>
      <c r="F65" s="7" t="str">
        <f>"H019-49/411"</f>
        <v>H019-49/411</v>
      </c>
    </row>
    <row r="66" customHeight="1" spans="1:6">
      <c r="A66" s="6">
        <v>65</v>
      </c>
      <c r="B66" s="8" t="s">
        <v>8290</v>
      </c>
      <c r="C66" s="8" t="s">
        <v>8291</v>
      </c>
      <c r="D66" s="8" t="s">
        <v>8292</v>
      </c>
      <c r="E66" s="8" t="s">
        <v>696</v>
      </c>
      <c r="F66" s="8" t="s">
        <v>8293</v>
      </c>
    </row>
    <row r="67" customHeight="1" spans="1:6">
      <c r="A67" s="6">
        <v>66</v>
      </c>
      <c r="B67" s="8" t="s">
        <v>8290</v>
      </c>
      <c r="C67" s="8" t="s">
        <v>8291</v>
      </c>
      <c r="D67" s="8" t="s">
        <v>8292</v>
      </c>
      <c r="E67" s="8" t="s">
        <v>696</v>
      </c>
      <c r="F67" s="8" t="s">
        <v>8293</v>
      </c>
    </row>
    <row r="68" customHeight="1" spans="1:6">
      <c r="A68" s="6">
        <v>67</v>
      </c>
      <c r="B68" s="8" t="s">
        <v>8290</v>
      </c>
      <c r="C68" s="8" t="s">
        <v>8291</v>
      </c>
      <c r="D68" s="8" t="s">
        <v>8292</v>
      </c>
      <c r="E68" s="8" t="s">
        <v>696</v>
      </c>
      <c r="F68" s="8" t="s">
        <v>8293</v>
      </c>
    </row>
    <row r="69" customHeight="1" spans="1:6">
      <c r="A69" s="6">
        <v>68</v>
      </c>
      <c r="B69" s="8" t="s">
        <v>8294</v>
      </c>
      <c r="C69" s="8" t="s">
        <v>8295</v>
      </c>
      <c r="D69" s="8" t="s">
        <v>8296</v>
      </c>
      <c r="E69" s="8" t="s">
        <v>5127</v>
      </c>
      <c r="F69" s="8" t="s">
        <v>8297</v>
      </c>
    </row>
    <row r="70" customHeight="1" spans="1:6">
      <c r="A70" s="6">
        <v>69</v>
      </c>
      <c r="B70" s="8" t="s">
        <v>8294</v>
      </c>
      <c r="C70" s="8" t="s">
        <v>8295</v>
      </c>
      <c r="D70" s="8" t="s">
        <v>8296</v>
      </c>
      <c r="E70" s="8" t="s">
        <v>5127</v>
      </c>
      <c r="F70" s="8" t="s">
        <v>8297</v>
      </c>
    </row>
    <row r="71" customHeight="1" spans="1:6">
      <c r="A71" s="6">
        <v>70</v>
      </c>
      <c r="B71" s="8" t="s">
        <v>8294</v>
      </c>
      <c r="C71" s="8" t="s">
        <v>8295</v>
      </c>
      <c r="D71" s="8" t="s">
        <v>8296</v>
      </c>
      <c r="E71" s="8" t="s">
        <v>5127</v>
      </c>
      <c r="F71" s="8" t="s">
        <v>8297</v>
      </c>
    </row>
    <row r="72" customHeight="1" spans="1:6">
      <c r="A72" s="6">
        <v>71</v>
      </c>
      <c r="B72" s="7" t="str">
        <f t="shared" ref="B72:B74" si="0">"978-7-108-05659-7"</f>
        <v>978-7-108-05659-7</v>
      </c>
      <c r="C72" s="7" t="str">
        <f t="shared" ref="C72:C74" si="1">"改变西方世界的26个字母"</f>
        <v>改变西方世界的26个字母</v>
      </c>
      <c r="D72" s="7" t="str">
        <f t="shared" ref="D72:D74" si="2">"(英) 约翰·曼著；江正文译"</f>
        <v>(英) 约翰·曼著；江正文译</v>
      </c>
      <c r="E72" s="7" t="str">
        <f t="shared" ref="E72:E74" si="3">"三联书店"</f>
        <v>三联书店</v>
      </c>
      <c r="F72" s="7" t="str">
        <f t="shared" ref="F72:F74" si="4">"H02/13=2D"</f>
        <v>H02/13=2D</v>
      </c>
    </row>
    <row r="73" customHeight="1" spans="1:6">
      <c r="A73" s="6">
        <v>72</v>
      </c>
      <c r="B73" s="7" t="str">
        <f t="shared" si="0"/>
        <v>978-7-108-05659-7</v>
      </c>
      <c r="C73" s="7" t="str">
        <f t="shared" si="1"/>
        <v>改变西方世界的26个字母</v>
      </c>
      <c r="D73" s="7" t="str">
        <f t="shared" si="2"/>
        <v>(英) 约翰·曼著；江正文译</v>
      </c>
      <c r="E73" s="7" t="str">
        <f t="shared" si="3"/>
        <v>三联书店</v>
      </c>
      <c r="F73" s="7" t="str">
        <f t="shared" si="4"/>
        <v>H02/13=2D</v>
      </c>
    </row>
    <row r="74" customHeight="1" spans="1:6">
      <c r="A74" s="6">
        <v>73</v>
      </c>
      <c r="B74" s="7" t="str">
        <f t="shared" si="0"/>
        <v>978-7-108-05659-7</v>
      </c>
      <c r="C74" s="7" t="str">
        <f t="shared" si="1"/>
        <v>改变西方世界的26个字母</v>
      </c>
      <c r="D74" s="7" t="str">
        <f t="shared" si="2"/>
        <v>(英) 约翰·曼著；江正文译</v>
      </c>
      <c r="E74" s="7" t="str">
        <f t="shared" si="3"/>
        <v>三联书店</v>
      </c>
      <c r="F74" s="7" t="str">
        <f t="shared" si="4"/>
        <v>H02/13=2D</v>
      </c>
    </row>
    <row r="75" customHeight="1" spans="1:6">
      <c r="A75" s="6">
        <v>74</v>
      </c>
      <c r="B75" s="8" t="s">
        <v>8298</v>
      </c>
      <c r="C75" s="8" t="s">
        <v>8299</v>
      </c>
      <c r="D75" s="8" t="s">
        <v>8300</v>
      </c>
      <c r="E75" s="8" t="s">
        <v>226</v>
      </c>
      <c r="F75" s="8" t="s">
        <v>8301</v>
      </c>
    </row>
    <row r="76" customHeight="1" spans="1:6">
      <c r="A76" s="6">
        <v>75</v>
      </c>
      <c r="B76" s="8" t="s">
        <v>8298</v>
      </c>
      <c r="C76" s="8" t="s">
        <v>8299</v>
      </c>
      <c r="D76" s="8" t="s">
        <v>8300</v>
      </c>
      <c r="E76" s="8" t="s">
        <v>226</v>
      </c>
      <c r="F76" s="8" t="s">
        <v>8301</v>
      </c>
    </row>
    <row r="77" customHeight="1" spans="1:6">
      <c r="A77" s="6">
        <v>76</v>
      </c>
      <c r="B77" s="8" t="s">
        <v>8298</v>
      </c>
      <c r="C77" s="8" t="s">
        <v>8299</v>
      </c>
      <c r="D77" s="8" t="s">
        <v>8300</v>
      </c>
      <c r="E77" s="8" t="s">
        <v>226</v>
      </c>
      <c r="F77" s="8" t="s">
        <v>8301</v>
      </c>
    </row>
    <row r="78" customHeight="1" spans="1:6">
      <c r="A78" s="6">
        <v>77</v>
      </c>
      <c r="B78" s="8" t="s">
        <v>8302</v>
      </c>
      <c r="C78" s="8" t="s">
        <v>8303</v>
      </c>
      <c r="D78" s="8" t="s">
        <v>8304</v>
      </c>
      <c r="E78" s="8" t="s">
        <v>571</v>
      </c>
      <c r="F78" s="8" t="s">
        <v>8305</v>
      </c>
    </row>
    <row r="79" customHeight="1" spans="1:6">
      <c r="A79" s="6">
        <v>78</v>
      </c>
      <c r="B79" s="8" t="s">
        <v>8302</v>
      </c>
      <c r="C79" s="8" t="s">
        <v>8303</v>
      </c>
      <c r="D79" s="8" t="s">
        <v>8304</v>
      </c>
      <c r="E79" s="8" t="s">
        <v>571</v>
      </c>
      <c r="F79" s="8" t="s">
        <v>8305</v>
      </c>
    </row>
    <row r="80" customHeight="1" spans="1:6">
      <c r="A80" s="6">
        <v>79</v>
      </c>
      <c r="B80" s="8" t="s">
        <v>8302</v>
      </c>
      <c r="C80" s="8" t="s">
        <v>8303</v>
      </c>
      <c r="D80" s="8" t="s">
        <v>8304</v>
      </c>
      <c r="E80" s="8" t="s">
        <v>571</v>
      </c>
      <c r="F80" s="8" t="s">
        <v>8305</v>
      </c>
    </row>
    <row r="81" customHeight="1" spans="1:6">
      <c r="A81" s="6">
        <v>80</v>
      </c>
      <c r="B81" s="7" t="str">
        <f>"978-7-5057-5050-0"</f>
        <v>978-7-5057-5050-0</v>
      </c>
      <c r="C81" s="7" t="str">
        <f>"符号密语：500个符号背后的人类文明"</f>
        <v>符号密语：500个符号背后的人类文明</v>
      </c>
      <c r="D81" s="7" t="str">
        <f>"(英) 大卫·丰塔纳著David Fontana；吴冬月译"</f>
        <v>(英) 大卫·丰塔纳著David Fontana；吴冬月译</v>
      </c>
      <c r="E81" s="7" t="str">
        <f>"中国友谊出版公司"</f>
        <v>中国友谊出版公司</v>
      </c>
      <c r="F81" s="7" t="str">
        <f>"H0-49/4"</f>
        <v>H0-49/4</v>
      </c>
    </row>
    <row r="82" customHeight="1" spans="1:6">
      <c r="A82" s="6">
        <v>81</v>
      </c>
      <c r="B82" s="7" t="str">
        <f>"978-7-5057-5050-0"</f>
        <v>978-7-5057-5050-0</v>
      </c>
      <c r="C82" s="7" t="str">
        <f>"符号密语：500个符号背后的人类文明"</f>
        <v>符号密语：500个符号背后的人类文明</v>
      </c>
      <c r="D82" s="7" t="str">
        <f>"(英) 大卫·丰塔纳著David Fontana；吴冬月译"</f>
        <v>(英) 大卫·丰塔纳著David Fontana；吴冬月译</v>
      </c>
      <c r="E82" s="7" t="str">
        <f>"中国友谊出版公司"</f>
        <v>中国友谊出版公司</v>
      </c>
      <c r="F82" s="7" t="str">
        <f>"H0-49/4"</f>
        <v>H0-49/4</v>
      </c>
    </row>
    <row r="83" customHeight="1" spans="1:6">
      <c r="A83" s="6">
        <v>82</v>
      </c>
      <c r="B83" s="8" t="s">
        <v>8306</v>
      </c>
      <c r="C83" s="8" t="s">
        <v>8307</v>
      </c>
      <c r="D83" s="8" t="s">
        <v>8308</v>
      </c>
      <c r="E83" s="8" t="s">
        <v>216</v>
      </c>
      <c r="F83" s="8" t="s">
        <v>8309</v>
      </c>
    </row>
    <row r="84" customHeight="1" spans="1:6">
      <c r="A84" s="6">
        <v>83</v>
      </c>
      <c r="B84" s="8" t="s">
        <v>8306</v>
      </c>
      <c r="C84" s="8" t="s">
        <v>8307</v>
      </c>
      <c r="D84" s="8" t="s">
        <v>8308</v>
      </c>
      <c r="E84" s="8" t="s">
        <v>216</v>
      </c>
      <c r="F84" s="8" t="s">
        <v>8309</v>
      </c>
    </row>
    <row r="85" customHeight="1" spans="1:6">
      <c r="A85" s="6">
        <v>84</v>
      </c>
      <c r="B85" s="8" t="s">
        <v>8310</v>
      </c>
      <c r="C85" s="8" t="s">
        <v>8311</v>
      </c>
      <c r="D85" s="8" t="s">
        <v>8312</v>
      </c>
      <c r="E85" s="8" t="s">
        <v>216</v>
      </c>
      <c r="F85" s="8" t="s">
        <v>8313</v>
      </c>
    </row>
    <row r="86" customHeight="1" spans="1:6">
      <c r="A86" s="6">
        <v>85</v>
      </c>
      <c r="B86" s="8" t="s">
        <v>8310</v>
      </c>
      <c r="C86" s="8" t="s">
        <v>8311</v>
      </c>
      <c r="D86" s="8" t="s">
        <v>8312</v>
      </c>
      <c r="E86" s="8" t="s">
        <v>216</v>
      </c>
      <c r="F86" s="8" t="s">
        <v>8313</v>
      </c>
    </row>
    <row r="87" customHeight="1" spans="1:6">
      <c r="A87" s="6">
        <v>86</v>
      </c>
      <c r="B87" s="8" t="s">
        <v>8314</v>
      </c>
      <c r="C87" s="8" t="s">
        <v>8315</v>
      </c>
      <c r="D87" s="8" t="s">
        <v>8316</v>
      </c>
      <c r="E87" s="8" t="s">
        <v>275</v>
      </c>
      <c r="F87" s="8" t="s">
        <v>8317</v>
      </c>
    </row>
    <row r="88" customHeight="1" spans="1:6">
      <c r="A88" s="6">
        <v>87</v>
      </c>
      <c r="B88" s="8" t="s">
        <v>8314</v>
      </c>
      <c r="C88" s="8" t="s">
        <v>8315</v>
      </c>
      <c r="D88" s="8" t="s">
        <v>8316</v>
      </c>
      <c r="E88" s="8" t="s">
        <v>275</v>
      </c>
      <c r="F88" s="8" t="s">
        <v>8317</v>
      </c>
    </row>
    <row r="89" customHeight="1" spans="1:6">
      <c r="A89" s="6">
        <v>88</v>
      </c>
      <c r="B89" s="8" t="s">
        <v>8318</v>
      </c>
      <c r="C89" s="8" t="s">
        <v>8319</v>
      </c>
      <c r="D89" s="8" t="s">
        <v>8320</v>
      </c>
      <c r="E89" s="8" t="s">
        <v>239</v>
      </c>
      <c r="F89" s="8" t="s">
        <v>8321</v>
      </c>
    </row>
    <row r="90" customHeight="1" spans="1:6">
      <c r="A90" s="6">
        <v>89</v>
      </c>
      <c r="B90" s="8" t="s">
        <v>8318</v>
      </c>
      <c r="C90" s="8" t="s">
        <v>8319</v>
      </c>
      <c r="D90" s="8" t="s">
        <v>8320</v>
      </c>
      <c r="E90" s="8" t="s">
        <v>239</v>
      </c>
      <c r="F90" s="8" t="s">
        <v>8321</v>
      </c>
    </row>
    <row r="91" customHeight="1" spans="1:6">
      <c r="A91" s="6">
        <v>90</v>
      </c>
      <c r="B91" s="8" t="s">
        <v>8318</v>
      </c>
      <c r="C91" s="8" t="s">
        <v>8319</v>
      </c>
      <c r="D91" s="8" t="s">
        <v>8320</v>
      </c>
      <c r="E91" s="8" t="s">
        <v>239</v>
      </c>
      <c r="F91" s="8" t="s">
        <v>8321</v>
      </c>
    </row>
    <row r="92" customHeight="1" spans="1:6">
      <c r="A92" s="6">
        <v>91</v>
      </c>
      <c r="B92" s="7" t="str">
        <f>"978-7-300-29454-4"</f>
        <v>978-7-300-29454-4</v>
      </c>
      <c r="C92" s="7" t="str">
        <f>"建党百年中国翻译传播研究"</f>
        <v>建党百年中国翻译传播研究</v>
      </c>
      <c r="D92" s="7" t="str">
        <f>"王建华编著"</f>
        <v>王建华编著</v>
      </c>
      <c r="E92" s="7" t="str">
        <f>"中国人民大学出版社"</f>
        <v>中国人民大学出版社</v>
      </c>
      <c r="F92" s="7" t="str">
        <f>"H059/238"</f>
        <v>H059/238</v>
      </c>
    </row>
    <row r="93" customHeight="1" spans="1:6">
      <c r="A93" s="6">
        <v>92</v>
      </c>
      <c r="B93" s="7" t="str">
        <f>"978-7-300-29454-4"</f>
        <v>978-7-300-29454-4</v>
      </c>
      <c r="C93" s="7" t="str">
        <f>"建党百年中国翻译传播研究"</f>
        <v>建党百年中国翻译传播研究</v>
      </c>
      <c r="D93" s="7" t="str">
        <f>"王建华编著"</f>
        <v>王建华编著</v>
      </c>
      <c r="E93" s="7" t="str">
        <f>"中国人民大学出版社"</f>
        <v>中国人民大学出版社</v>
      </c>
      <c r="F93" s="7" t="str">
        <f>"H059/238"</f>
        <v>H059/238</v>
      </c>
    </row>
    <row r="94" customHeight="1" spans="1:6">
      <c r="A94" s="6">
        <v>93</v>
      </c>
      <c r="B94" s="7" t="str">
        <f t="shared" ref="B94:B96" si="5">"978-7-5690-5037-0"</f>
        <v>978-7-5690-5037-0</v>
      </c>
      <c r="C94" s="7" t="str">
        <f t="shared" ref="C94:C96" si="6">"翻译理论在本科翻译教学中的应用研究"</f>
        <v>翻译理论在本科翻译教学中的应用研究</v>
      </c>
      <c r="D94" s="7" t="str">
        <f t="shared" ref="D94:D96" si="7">"李奉栖编著"</f>
        <v>李奉栖编著</v>
      </c>
      <c r="E94" s="7" t="str">
        <f t="shared" ref="E94:E96" si="8">"四川大学出版社"</f>
        <v>四川大学出版社</v>
      </c>
      <c r="F94" s="7" t="str">
        <f t="shared" ref="F94:F96" si="9">"H059/239"</f>
        <v>H059/239</v>
      </c>
    </row>
    <row r="95" customHeight="1" spans="1:6">
      <c r="A95" s="6">
        <v>94</v>
      </c>
      <c r="B95" s="7" t="str">
        <f t="shared" si="5"/>
        <v>978-7-5690-5037-0</v>
      </c>
      <c r="C95" s="7" t="str">
        <f t="shared" si="6"/>
        <v>翻译理论在本科翻译教学中的应用研究</v>
      </c>
      <c r="D95" s="7" t="str">
        <f t="shared" si="7"/>
        <v>李奉栖编著</v>
      </c>
      <c r="E95" s="7" t="str">
        <f t="shared" si="8"/>
        <v>四川大学出版社</v>
      </c>
      <c r="F95" s="7" t="str">
        <f t="shared" si="9"/>
        <v>H059/239</v>
      </c>
    </row>
    <row r="96" customHeight="1" spans="1:6">
      <c r="A96" s="6">
        <v>95</v>
      </c>
      <c r="B96" s="7" t="str">
        <f t="shared" si="5"/>
        <v>978-7-5690-5037-0</v>
      </c>
      <c r="C96" s="7" t="str">
        <f t="shared" si="6"/>
        <v>翻译理论在本科翻译教学中的应用研究</v>
      </c>
      <c r="D96" s="7" t="str">
        <f t="shared" si="7"/>
        <v>李奉栖编著</v>
      </c>
      <c r="E96" s="7" t="str">
        <f t="shared" si="8"/>
        <v>四川大学出版社</v>
      </c>
      <c r="F96" s="7" t="str">
        <f t="shared" si="9"/>
        <v>H059/239</v>
      </c>
    </row>
    <row r="97" customHeight="1" spans="1:6">
      <c r="A97" s="6">
        <v>96</v>
      </c>
      <c r="B97" s="7" t="str">
        <f t="shared" ref="B97:B99" si="10">"978-7-5638-3269-9"</f>
        <v>978-7-5638-3269-9</v>
      </c>
      <c r="C97" s="7" t="str">
        <f t="shared" ref="C97:C99" si="11">"翻译理论、技巧与实践"</f>
        <v>翻译理论、技巧与实践</v>
      </c>
      <c r="D97" s="7" t="str">
        <f t="shared" ref="D97:D99" si="12">"刘重霄主编"</f>
        <v>刘重霄主编</v>
      </c>
      <c r="E97" s="7" t="str">
        <f t="shared" ref="E97:E99" si="13">"首都经济贸易大学出版社"</f>
        <v>首都经济贸易大学出版社</v>
      </c>
      <c r="F97" s="7" t="str">
        <f t="shared" ref="F97:F99" si="14">"H059/240"</f>
        <v>H059/240</v>
      </c>
    </row>
    <row r="98" customHeight="1" spans="1:6">
      <c r="A98" s="6">
        <v>97</v>
      </c>
      <c r="B98" s="7" t="str">
        <f t="shared" si="10"/>
        <v>978-7-5638-3269-9</v>
      </c>
      <c r="C98" s="7" t="str">
        <f t="shared" si="11"/>
        <v>翻译理论、技巧与实践</v>
      </c>
      <c r="D98" s="7" t="str">
        <f t="shared" si="12"/>
        <v>刘重霄主编</v>
      </c>
      <c r="E98" s="7" t="str">
        <f t="shared" si="13"/>
        <v>首都经济贸易大学出版社</v>
      </c>
      <c r="F98" s="7" t="str">
        <f t="shared" si="14"/>
        <v>H059/240</v>
      </c>
    </row>
    <row r="99" customHeight="1" spans="1:6">
      <c r="A99" s="6">
        <v>98</v>
      </c>
      <c r="B99" s="7" t="str">
        <f t="shared" si="10"/>
        <v>978-7-5638-3269-9</v>
      </c>
      <c r="C99" s="7" t="str">
        <f t="shared" si="11"/>
        <v>翻译理论、技巧与实践</v>
      </c>
      <c r="D99" s="7" t="str">
        <f t="shared" si="12"/>
        <v>刘重霄主编</v>
      </c>
      <c r="E99" s="7" t="str">
        <f t="shared" si="13"/>
        <v>首都经济贸易大学出版社</v>
      </c>
      <c r="F99" s="7" t="str">
        <f t="shared" si="14"/>
        <v>H059/240</v>
      </c>
    </row>
    <row r="100" customHeight="1" spans="1:6">
      <c r="A100" s="6">
        <v>99</v>
      </c>
      <c r="B100" s="7" t="str">
        <f>"978-7-5001-6647-4"</f>
        <v>978-7-5001-6647-4</v>
      </c>
      <c r="C100" s="7" t="str">
        <f>"亚洲翻译文化传统"</f>
        <v>亚洲翻译文化传统</v>
      </c>
      <c r="D100" s="7" t="str">
        <f>"孔慧怡， (美) 朱迪·若林主编；马会娟， 顾泽清译"</f>
        <v>孔慧怡， (美) 朱迪·若林主编；马会娟， 顾泽清译</v>
      </c>
      <c r="E100" s="7" t="str">
        <f>"中译出版社"</f>
        <v>中译出版社</v>
      </c>
      <c r="F100" s="7" t="str">
        <f>"H059/241"</f>
        <v>H059/241</v>
      </c>
    </row>
    <row r="101" customHeight="1" spans="1:6">
      <c r="A101" s="6">
        <v>100</v>
      </c>
      <c r="B101" s="7" t="str">
        <f>"978-7-5001-6647-4"</f>
        <v>978-7-5001-6647-4</v>
      </c>
      <c r="C101" s="7" t="str">
        <f>"亚洲翻译文化传统"</f>
        <v>亚洲翻译文化传统</v>
      </c>
      <c r="D101" s="7" t="str">
        <f>"孔慧怡， (美) 朱迪·若林主编；马会娟， 顾泽清译"</f>
        <v>孔慧怡， (美) 朱迪·若林主编；马会娟， 顾泽清译</v>
      </c>
      <c r="E101" s="7" t="str">
        <f>"中译出版社"</f>
        <v>中译出版社</v>
      </c>
      <c r="F101" s="7" t="str">
        <f>"H059/241"</f>
        <v>H059/241</v>
      </c>
    </row>
    <row r="102" customHeight="1" spans="1:6">
      <c r="A102" s="6">
        <v>101</v>
      </c>
      <c r="B102" s="7" t="str">
        <f>"978-7-5564-2621-8"</f>
        <v>978-7-5564-2621-8</v>
      </c>
      <c r="C102" s="7" t="str">
        <f>"改革开放以来中国翻译研究概论：1978-2018"</f>
        <v>改革开放以来中国翻译研究概论：1978-2018</v>
      </c>
      <c r="D102" s="7" t="str">
        <f>"许钧主编；著者胡安江 ... [等]"</f>
        <v>许钧主编；著者胡安江 ... [等]</v>
      </c>
      <c r="E102" s="7" t="str">
        <f>"湖北教育出版社"</f>
        <v>湖北教育出版社</v>
      </c>
      <c r="F102" s="7" t="str">
        <f>"H059/242"</f>
        <v>H059/242</v>
      </c>
    </row>
    <row r="103" customHeight="1" spans="1:6">
      <c r="A103" s="6">
        <v>102</v>
      </c>
      <c r="B103" s="7" t="str">
        <f>"978-7-5564-2621-8"</f>
        <v>978-7-5564-2621-8</v>
      </c>
      <c r="C103" s="7" t="str">
        <f>"改革开放以来中国翻译研究概论：1978-2018"</f>
        <v>改革开放以来中国翻译研究概论：1978-2018</v>
      </c>
      <c r="D103" s="7" t="str">
        <f>"许钧主编；著者胡安江 ... [等]"</f>
        <v>许钧主编；著者胡安江 ... [等]</v>
      </c>
      <c r="E103" s="7" t="str">
        <f>"湖北教育出版社"</f>
        <v>湖北教育出版社</v>
      </c>
      <c r="F103" s="7" t="str">
        <f>"H059/242"</f>
        <v>H059/242</v>
      </c>
    </row>
    <row r="104" customHeight="1" spans="1:6">
      <c r="A104" s="6">
        <v>103</v>
      </c>
      <c r="B104" s="8" t="s">
        <v>8322</v>
      </c>
      <c r="C104" s="8" t="s">
        <v>8323</v>
      </c>
      <c r="D104" s="8" t="s">
        <v>8324</v>
      </c>
      <c r="E104" s="8" t="s">
        <v>8325</v>
      </c>
      <c r="F104" s="8" t="s">
        <v>8326</v>
      </c>
    </row>
    <row r="105" customHeight="1" spans="1:6">
      <c r="A105" s="6">
        <v>104</v>
      </c>
      <c r="B105" s="8" t="s">
        <v>8322</v>
      </c>
      <c r="C105" s="8" t="s">
        <v>8323</v>
      </c>
      <c r="D105" s="8" t="s">
        <v>8324</v>
      </c>
      <c r="E105" s="8" t="s">
        <v>8325</v>
      </c>
      <c r="F105" s="8" t="s">
        <v>8326</v>
      </c>
    </row>
    <row r="106" customHeight="1" spans="1:6">
      <c r="A106" s="6">
        <v>105</v>
      </c>
      <c r="B106" s="8" t="s">
        <v>8322</v>
      </c>
      <c r="C106" s="8" t="s">
        <v>8323</v>
      </c>
      <c r="D106" s="8" t="s">
        <v>8324</v>
      </c>
      <c r="E106" s="8" t="s">
        <v>8325</v>
      </c>
      <c r="F106" s="8" t="s">
        <v>8326</v>
      </c>
    </row>
    <row r="107" customHeight="1" spans="1:6">
      <c r="A107" s="6">
        <v>106</v>
      </c>
      <c r="B107" s="8" t="s">
        <v>8327</v>
      </c>
      <c r="C107" s="8" t="s">
        <v>8328</v>
      </c>
      <c r="D107" s="8" t="s">
        <v>8329</v>
      </c>
      <c r="E107" s="8" t="s">
        <v>571</v>
      </c>
      <c r="F107" s="8" t="s">
        <v>8330</v>
      </c>
    </row>
    <row r="108" customHeight="1" spans="1:6">
      <c r="A108" s="6">
        <v>107</v>
      </c>
      <c r="B108" s="8" t="s">
        <v>8327</v>
      </c>
      <c r="C108" s="8" t="s">
        <v>8328</v>
      </c>
      <c r="D108" s="8" t="s">
        <v>8329</v>
      </c>
      <c r="E108" s="8" t="s">
        <v>571</v>
      </c>
      <c r="F108" s="8" t="s">
        <v>8330</v>
      </c>
    </row>
    <row r="109" customHeight="1" spans="1:6">
      <c r="A109" s="6">
        <v>108</v>
      </c>
      <c r="B109" s="8" t="s">
        <v>8327</v>
      </c>
      <c r="C109" s="8" t="s">
        <v>8328</v>
      </c>
      <c r="D109" s="8" t="s">
        <v>8329</v>
      </c>
      <c r="E109" s="8" t="s">
        <v>571</v>
      </c>
      <c r="F109" s="8" t="s">
        <v>8330</v>
      </c>
    </row>
    <row r="110" customHeight="1" spans="1:6">
      <c r="A110" s="6">
        <v>109</v>
      </c>
      <c r="B110" s="8" t="s">
        <v>8331</v>
      </c>
      <c r="C110" s="8" t="s">
        <v>8332</v>
      </c>
      <c r="D110" s="8" t="s">
        <v>8333</v>
      </c>
      <c r="E110" s="8" t="s">
        <v>275</v>
      </c>
      <c r="F110" s="8" t="s">
        <v>8334</v>
      </c>
    </row>
    <row r="111" customHeight="1" spans="1:6">
      <c r="A111" s="6">
        <v>110</v>
      </c>
      <c r="B111" s="8" t="s">
        <v>8331</v>
      </c>
      <c r="C111" s="8" t="s">
        <v>8332</v>
      </c>
      <c r="D111" s="8" t="s">
        <v>8333</v>
      </c>
      <c r="E111" s="8" t="s">
        <v>275</v>
      </c>
      <c r="F111" s="8" t="s">
        <v>8334</v>
      </c>
    </row>
    <row r="112" customHeight="1" spans="1:6">
      <c r="A112" s="6">
        <v>111</v>
      </c>
      <c r="B112" s="8" t="s">
        <v>8335</v>
      </c>
      <c r="C112" s="8" t="s">
        <v>8336</v>
      </c>
      <c r="D112" s="8" t="s">
        <v>8337</v>
      </c>
      <c r="E112" s="8" t="s">
        <v>275</v>
      </c>
      <c r="F112" s="8" t="s">
        <v>8338</v>
      </c>
    </row>
    <row r="113" customHeight="1" spans="1:6">
      <c r="A113" s="6">
        <v>112</v>
      </c>
      <c r="B113" s="8" t="s">
        <v>8335</v>
      </c>
      <c r="C113" s="8" t="s">
        <v>8336</v>
      </c>
      <c r="D113" s="8" t="s">
        <v>8337</v>
      </c>
      <c r="E113" s="8" t="s">
        <v>275</v>
      </c>
      <c r="F113" s="8" t="s">
        <v>8338</v>
      </c>
    </row>
    <row r="114" customHeight="1" spans="1:6">
      <c r="A114" s="6">
        <v>113</v>
      </c>
      <c r="B114" s="8" t="s">
        <v>8335</v>
      </c>
      <c r="C114" s="8" t="s">
        <v>8336</v>
      </c>
      <c r="D114" s="8" t="s">
        <v>8337</v>
      </c>
      <c r="E114" s="8" t="s">
        <v>275</v>
      </c>
      <c r="F114" s="8" t="s">
        <v>8338</v>
      </c>
    </row>
    <row r="115" customHeight="1" spans="1:6">
      <c r="A115" s="6">
        <v>114</v>
      </c>
      <c r="B115" s="8" t="s">
        <v>8339</v>
      </c>
      <c r="C115" s="8" t="s">
        <v>8340</v>
      </c>
      <c r="D115" s="8" t="s">
        <v>1065</v>
      </c>
      <c r="E115" s="8" t="s">
        <v>23</v>
      </c>
      <c r="F115" s="8" t="s">
        <v>8341</v>
      </c>
    </row>
    <row r="116" customHeight="1" spans="1:6">
      <c r="A116" s="6">
        <v>115</v>
      </c>
      <c r="B116" s="8" t="s">
        <v>8339</v>
      </c>
      <c r="C116" s="8" t="s">
        <v>8340</v>
      </c>
      <c r="D116" s="8" t="s">
        <v>1065</v>
      </c>
      <c r="E116" s="8" t="s">
        <v>23</v>
      </c>
      <c r="F116" s="8" t="s">
        <v>8341</v>
      </c>
    </row>
    <row r="117" customHeight="1" spans="1:6">
      <c r="A117" s="6">
        <v>116</v>
      </c>
      <c r="B117" s="8" t="s">
        <v>8339</v>
      </c>
      <c r="C117" s="8" t="s">
        <v>8340</v>
      </c>
      <c r="D117" s="8" t="s">
        <v>1065</v>
      </c>
      <c r="E117" s="8" t="s">
        <v>23</v>
      </c>
      <c r="F117" s="8" t="s">
        <v>8341</v>
      </c>
    </row>
    <row r="118" customHeight="1" spans="1:6">
      <c r="A118" s="6">
        <v>117</v>
      </c>
      <c r="B118" s="8" t="s">
        <v>8342</v>
      </c>
      <c r="C118" s="8" t="s">
        <v>8343</v>
      </c>
      <c r="D118" s="8" t="s">
        <v>8344</v>
      </c>
      <c r="E118" s="8" t="s">
        <v>624</v>
      </c>
      <c r="F118" s="8" t="s">
        <v>8345</v>
      </c>
    </row>
    <row r="119" customHeight="1" spans="1:6">
      <c r="A119" s="6">
        <v>118</v>
      </c>
      <c r="B119" s="8" t="s">
        <v>8342</v>
      </c>
      <c r="C119" s="8" t="s">
        <v>8343</v>
      </c>
      <c r="D119" s="8" t="s">
        <v>8344</v>
      </c>
      <c r="E119" s="8" t="s">
        <v>624</v>
      </c>
      <c r="F119" s="8" t="s">
        <v>8345</v>
      </c>
    </row>
    <row r="120" customHeight="1" spans="1:6">
      <c r="A120" s="6">
        <v>119</v>
      </c>
      <c r="B120" s="8" t="s">
        <v>8342</v>
      </c>
      <c r="C120" s="8" t="s">
        <v>8343</v>
      </c>
      <c r="D120" s="8" t="s">
        <v>8344</v>
      </c>
      <c r="E120" s="8" t="s">
        <v>624</v>
      </c>
      <c r="F120" s="8" t="s">
        <v>8345</v>
      </c>
    </row>
    <row r="121" customHeight="1" spans="1:6">
      <c r="A121" s="6">
        <v>120</v>
      </c>
      <c r="B121" s="8" t="s">
        <v>8346</v>
      </c>
      <c r="C121" s="8" t="s">
        <v>8347</v>
      </c>
      <c r="D121" s="8" t="s">
        <v>8348</v>
      </c>
      <c r="E121" s="8" t="s">
        <v>624</v>
      </c>
      <c r="F121" s="8" t="s">
        <v>8349</v>
      </c>
    </row>
    <row r="122" customHeight="1" spans="1:6">
      <c r="A122" s="6">
        <v>121</v>
      </c>
      <c r="B122" s="8" t="s">
        <v>8346</v>
      </c>
      <c r="C122" s="8" t="s">
        <v>8347</v>
      </c>
      <c r="D122" s="8" t="s">
        <v>8348</v>
      </c>
      <c r="E122" s="8" t="s">
        <v>624</v>
      </c>
      <c r="F122" s="8" t="s">
        <v>8349</v>
      </c>
    </row>
    <row r="123" customHeight="1" spans="1:6">
      <c r="A123" s="6">
        <v>122</v>
      </c>
      <c r="B123" s="8" t="s">
        <v>8346</v>
      </c>
      <c r="C123" s="8" t="s">
        <v>8347</v>
      </c>
      <c r="D123" s="8" t="s">
        <v>8348</v>
      </c>
      <c r="E123" s="8" t="s">
        <v>624</v>
      </c>
      <c r="F123" s="8" t="s">
        <v>8349</v>
      </c>
    </row>
    <row r="124" customHeight="1" spans="1:6">
      <c r="A124" s="6">
        <v>123</v>
      </c>
      <c r="B124" s="8" t="s">
        <v>8350</v>
      </c>
      <c r="C124" s="8" t="s">
        <v>8351</v>
      </c>
      <c r="D124" s="8" t="s">
        <v>8352</v>
      </c>
      <c r="E124" s="8" t="s">
        <v>624</v>
      </c>
      <c r="F124" s="8" t="s">
        <v>8353</v>
      </c>
    </row>
    <row r="125" customHeight="1" spans="1:6">
      <c r="A125" s="6">
        <v>124</v>
      </c>
      <c r="B125" s="8" t="s">
        <v>8350</v>
      </c>
      <c r="C125" s="8" t="s">
        <v>8351</v>
      </c>
      <c r="D125" s="8" t="s">
        <v>8352</v>
      </c>
      <c r="E125" s="8" t="s">
        <v>624</v>
      </c>
      <c r="F125" s="8" t="s">
        <v>8353</v>
      </c>
    </row>
    <row r="126" customHeight="1" spans="1:6">
      <c r="A126" s="6">
        <v>125</v>
      </c>
      <c r="B126" s="8" t="s">
        <v>8350</v>
      </c>
      <c r="C126" s="8" t="s">
        <v>8351</v>
      </c>
      <c r="D126" s="8" t="s">
        <v>8352</v>
      </c>
      <c r="E126" s="8" t="s">
        <v>624</v>
      </c>
      <c r="F126" s="8" t="s">
        <v>8353</v>
      </c>
    </row>
    <row r="127" customHeight="1" spans="1:6">
      <c r="A127" s="6">
        <v>126</v>
      </c>
      <c r="B127" s="8" t="s">
        <v>8354</v>
      </c>
      <c r="C127" s="8" t="s">
        <v>8355</v>
      </c>
      <c r="D127" s="8" t="s">
        <v>8356</v>
      </c>
      <c r="E127" s="8" t="s">
        <v>2267</v>
      </c>
      <c r="F127" s="8" t="s">
        <v>8357</v>
      </c>
    </row>
    <row r="128" customHeight="1" spans="1:6">
      <c r="A128" s="6">
        <v>127</v>
      </c>
      <c r="B128" s="8" t="s">
        <v>8354</v>
      </c>
      <c r="C128" s="8" t="s">
        <v>8355</v>
      </c>
      <c r="D128" s="8" t="s">
        <v>8356</v>
      </c>
      <c r="E128" s="8" t="s">
        <v>2267</v>
      </c>
      <c r="F128" s="8" t="s">
        <v>8357</v>
      </c>
    </row>
    <row r="129" customHeight="1" spans="1:6">
      <c r="A129" s="6">
        <v>128</v>
      </c>
      <c r="B129" s="8" t="s">
        <v>8354</v>
      </c>
      <c r="C129" s="8" t="s">
        <v>8355</v>
      </c>
      <c r="D129" s="8" t="s">
        <v>8356</v>
      </c>
      <c r="E129" s="8" t="s">
        <v>2267</v>
      </c>
      <c r="F129" s="8" t="s">
        <v>8357</v>
      </c>
    </row>
    <row r="130" customHeight="1" spans="1:6">
      <c r="A130" s="6">
        <v>129</v>
      </c>
      <c r="B130" s="8" t="s">
        <v>8358</v>
      </c>
      <c r="C130" s="8" t="s">
        <v>8359</v>
      </c>
      <c r="D130" s="8" t="s">
        <v>7365</v>
      </c>
      <c r="E130" s="8" t="s">
        <v>7717</v>
      </c>
      <c r="F130" s="8" t="s">
        <v>8360</v>
      </c>
    </row>
    <row r="131" customHeight="1" spans="1:6">
      <c r="A131" s="6">
        <v>130</v>
      </c>
      <c r="B131" s="8" t="s">
        <v>8358</v>
      </c>
      <c r="C131" s="8" t="s">
        <v>8359</v>
      </c>
      <c r="D131" s="8" t="s">
        <v>7365</v>
      </c>
      <c r="E131" s="8" t="s">
        <v>7717</v>
      </c>
      <c r="F131" s="8" t="s">
        <v>8360</v>
      </c>
    </row>
    <row r="132" customHeight="1" spans="1:6">
      <c r="A132" s="6">
        <v>131</v>
      </c>
      <c r="B132" s="8" t="s">
        <v>8358</v>
      </c>
      <c r="C132" s="8" t="s">
        <v>8359</v>
      </c>
      <c r="D132" s="8" t="s">
        <v>7365</v>
      </c>
      <c r="E132" s="8" t="s">
        <v>7717</v>
      </c>
      <c r="F132" s="8" t="s">
        <v>8360</v>
      </c>
    </row>
    <row r="133" customHeight="1" spans="1:6">
      <c r="A133" s="6">
        <v>132</v>
      </c>
      <c r="B133" s="8" t="s">
        <v>8361</v>
      </c>
      <c r="C133" s="8" t="s">
        <v>8362</v>
      </c>
      <c r="D133" s="8" t="s">
        <v>7904</v>
      </c>
      <c r="E133" s="8" t="s">
        <v>2267</v>
      </c>
      <c r="F133" s="8" t="s">
        <v>8363</v>
      </c>
    </row>
    <row r="134" customHeight="1" spans="1:6">
      <c r="A134" s="6">
        <v>133</v>
      </c>
      <c r="B134" s="8" t="s">
        <v>8361</v>
      </c>
      <c r="C134" s="8" t="s">
        <v>8362</v>
      </c>
      <c r="D134" s="8" t="s">
        <v>7904</v>
      </c>
      <c r="E134" s="8" t="s">
        <v>2267</v>
      </c>
      <c r="F134" s="8" t="s">
        <v>8363</v>
      </c>
    </row>
    <row r="135" customHeight="1" spans="1:6">
      <c r="A135" s="6">
        <v>134</v>
      </c>
      <c r="B135" s="8" t="s">
        <v>8361</v>
      </c>
      <c r="C135" s="8" t="s">
        <v>8362</v>
      </c>
      <c r="D135" s="8" t="s">
        <v>7904</v>
      </c>
      <c r="E135" s="8" t="s">
        <v>2267</v>
      </c>
      <c r="F135" s="8" t="s">
        <v>8363</v>
      </c>
    </row>
    <row r="136" customHeight="1" spans="1:6">
      <c r="A136" s="6">
        <v>135</v>
      </c>
      <c r="B136" s="8" t="s">
        <v>8364</v>
      </c>
      <c r="C136" s="8" t="s">
        <v>8365</v>
      </c>
      <c r="D136" s="8" t="s">
        <v>8366</v>
      </c>
      <c r="E136" s="8" t="s">
        <v>360</v>
      </c>
      <c r="F136" s="8" t="s">
        <v>8367</v>
      </c>
    </row>
    <row r="137" customHeight="1" spans="1:6">
      <c r="A137" s="6">
        <v>136</v>
      </c>
      <c r="B137" s="8" t="s">
        <v>8364</v>
      </c>
      <c r="C137" s="8" t="s">
        <v>8365</v>
      </c>
      <c r="D137" s="8" t="s">
        <v>8366</v>
      </c>
      <c r="E137" s="8" t="s">
        <v>360</v>
      </c>
      <c r="F137" s="8" t="s">
        <v>8367</v>
      </c>
    </row>
    <row r="138" customHeight="1" spans="1:6">
      <c r="A138" s="6">
        <v>137</v>
      </c>
      <c r="B138" s="8" t="s">
        <v>8364</v>
      </c>
      <c r="C138" s="8" t="s">
        <v>8365</v>
      </c>
      <c r="D138" s="8" t="s">
        <v>8366</v>
      </c>
      <c r="E138" s="8" t="s">
        <v>360</v>
      </c>
      <c r="F138" s="8" t="s">
        <v>8367</v>
      </c>
    </row>
    <row r="139" customHeight="1" spans="1:6">
      <c r="A139" s="6">
        <v>138</v>
      </c>
      <c r="B139" s="8" t="s">
        <v>8368</v>
      </c>
      <c r="C139" s="8" t="s">
        <v>8369</v>
      </c>
      <c r="D139" s="8" t="s">
        <v>8370</v>
      </c>
      <c r="E139" s="8" t="s">
        <v>485</v>
      </c>
      <c r="F139" s="8" t="s">
        <v>8371</v>
      </c>
    </row>
    <row r="140" customHeight="1" spans="1:6">
      <c r="A140" s="6">
        <v>139</v>
      </c>
      <c r="B140" s="8" t="s">
        <v>8368</v>
      </c>
      <c r="C140" s="8" t="s">
        <v>8369</v>
      </c>
      <c r="D140" s="8" t="s">
        <v>8370</v>
      </c>
      <c r="E140" s="8" t="s">
        <v>485</v>
      </c>
      <c r="F140" s="8" t="s">
        <v>8371</v>
      </c>
    </row>
    <row r="141" customHeight="1" spans="1:6">
      <c r="A141" s="6">
        <v>140</v>
      </c>
      <c r="B141" s="8" t="s">
        <v>8368</v>
      </c>
      <c r="C141" s="8" t="s">
        <v>8369</v>
      </c>
      <c r="D141" s="8" t="s">
        <v>8370</v>
      </c>
      <c r="E141" s="8" t="s">
        <v>485</v>
      </c>
      <c r="F141" s="8" t="s">
        <v>8371</v>
      </c>
    </row>
    <row r="142" customHeight="1" spans="1:6">
      <c r="A142" s="6">
        <v>141</v>
      </c>
      <c r="B142" s="8" t="s">
        <v>8372</v>
      </c>
      <c r="C142" s="8" t="s">
        <v>8373</v>
      </c>
      <c r="D142" s="8" t="s">
        <v>8374</v>
      </c>
      <c r="E142" s="8" t="s">
        <v>3371</v>
      </c>
      <c r="F142" s="8" t="s">
        <v>8375</v>
      </c>
    </row>
    <row r="143" customHeight="1" spans="1:6">
      <c r="A143" s="6">
        <v>142</v>
      </c>
      <c r="B143" s="8" t="s">
        <v>8372</v>
      </c>
      <c r="C143" s="8" t="s">
        <v>8373</v>
      </c>
      <c r="D143" s="8" t="s">
        <v>8374</v>
      </c>
      <c r="E143" s="8" t="s">
        <v>3371</v>
      </c>
      <c r="F143" s="8" t="s">
        <v>8375</v>
      </c>
    </row>
    <row r="144" customHeight="1" spans="1:6">
      <c r="A144" s="6">
        <v>143</v>
      </c>
      <c r="B144" s="8" t="s">
        <v>8376</v>
      </c>
      <c r="C144" s="8" t="s">
        <v>8377</v>
      </c>
      <c r="D144" s="8" t="s">
        <v>8378</v>
      </c>
      <c r="E144" s="8" t="s">
        <v>1818</v>
      </c>
      <c r="F144" s="8" t="s">
        <v>8379</v>
      </c>
    </row>
    <row r="145" customHeight="1" spans="1:6">
      <c r="A145" s="6">
        <v>144</v>
      </c>
      <c r="B145" s="8" t="s">
        <v>8376</v>
      </c>
      <c r="C145" s="8" t="s">
        <v>8377</v>
      </c>
      <c r="D145" s="8" t="s">
        <v>8378</v>
      </c>
      <c r="E145" s="8" t="s">
        <v>1818</v>
      </c>
      <c r="F145" s="8" t="s">
        <v>8379</v>
      </c>
    </row>
    <row r="146" customHeight="1" spans="1:6">
      <c r="A146" s="6">
        <v>145</v>
      </c>
      <c r="B146" s="8" t="s">
        <v>8380</v>
      </c>
      <c r="C146" s="8" t="s">
        <v>8381</v>
      </c>
      <c r="D146" s="8" t="s">
        <v>8382</v>
      </c>
      <c r="E146" s="8" t="s">
        <v>8383</v>
      </c>
      <c r="F146" s="8" t="s">
        <v>8384</v>
      </c>
    </row>
    <row r="147" customHeight="1" spans="1:6">
      <c r="A147" s="6">
        <v>146</v>
      </c>
      <c r="B147" s="8" t="s">
        <v>8380</v>
      </c>
      <c r="C147" s="8" t="s">
        <v>8381</v>
      </c>
      <c r="D147" s="8" t="s">
        <v>8382</v>
      </c>
      <c r="E147" s="8" t="s">
        <v>8383</v>
      </c>
      <c r="F147" s="8" t="s">
        <v>8384</v>
      </c>
    </row>
    <row r="148" customHeight="1" spans="1:6">
      <c r="A148" s="6">
        <v>147</v>
      </c>
      <c r="B148" s="8" t="s">
        <v>8385</v>
      </c>
      <c r="C148" s="8" t="s">
        <v>8386</v>
      </c>
      <c r="D148" s="8" t="s">
        <v>8387</v>
      </c>
      <c r="E148" s="8" t="s">
        <v>754</v>
      </c>
      <c r="F148" s="8" t="s">
        <v>8388</v>
      </c>
    </row>
    <row r="149" customHeight="1" spans="1:6">
      <c r="A149" s="6">
        <v>148</v>
      </c>
      <c r="B149" s="8" t="s">
        <v>8385</v>
      </c>
      <c r="C149" s="8" t="s">
        <v>8386</v>
      </c>
      <c r="D149" s="8" t="s">
        <v>8387</v>
      </c>
      <c r="E149" s="8" t="s">
        <v>754</v>
      </c>
      <c r="F149" s="8" t="s">
        <v>8388</v>
      </c>
    </row>
    <row r="150" customHeight="1" spans="1:6">
      <c r="A150" s="6">
        <v>149</v>
      </c>
      <c r="B150" s="8" t="s">
        <v>8385</v>
      </c>
      <c r="C150" s="8" t="s">
        <v>8386</v>
      </c>
      <c r="D150" s="8" t="s">
        <v>8387</v>
      </c>
      <c r="E150" s="8" t="s">
        <v>754</v>
      </c>
      <c r="F150" s="8" t="s">
        <v>8388</v>
      </c>
    </row>
    <row r="151" customHeight="1" spans="1:6">
      <c r="A151" s="6">
        <v>150</v>
      </c>
      <c r="B151" s="7" t="str">
        <f>"978-7-01-022438-1"</f>
        <v>978-7-01-022438-1</v>
      </c>
      <c r="C151" s="7" t="str">
        <f>"中国应用语言学创新研究探索"</f>
        <v>中国应用语言学创新研究探索</v>
      </c>
      <c r="D151" s="7" t="str">
        <f>"文秋芳著"</f>
        <v>文秋芳著</v>
      </c>
      <c r="E151" s="7" t="str">
        <f>"人民出版社"</f>
        <v>人民出版社</v>
      </c>
      <c r="F151" s="7" t="str">
        <f>"H08-53/9"</f>
        <v>H08-53/9</v>
      </c>
    </row>
    <row r="152" customHeight="1" spans="1:6">
      <c r="A152" s="6">
        <v>151</v>
      </c>
      <c r="B152" s="7" t="str">
        <f>"978-7-01-022438-1"</f>
        <v>978-7-01-022438-1</v>
      </c>
      <c r="C152" s="7" t="str">
        <f>"中国应用语言学创新研究探索"</f>
        <v>中国应用语言学创新研究探索</v>
      </c>
      <c r="D152" s="7" t="str">
        <f>"文秋芳著"</f>
        <v>文秋芳著</v>
      </c>
      <c r="E152" s="7" t="str">
        <f>"人民出版社"</f>
        <v>人民出版社</v>
      </c>
      <c r="F152" s="7" t="str">
        <f>"H08-53/9"</f>
        <v>H08-53/9</v>
      </c>
    </row>
    <row r="153" customHeight="1" spans="1:6">
      <c r="A153" s="6">
        <v>152</v>
      </c>
      <c r="B153" s="7" t="str">
        <f>"978-7-5130-6510-8"</f>
        <v>978-7-5130-6510-8</v>
      </c>
      <c r="C153" s="7" t="str">
        <f>"外语课堂中的教与学"</f>
        <v>外语课堂中的教与学</v>
      </c>
      <c r="D153" s="7" t="str">
        <f>"徐锦芬著"</f>
        <v>徐锦芬著</v>
      </c>
      <c r="E153" s="7" t="str">
        <f>"知识产权出版社"</f>
        <v>知识产权出版社</v>
      </c>
      <c r="F153" s="7" t="str">
        <f>"H09/158"</f>
        <v>H09/158</v>
      </c>
    </row>
    <row r="154" customHeight="1" spans="1:6">
      <c r="A154" s="6">
        <v>153</v>
      </c>
      <c r="B154" s="7" t="str">
        <f>"978-7-5130-6510-8"</f>
        <v>978-7-5130-6510-8</v>
      </c>
      <c r="C154" s="7" t="str">
        <f>"外语课堂中的教与学"</f>
        <v>外语课堂中的教与学</v>
      </c>
      <c r="D154" s="7" t="str">
        <f>"徐锦芬著"</f>
        <v>徐锦芬著</v>
      </c>
      <c r="E154" s="7" t="str">
        <f>"知识产权出版社"</f>
        <v>知识产权出版社</v>
      </c>
      <c r="F154" s="7" t="str">
        <f>"H09/158"</f>
        <v>H09/158</v>
      </c>
    </row>
    <row r="155" customHeight="1" spans="1:6">
      <c r="A155" s="6">
        <v>154</v>
      </c>
      <c r="B155" s="8" t="s">
        <v>8389</v>
      </c>
      <c r="C155" s="8" t="s">
        <v>8390</v>
      </c>
      <c r="D155" s="8" t="s">
        <v>8391</v>
      </c>
      <c r="E155" s="8" t="s">
        <v>2418</v>
      </c>
      <c r="F155" s="8" t="s">
        <v>8392</v>
      </c>
    </row>
    <row r="156" customHeight="1" spans="1:6">
      <c r="A156" s="6">
        <v>155</v>
      </c>
      <c r="B156" s="8" t="s">
        <v>8389</v>
      </c>
      <c r="C156" s="8" t="s">
        <v>8390</v>
      </c>
      <c r="D156" s="8" t="s">
        <v>8391</v>
      </c>
      <c r="E156" s="8" t="s">
        <v>2418</v>
      </c>
      <c r="F156" s="8" t="s">
        <v>8392</v>
      </c>
    </row>
    <row r="157" customHeight="1" spans="1:6">
      <c r="A157" s="6">
        <v>156</v>
      </c>
      <c r="B157" s="8" t="s">
        <v>8389</v>
      </c>
      <c r="C157" s="8" t="s">
        <v>8390</v>
      </c>
      <c r="D157" s="8" t="s">
        <v>8391</v>
      </c>
      <c r="E157" s="8" t="s">
        <v>2418</v>
      </c>
      <c r="F157" s="8" t="s">
        <v>8392</v>
      </c>
    </row>
    <row r="158" customHeight="1" spans="1:6">
      <c r="A158" s="6">
        <v>157</v>
      </c>
      <c r="B158" s="8" t="s">
        <v>8393</v>
      </c>
      <c r="C158" s="8" t="s">
        <v>8394</v>
      </c>
      <c r="D158" s="8" t="s">
        <v>8395</v>
      </c>
      <c r="E158" s="8" t="s">
        <v>311</v>
      </c>
      <c r="F158" s="8" t="s">
        <v>8396</v>
      </c>
    </row>
    <row r="159" customHeight="1" spans="1:6">
      <c r="A159" s="6">
        <v>158</v>
      </c>
      <c r="B159" s="8" t="s">
        <v>8393</v>
      </c>
      <c r="C159" s="8" t="s">
        <v>8394</v>
      </c>
      <c r="D159" s="8" t="s">
        <v>8395</v>
      </c>
      <c r="E159" s="8" t="s">
        <v>311</v>
      </c>
      <c r="F159" s="8" t="s">
        <v>8396</v>
      </c>
    </row>
    <row r="160" customHeight="1" spans="1:6">
      <c r="A160" s="6">
        <v>159</v>
      </c>
      <c r="B160" s="8" t="s">
        <v>8397</v>
      </c>
      <c r="C160" s="8" t="s">
        <v>8398</v>
      </c>
      <c r="D160" s="8" t="s">
        <v>8399</v>
      </c>
      <c r="E160" s="8" t="s">
        <v>4495</v>
      </c>
      <c r="F160" s="8" t="s">
        <v>8400</v>
      </c>
    </row>
    <row r="161" customHeight="1" spans="1:6">
      <c r="A161" s="6">
        <v>160</v>
      </c>
      <c r="B161" s="8" t="s">
        <v>8397</v>
      </c>
      <c r="C161" s="8" t="s">
        <v>8398</v>
      </c>
      <c r="D161" s="8" t="s">
        <v>8399</v>
      </c>
      <c r="E161" s="8" t="s">
        <v>4495</v>
      </c>
      <c r="F161" s="8" t="s">
        <v>8400</v>
      </c>
    </row>
    <row r="162" customHeight="1" spans="1:6">
      <c r="A162" s="6">
        <v>161</v>
      </c>
      <c r="B162" s="8" t="s">
        <v>8397</v>
      </c>
      <c r="C162" s="8" t="s">
        <v>8398</v>
      </c>
      <c r="D162" s="8" t="s">
        <v>8399</v>
      </c>
      <c r="E162" s="8" t="s">
        <v>4495</v>
      </c>
      <c r="F162" s="8" t="s">
        <v>8400</v>
      </c>
    </row>
    <row r="163" customHeight="1" spans="1:6">
      <c r="A163" s="6">
        <v>162</v>
      </c>
      <c r="B163" s="8" t="s">
        <v>8401</v>
      </c>
      <c r="C163" s="8" t="s">
        <v>8402</v>
      </c>
      <c r="D163" s="8" t="s">
        <v>8403</v>
      </c>
      <c r="E163" s="8" t="s">
        <v>239</v>
      </c>
      <c r="F163" s="8" t="s">
        <v>8404</v>
      </c>
    </row>
    <row r="164" customHeight="1" spans="1:6">
      <c r="A164" s="6">
        <v>163</v>
      </c>
      <c r="B164" s="8" t="s">
        <v>8401</v>
      </c>
      <c r="C164" s="8" t="s">
        <v>8402</v>
      </c>
      <c r="D164" s="8" t="s">
        <v>8403</v>
      </c>
      <c r="E164" s="8" t="s">
        <v>239</v>
      </c>
      <c r="F164" s="8" t="s">
        <v>8404</v>
      </c>
    </row>
    <row r="165" customHeight="1" spans="1:6">
      <c r="A165" s="6">
        <v>164</v>
      </c>
      <c r="B165" s="8" t="s">
        <v>8401</v>
      </c>
      <c r="C165" s="8" t="s">
        <v>8402</v>
      </c>
      <c r="D165" s="8" t="s">
        <v>8403</v>
      </c>
      <c r="E165" s="8" t="s">
        <v>239</v>
      </c>
      <c r="F165" s="8" t="s">
        <v>8404</v>
      </c>
    </row>
    <row r="166" customHeight="1" spans="1:6">
      <c r="A166" s="6">
        <v>165</v>
      </c>
      <c r="B166" s="8" t="s">
        <v>8405</v>
      </c>
      <c r="C166" s="8" t="s">
        <v>8406</v>
      </c>
      <c r="D166" s="8" t="s">
        <v>8407</v>
      </c>
      <c r="E166" s="8" t="s">
        <v>7738</v>
      </c>
      <c r="F166" s="8" t="s">
        <v>8408</v>
      </c>
    </row>
    <row r="167" customHeight="1" spans="1:6">
      <c r="A167" s="6">
        <v>166</v>
      </c>
      <c r="B167" s="8" t="s">
        <v>8405</v>
      </c>
      <c r="C167" s="8" t="s">
        <v>8406</v>
      </c>
      <c r="D167" s="8" t="s">
        <v>8407</v>
      </c>
      <c r="E167" s="8" t="s">
        <v>7738</v>
      </c>
      <c r="F167" s="8" t="s">
        <v>8408</v>
      </c>
    </row>
    <row r="168" customHeight="1" spans="1:6">
      <c r="A168" s="6">
        <v>167</v>
      </c>
      <c r="B168" s="8" t="s">
        <v>8409</v>
      </c>
      <c r="C168" s="8" t="s">
        <v>8410</v>
      </c>
      <c r="D168" s="8" t="s">
        <v>8411</v>
      </c>
      <c r="E168" s="8" t="s">
        <v>385</v>
      </c>
      <c r="F168" s="8" t="s">
        <v>8412</v>
      </c>
    </row>
    <row r="169" customHeight="1" spans="1:6">
      <c r="A169" s="6">
        <v>168</v>
      </c>
      <c r="B169" s="8" t="s">
        <v>8409</v>
      </c>
      <c r="C169" s="8" t="s">
        <v>8410</v>
      </c>
      <c r="D169" s="8" t="s">
        <v>8411</v>
      </c>
      <c r="E169" s="8" t="s">
        <v>385</v>
      </c>
      <c r="F169" s="8" t="s">
        <v>8412</v>
      </c>
    </row>
    <row r="170" customHeight="1" spans="1:6">
      <c r="A170" s="6">
        <v>169</v>
      </c>
      <c r="B170" s="8" t="s">
        <v>8413</v>
      </c>
      <c r="C170" s="8" t="s">
        <v>8414</v>
      </c>
      <c r="D170" s="13"/>
      <c r="E170" s="8" t="s">
        <v>270</v>
      </c>
      <c r="F170" s="8" t="s">
        <v>8415</v>
      </c>
    </row>
    <row r="171" customHeight="1" spans="1:6">
      <c r="A171" s="6">
        <v>170</v>
      </c>
      <c r="B171" s="8" t="s">
        <v>8413</v>
      </c>
      <c r="C171" s="8" t="s">
        <v>8414</v>
      </c>
      <c r="D171" s="13"/>
      <c r="E171" s="8" t="s">
        <v>270</v>
      </c>
      <c r="F171" s="8" t="s">
        <v>8415</v>
      </c>
    </row>
    <row r="172" customHeight="1" spans="1:6">
      <c r="A172" s="6">
        <v>171</v>
      </c>
      <c r="B172" s="8" t="s">
        <v>8413</v>
      </c>
      <c r="C172" s="8" t="s">
        <v>8414</v>
      </c>
      <c r="D172" s="13"/>
      <c r="E172" s="8" t="s">
        <v>270</v>
      </c>
      <c r="F172" s="8" t="s">
        <v>8415</v>
      </c>
    </row>
    <row r="173" customHeight="1" spans="1:6">
      <c r="A173" s="6">
        <v>172</v>
      </c>
      <c r="B173" s="8" t="s">
        <v>8416</v>
      </c>
      <c r="C173" s="8" t="s">
        <v>8417</v>
      </c>
      <c r="D173" s="8" t="s">
        <v>8418</v>
      </c>
      <c r="E173" s="8" t="s">
        <v>311</v>
      </c>
      <c r="F173" s="8" t="s">
        <v>8419</v>
      </c>
    </row>
    <row r="174" customHeight="1" spans="1:6">
      <c r="A174" s="6">
        <v>173</v>
      </c>
      <c r="B174" s="8" t="s">
        <v>8416</v>
      </c>
      <c r="C174" s="8" t="s">
        <v>8417</v>
      </c>
      <c r="D174" s="8" t="s">
        <v>8418</v>
      </c>
      <c r="E174" s="8" t="s">
        <v>311</v>
      </c>
      <c r="F174" s="8" t="s">
        <v>8419</v>
      </c>
    </row>
    <row r="175" customHeight="1" spans="1:6">
      <c r="A175" s="6">
        <v>174</v>
      </c>
      <c r="B175" s="8" t="s">
        <v>8420</v>
      </c>
      <c r="C175" s="8" t="s">
        <v>8421</v>
      </c>
      <c r="D175" s="8" t="s">
        <v>8422</v>
      </c>
      <c r="E175" s="8" t="s">
        <v>1189</v>
      </c>
      <c r="F175" s="8" t="s">
        <v>8423</v>
      </c>
    </row>
    <row r="176" customHeight="1" spans="1:6">
      <c r="A176" s="6">
        <v>175</v>
      </c>
      <c r="B176" s="8" t="s">
        <v>8420</v>
      </c>
      <c r="C176" s="8" t="s">
        <v>8421</v>
      </c>
      <c r="D176" s="8" t="s">
        <v>8422</v>
      </c>
      <c r="E176" s="8" t="s">
        <v>1189</v>
      </c>
      <c r="F176" s="8" t="s">
        <v>8423</v>
      </c>
    </row>
    <row r="177" customHeight="1" spans="1:6">
      <c r="A177" s="6">
        <v>176</v>
      </c>
      <c r="B177" s="8" t="s">
        <v>8420</v>
      </c>
      <c r="C177" s="8" t="s">
        <v>8421</v>
      </c>
      <c r="D177" s="8" t="s">
        <v>8422</v>
      </c>
      <c r="E177" s="8" t="s">
        <v>1189</v>
      </c>
      <c r="F177" s="8" t="s">
        <v>8423</v>
      </c>
    </row>
    <row r="178" customHeight="1" spans="1:6">
      <c r="A178" s="6">
        <v>177</v>
      </c>
      <c r="B178" s="7" t="str">
        <f>"978-7-108-06991-7"</f>
        <v>978-7-108-06991-7</v>
      </c>
      <c r="C178" s="7" t="str">
        <f>"语文常谈"</f>
        <v>语文常谈</v>
      </c>
      <c r="D178" s="7" t="str">
        <f>"吕叔湘著"</f>
        <v>吕叔湘著</v>
      </c>
      <c r="E178" s="7" t="str">
        <f>"三联书店"</f>
        <v>三联书店</v>
      </c>
      <c r="F178" s="7" t="str">
        <f>"H1/214-2"</f>
        <v>H1/214-2</v>
      </c>
    </row>
    <row r="179" customHeight="1" spans="1:6">
      <c r="A179" s="6">
        <v>178</v>
      </c>
      <c r="B179" s="7" t="str">
        <f>"978-7-108-06991-7"</f>
        <v>978-7-108-06991-7</v>
      </c>
      <c r="C179" s="7" t="str">
        <f>"语文常谈"</f>
        <v>语文常谈</v>
      </c>
      <c r="D179" s="7" t="str">
        <f>"吕叔湘著"</f>
        <v>吕叔湘著</v>
      </c>
      <c r="E179" s="7" t="str">
        <f>"三联书店"</f>
        <v>三联书店</v>
      </c>
      <c r="F179" s="7" t="str">
        <f>"H1/214-2"</f>
        <v>H1/214-2</v>
      </c>
    </row>
    <row r="180" customHeight="1" spans="1:6">
      <c r="A180" s="6">
        <v>179</v>
      </c>
      <c r="B180" s="7" t="str">
        <f>"978-7-101-14775-9"</f>
        <v>978-7-101-14775-9</v>
      </c>
      <c r="C180" s="7" t="str">
        <f>"语文讲话"</f>
        <v>语文讲话</v>
      </c>
      <c r="D180" s="7" t="str">
        <f>"王力著"</f>
        <v>王力著</v>
      </c>
      <c r="E180" s="7" t="str">
        <f>"中华书局"</f>
        <v>中华书局</v>
      </c>
      <c r="F180" s="7" t="str">
        <f>"H1/230-2"</f>
        <v>H1/230-2</v>
      </c>
    </row>
    <row r="181" customHeight="1" spans="1:6">
      <c r="A181" s="6">
        <v>180</v>
      </c>
      <c r="B181" s="7" t="str">
        <f>"978-7-101-14775-9"</f>
        <v>978-7-101-14775-9</v>
      </c>
      <c r="C181" s="7" t="str">
        <f>"语文讲话"</f>
        <v>语文讲话</v>
      </c>
      <c r="D181" s="7" t="str">
        <f>"王力著"</f>
        <v>王力著</v>
      </c>
      <c r="E181" s="7" t="str">
        <f>"中华书局"</f>
        <v>中华书局</v>
      </c>
      <c r="F181" s="7" t="str">
        <f>"H1/230-2"</f>
        <v>H1/230-2</v>
      </c>
    </row>
    <row r="182" customHeight="1" spans="1:6">
      <c r="A182" s="6">
        <v>181</v>
      </c>
      <c r="B182" s="7" t="str">
        <f>"978-7-100-18746-6"</f>
        <v>978-7-100-18746-6</v>
      </c>
      <c r="C182" s="7" t="str">
        <f>"汉台语同源论"</f>
        <v>汉台语同源论</v>
      </c>
      <c r="D182" s="7" t="str">
        <f>"丁邦新著"</f>
        <v>丁邦新著</v>
      </c>
      <c r="E182" s="7" t="str">
        <f>"商务印书馆"</f>
        <v>商务印书馆</v>
      </c>
      <c r="F182" s="7" t="str">
        <f>"H1/285"</f>
        <v>H1/285</v>
      </c>
    </row>
    <row r="183" customHeight="1" spans="1:6">
      <c r="A183" s="6">
        <v>182</v>
      </c>
      <c r="B183" s="7" t="str">
        <f>"978-7-100-18746-6"</f>
        <v>978-7-100-18746-6</v>
      </c>
      <c r="C183" s="7" t="str">
        <f>"汉台语同源论"</f>
        <v>汉台语同源论</v>
      </c>
      <c r="D183" s="7" t="str">
        <f>"丁邦新著"</f>
        <v>丁邦新著</v>
      </c>
      <c r="E183" s="7" t="str">
        <f>"商务印书馆"</f>
        <v>商务印书馆</v>
      </c>
      <c r="F183" s="7" t="str">
        <f>"H1/285"</f>
        <v>H1/285</v>
      </c>
    </row>
    <row r="184" customHeight="1" spans="1:6">
      <c r="A184" s="6">
        <v>183</v>
      </c>
      <c r="B184" s="8" t="s">
        <v>8424</v>
      </c>
      <c r="C184" s="8" t="s">
        <v>8425</v>
      </c>
      <c r="D184" s="8" t="s">
        <v>8426</v>
      </c>
      <c r="E184" s="8" t="s">
        <v>298</v>
      </c>
      <c r="F184" s="8" t="s">
        <v>8427</v>
      </c>
    </row>
    <row r="185" customHeight="1" spans="1:6">
      <c r="A185" s="6">
        <v>184</v>
      </c>
      <c r="B185" s="8" t="s">
        <v>8424</v>
      </c>
      <c r="C185" s="8" t="s">
        <v>8425</v>
      </c>
      <c r="D185" s="8" t="s">
        <v>8426</v>
      </c>
      <c r="E185" s="8" t="s">
        <v>298</v>
      </c>
      <c r="F185" s="8" t="s">
        <v>8427</v>
      </c>
    </row>
    <row r="186" customHeight="1" spans="1:6">
      <c r="A186" s="6">
        <v>185</v>
      </c>
      <c r="B186" s="8" t="s">
        <v>8428</v>
      </c>
      <c r="C186" s="8" t="s">
        <v>8429</v>
      </c>
      <c r="D186" s="8" t="s">
        <v>8430</v>
      </c>
      <c r="E186" s="8" t="s">
        <v>5093</v>
      </c>
      <c r="F186" s="8" t="s">
        <v>8431</v>
      </c>
    </row>
    <row r="187" customHeight="1" spans="1:6">
      <c r="A187" s="6">
        <v>186</v>
      </c>
      <c r="B187" s="8" t="s">
        <v>8428</v>
      </c>
      <c r="C187" s="8" t="s">
        <v>8429</v>
      </c>
      <c r="D187" s="8" t="s">
        <v>8430</v>
      </c>
      <c r="E187" s="8" t="s">
        <v>5093</v>
      </c>
      <c r="F187" s="8" t="s">
        <v>8431</v>
      </c>
    </row>
    <row r="188" customHeight="1" spans="1:6">
      <c r="A188" s="6">
        <v>187</v>
      </c>
      <c r="B188" s="8" t="s">
        <v>8428</v>
      </c>
      <c r="C188" s="8" t="s">
        <v>8429</v>
      </c>
      <c r="D188" s="8" t="s">
        <v>8430</v>
      </c>
      <c r="E188" s="8" t="s">
        <v>5093</v>
      </c>
      <c r="F188" s="8" t="s">
        <v>8431</v>
      </c>
    </row>
    <row r="189" customHeight="1" spans="1:6">
      <c r="A189" s="6">
        <v>188</v>
      </c>
      <c r="B189" s="7" t="str">
        <f>"978-7-200-11349-5"</f>
        <v>978-7-200-11349-5</v>
      </c>
      <c r="C189" s="7" t="str">
        <f>"古代汉语常识"</f>
        <v>古代汉语常识</v>
      </c>
      <c r="D189" s="7" t="str">
        <f>"王力著"</f>
        <v>王力著</v>
      </c>
      <c r="E189" s="7" t="str">
        <f>"北京出版社"</f>
        <v>北京出版社</v>
      </c>
      <c r="F189" s="7" t="str">
        <f>"H109.2/79-2"</f>
        <v>H109.2/79-2</v>
      </c>
    </row>
    <row r="190" customHeight="1" spans="1:6">
      <c r="A190" s="6">
        <v>189</v>
      </c>
      <c r="B190" s="7" t="str">
        <f>"978-7-200-11349-5"</f>
        <v>978-7-200-11349-5</v>
      </c>
      <c r="C190" s="7" t="str">
        <f>"古代汉语常识"</f>
        <v>古代汉语常识</v>
      </c>
      <c r="D190" s="7" t="str">
        <f>"王力著"</f>
        <v>王力著</v>
      </c>
      <c r="E190" s="7" t="str">
        <f>"北京出版社"</f>
        <v>北京出版社</v>
      </c>
      <c r="F190" s="7" t="str">
        <f>"H109.2/79-2"</f>
        <v>H109.2/79-2</v>
      </c>
    </row>
    <row r="191" customHeight="1" spans="1:6">
      <c r="A191" s="6">
        <v>190</v>
      </c>
      <c r="B191" s="7" t="str">
        <f>"978-7-108-06988-7"</f>
        <v>978-7-108-06988-7</v>
      </c>
      <c r="C191" s="7" t="str">
        <f>"文言常识"</f>
        <v>文言常识</v>
      </c>
      <c r="D191" s="7" t="str">
        <f>"张中行主编"</f>
        <v>张中行主编</v>
      </c>
      <c r="E191" s="7" t="str">
        <f>"三联书店"</f>
        <v>三联书店</v>
      </c>
      <c r="F191" s="7" t="str">
        <f>"H109.2/81"</f>
        <v>H109.2/81</v>
      </c>
    </row>
    <row r="192" customHeight="1" spans="1:6">
      <c r="A192" s="6">
        <v>191</v>
      </c>
      <c r="B192" s="7" t="str">
        <f>"978-7-108-06988-7"</f>
        <v>978-7-108-06988-7</v>
      </c>
      <c r="C192" s="7" t="str">
        <f>"文言常识"</f>
        <v>文言常识</v>
      </c>
      <c r="D192" s="7" t="str">
        <f>"张中行主编"</f>
        <v>张中行主编</v>
      </c>
      <c r="E192" s="7" t="str">
        <f>"三联书店"</f>
        <v>三联书店</v>
      </c>
      <c r="F192" s="7" t="str">
        <f>"H109.2/81"</f>
        <v>H109.2/81</v>
      </c>
    </row>
    <row r="193" customHeight="1" spans="1:6">
      <c r="A193" s="6">
        <v>192</v>
      </c>
      <c r="B193" s="8" t="s">
        <v>8432</v>
      </c>
      <c r="C193" s="8" t="s">
        <v>8433</v>
      </c>
      <c r="D193" s="8" t="s">
        <v>8434</v>
      </c>
      <c r="E193" s="8" t="s">
        <v>415</v>
      </c>
      <c r="F193" s="8" t="s">
        <v>8435</v>
      </c>
    </row>
    <row r="194" customHeight="1" spans="1:6">
      <c r="A194" s="6">
        <v>193</v>
      </c>
      <c r="B194" s="8" t="s">
        <v>8432</v>
      </c>
      <c r="C194" s="8" t="s">
        <v>8433</v>
      </c>
      <c r="D194" s="8" t="s">
        <v>8434</v>
      </c>
      <c r="E194" s="8" t="s">
        <v>415</v>
      </c>
      <c r="F194" s="8" t="s">
        <v>8435</v>
      </c>
    </row>
    <row r="195" customHeight="1" spans="1:6">
      <c r="A195" s="6">
        <v>194</v>
      </c>
      <c r="B195" s="7" t="str">
        <f>"978-7-5475-1638-6"</f>
        <v>978-7-5475-1638-6</v>
      </c>
      <c r="C195" s="7" t="str">
        <f>"戰國文字形體混同現象研究"</f>
        <v>戰國文字形體混同現象研究</v>
      </c>
      <c r="D195" s="7" t="str">
        <f>"袁瑩著"</f>
        <v>袁瑩著</v>
      </c>
      <c r="E195" s="7" t="str">
        <f>"中西書局"</f>
        <v>中西書局</v>
      </c>
      <c r="F195" s="7" t="str">
        <f>"H121/34"</f>
        <v>H121/34</v>
      </c>
    </row>
    <row r="196" customHeight="1" spans="1:6">
      <c r="A196" s="6">
        <v>195</v>
      </c>
      <c r="B196" s="7" t="str">
        <f>"978-7-5475-1638-6"</f>
        <v>978-7-5475-1638-6</v>
      </c>
      <c r="C196" s="7" t="str">
        <f>"戰國文字形體混同現象研究"</f>
        <v>戰國文字形體混同現象研究</v>
      </c>
      <c r="D196" s="7" t="str">
        <f>"袁瑩著"</f>
        <v>袁瑩著</v>
      </c>
      <c r="E196" s="7" t="str">
        <f>"中西書局"</f>
        <v>中西書局</v>
      </c>
      <c r="F196" s="7" t="str">
        <f>"H121/34"</f>
        <v>H121/34</v>
      </c>
    </row>
    <row r="197" customHeight="1" spans="1:6">
      <c r="A197" s="6">
        <v>196</v>
      </c>
      <c r="B197" s="9" t="str">
        <f>"978-7-5562-5191-9"</f>
        <v>978-7-5562-5191-9</v>
      </c>
      <c r="C197" s="9" t="str">
        <f>"汉字就是这么来的．走进汉字世界"</f>
        <v>汉字就是这么来的．走进汉字世界</v>
      </c>
      <c r="D197" s="9" t="str">
        <f>"孟琢著"</f>
        <v>孟琢著</v>
      </c>
      <c r="E197" s="9" t="str">
        <f>"湖南少年儿童出版社"</f>
        <v>湖南少年儿童出版社</v>
      </c>
      <c r="F197" s="9" t="str">
        <f>"H12-49/35"</f>
        <v>H12-49/35</v>
      </c>
    </row>
    <row r="198" customHeight="1" spans="1:6">
      <c r="A198" s="6">
        <v>197</v>
      </c>
      <c r="B198" s="7" t="str">
        <f>"978-7-101-15251-7"</f>
        <v>978-7-101-15251-7</v>
      </c>
      <c r="C198" s="7" t="str">
        <f>"爾雅新注"</f>
        <v>爾雅新注</v>
      </c>
      <c r="D198" s="7" t="str">
        <f>"王建莉注"</f>
        <v>王建莉注</v>
      </c>
      <c r="E198" s="7" t="str">
        <f>"中華書局"</f>
        <v>中華書局</v>
      </c>
      <c r="F198" s="7" t="str">
        <f>"H131.2/15"</f>
        <v>H131.2/15</v>
      </c>
    </row>
    <row r="199" customHeight="1" spans="1:6">
      <c r="A199" s="6">
        <v>198</v>
      </c>
      <c r="B199" s="7" t="str">
        <f>"978-7-101-15251-7"</f>
        <v>978-7-101-15251-7</v>
      </c>
      <c r="C199" s="7" t="str">
        <f>"爾雅新注"</f>
        <v>爾雅新注</v>
      </c>
      <c r="D199" s="7" t="str">
        <f>"王建莉注"</f>
        <v>王建莉注</v>
      </c>
      <c r="E199" s="7" t="str">
        <f>"中華書局"</f>
        <v>中華書局</v>
      </c>
      <c r="F199" s="7" t="str">
        <f>"H131.2/15"</f>
        <v>H131.2/15</v>
      </c>
    </row>
    <row r="200" customHeight="1" spans="1:6">
      <c r="A200" s="6">
        <v>199</v>
      </c>
      <c r="B200" s="8" t="s">
        <v>8436</v>
      </c>
      <c r="C200" s="8" t="s">
        <v>8437</v>
      </c>
      <c r="D200" s="8" t="s">
        <v>8438</v>
      </c>
      <c r="E200" s="8" t="s">
        <v>283</v>
      </c>
      <c r="F200" s="8" t="s">
        <v>8439</v>
      </c>
    </row>
    <row r="201" customHeight="1" spans="1:6">
      <c r="A201" s="6">
        <v>200</v>
      </c>
      <c r="B201" s="8" t="s">
        <v>8436</v>
      </c>
      <c r="C201" s="8" t="s">
        <v>8437</v>
      </c>
      <c r="D201" s="8" t="s">
        <v>8438</v>
      </c>
      <c r="E201" s="8" t="s">
        <v>283</v>
      </c>
      <c r="F201" s="8" t="s">
        <v>8439</v>
      </c>
    </row>
    <row r="202" customHeight="1" spans="1:6">
      <c r="A202" s="6">
        <v>201</v>
      </c>
      <c r="B202" s="7" t="str">
        <f>"978-7-5426-7535-4"</f>
        <v>978-7-5426-7535-4</v>
      </c>
      <c r="C202" s="7" t="str">
        <f>"现代汉语附缀“是”研究"</f>
        <v>现代汉语附缀“是”研究</v>
      </c>
      <c r="D202" s="7" t="str">
        <f>"吕佩著"</f>
        <v>吕佩著</v>
      </c>
      <c r="E202" s="7" t="str">
        <f>"上海三联书店"</f>
        <v>上海三联书店</v>
      </c>
      <c r="F202" s="7" t="str">
        <f>"H146/74"</f>
        <v>H146/74</v>
      </c>
    </row>
    <row r="203" customHeight="1" spans="1:6">
      <c r="A203" s="6">
        <v>202</v>
      </c>
      <c r="B203" s="7" t="str">
        <f>"978-7-5426-7535-4"</f>
        <v>978-7-5426-7535-4</v>
      </c>
      <c r="C203" s="7" t="str">
        <f>"现代汉语附缀“是”研究"</f>
        <v>现代汉语附缀“是”研究</v>
      </c>
      <c r="D203" s="7" t="str">
        <f>"吕佩著"</f>
        <v>吕佩著</v>
      </c>
      <c r="E203" s="7" t="str">
        <f>"上海三联书店"</f>
        <v>上海三联书店</v>
      </c>
      <c r="F203" s="7" t="str">
        <f>"H146/74"</f>
        <v>H146/74</v>
      </c>
    </row>
    <row r="204" customHeight="1" spans="1:6">
      <c r="A204" s="6">
        <v>203</v>
      </c>
      <c r="B204" s="7" t="str">
        <f>"978-7-108-07012-8"</f>
        <v>978-7-108-07012-8</v>
      </c>
      <c r="C204" s="7" t="str">
        <f>"文章修养"</f>
        <v>文章修养</v>
      </c>
      <c r="D204" s="7" t="str">
        <f>"唐弢著"</f>
        <v>唐弢著</v>
      </c>
      <c r="E204" s="7" t="str">
        <f>"三联书店"</f>
        <v>三联书店</v>
      </c>
      <c r="F204" s="7" t="str">
        <f>"H15/105"</f>
        <v>H15/105</v>
      </c>
    </row>
    <row r="205" customHeight="1" spans="1:6">
      <c r="A205" s="6">
        <v>204</v>
      </c>
      <c r="B205" s="7" t="str">
        <f>"978-7-108-07012-8"</f>
        <v>978-7-108-07012-8</v>
      </c>
      <c r="C205" s="7" t="str">
        <f>"文章修养"</f>
        <v>文章修养</v>
      </c>
      <c r="D205" s="7" t="str">
        <f>"唐弢著"</f>
        <v>唐弢著</v>
      </c>
      <c r="E205" s="7" t="str">
        <f>"三联书店"</f>
        <v>三联书店</v>
      </c>
      <c r="F205" s="7" t="str">
        <f>"H15/105"</f>
        <v>H15/105</v>
      </c>
    </row>
    <row r="206" customHeight="1" spans="1:6">
      <c r="A206" s="6">
        <v>205</v>
      </c>
      <c r="B206" s="7" t="str">
        <f>"978-7-220-12286-6"</f>
        <v>978-7-220-12286-6</v>
      </c>
      <c r="C206" s="7" t="str">
        <f>"如何写出好论文"</f>
        <v>如何写出好论文</v>
      </c>
      <c r="D206" s="7" t="str">
        <f>"(英) 布莱恩·格里瑟姆著；李林波译"</f>
        <v>(英) 布莱恩·格里瑟姆著；李林波译</v>
      </c>
      <c r="E206" s="7" t="str">
        <f>"四川人民出版社"</f>
        <v>四川人民出版社</v>
      </c>
      <c r="F206" s="7" t="str">
        <f>"H152.2/51"</f>
        <v>H152.2/51</v>
      </c>
    </row>
    <row r="207" customHeight="1" spans="1:6">
      <c r="A207" s="6">
        <v>206</v>
      </c>
      <c r="B207" s="7" t="str">
        <f>"978-7-220-12286-6"</f>
        <v>978-7-220-12286-6</v>
      </c>
      <c r="C207" s="7" t="str">
        <f>"如何写出好论文"</f>
        <v>如何写出好论文</v>
      </c>
      <c r="D207" s="7" t="str">
        <f>"(英) 布莱恩·格里瑟姆著；李林波译"</f>
        <v>(英) 布莱恩·格里瑟姆著；李林波译</v>
      </c>
      <c r="E207" s="7" t="str">
        <f>"四川人民出版社"</f>
        <v>四川人民出版社</v>
      </c>
      <c r="F207" s="7" t="str">
        <f>"H152.2/51"</f>
        <v>H152.2/51</v>
      </c>
    </row>
    <row r="208" customHeight="1" spans="1:6">
      <c r="A208" s="6">
        <v>207</v>
      </c>
      <c r="B208" s="7" t="str">
        <f>"978-7-5635-6362-3"</f>
        <v>978-7-5635-6362-3</v>
      </c>
      <c r="C208" s="7" t="str">
        <f>"SSCI期刊学术论文写作指南"</f>
        <v>SSCI期刊学术论文写作指南</v>
      </c>
      <c r="D208" s="7" t="str">
        <f>"葛子刚编著"</f>
        <v>葛子刚编著</v>
      </c>
      <c r="E208" s="7" t="str">
        <f>"北京邮电大学出版社"</f>
        <v>北京邮电大学出版社</v>
      </c>
      <c r="F208" s="7" t="str">
        <f>"H152.2-62/3"</f>
        <v>H152.2-62/3</v>
      </c>
    </row>
    <row r="209" customHeight="1" spans="1:6">
      <c r="A209" s="6">
        <v>208</v>
      </c>
      <c r="B209" s="7" t="str">
        <f>"978-7-5635-6362-3"</f>
        <v>978-7-5635-6362-3</v>
      </c>
      <c r="C209" s="7" t="str">
        <f>"SSCI期刊学术论文写作指南"</f>
        <v>SSCI期刊学术论文写作指南</v>
      </c>
      <c r="D209" s="7" t="str">
        <f>"葛子刚编著"</f>
        <v>葛子刚编著</v>
      </c>
      <c r="E209" s="7" t="str">
        <f>"北京邮电大学出版社"</f>
        <v>北京邮电大学出版社</v>
      </c>
      <c r="F209" s="7" t="str">
        <f>"H152.2-62/3"</f>
        <v>H152.2-62/3</v>
      </c>
    </row>
    <row r="210" customHeight="1" spans="1:6">
      <c r="A210" s="6">
        <v>209</v>
      </c>
      <c r="B210" s="8" t="s">
        <v>8440</v>
      </c>
      <c r="C210" s="8" t="s">
        <v>8441</v>
      </c>
      <c r="D210" s="8" t="s">
        <v>8442</v>
      </c>
      <c r="E210" s="8" t="s">
        <v>216</v>
      </c>
      <c r="F210" s="8" t="s">
        <v>8443</v>
      </c>
    </row>
    <row r="211" customHeight="1" spans="1:6">
      <c r="A211" s="6">
        <v>210</v>
      </c>
      <c r="B211" s="8" t="s">
        <v>8440</v>
      </c>
      <c r="C211" s="8" t="s">
        <v>8441</v>
      </c>
      <c r="D211" s="8" t="s">
        <v>8442</v>
      </c>
      <c r="E211" s="8" t="s">
        <v>216</v>
      </c>
      <c r="F211" s="8" t="s">
        <v>8443</v>
      </c>
    </row>
    <row r="212" customHeight="1" spans="1:6">
      <c r="A212" s="6">
        <v>211</v>
      </c>
      <c r="B212" s="8" t="s">
        <v>8440</v>
      </c>
      <c r="C212" s="8" t="s">
        <v>8441</v>
      </c>
      <c r="D212" s="8" t="s">
        <v>8442</v>
      </c>
      <c r="E212" s="8" t="s">
        <v>216</v>
      </c>
      <c r="F212" s="8" t="s">
        <v>8443</v>
      </c>
    </row>
    <row r="213" customHeight="1" spans="1:6">
      <c r="A213" s="6">
        <v>212</v>
      </c>
      <c r="B213" s="8" t="s">
        <v>8444</v>
      </c>
      <c r="C213" s="8" t="s">
        <v>8445</v>
      </c>
      <c r="D213" s="8" t="s">
        <v>8446</v>
      </c>
      <c r="E213" s="8" t="s">
        <v>7738</v>
      </c>
      <c r="F213" s="8" t="s">
        <v>8447</v>
      </c>
    </row>
    <row r="214" customHeight="1" spans="1:6">
      <c r="A214" s="6">
        <v>213</v>
      </c>
      <c r="B214" s="8" t="s">
        <v>8444</v>
      </c>
      <c r="C214" s="8" t="s">
        <v>8445</v>
      </c>
      <c r="D214" s="8" t="s">
        <v>8446</v>
      </c>
      <c r="E214" s="8" t="s">
        <v>7738</v>
      </c>
      <c r="F214" s="8" t="s">
        <v>8447</v>
      </c>
    </row>
    <row r="215" customHeight="1" spans="1:6">
      <c r="A215" s="6">
        <v>214</v>
      </c>
      <c r="B215" s="8" t="s">
        <v>8444</v>
      </c>
      <c r="C215" s="8" t="s">
        <v>8445</v>
      </c>
      <c r="D215" s="8" t="s">
        <v>8446</v>
      </c>
      <c r="E215" s="8" t="s">
        <v>7738</v>
      </c>
      <c r="F215" s="8" t="s">
        <v>8447</v>
      </c>
    </row>
    <row r="216" customHeight="1" spans="1:6">
      <c r="A216" s="6">
        <v>215</v>
      </c>
      <c r="B216" s="8" t="s">
        <v>8448</v>
      </c>
      <c r="C216" s="8" t="s">
        <v>8449</v>
      </c>
      <c r="D216" s="8" t="s">
        <v>8450</v>
      </c>
      <c r="E216" s="8" t="s">
        <v>360</v>
      </c>
      <c r="F216" s="8" t="s">
        <v>8451</v>
      </c>
    </row>
    <row r="217" customHeight="1" spans="1:6">
      <c r="A217" s="6">
        <v>216</v>
      </c>
      <c r="B217" s="8" t="s">
        <v>8448</v>
      </c>
      <c r="C217" s="8" t="s">
        <v>8449</v>
      </c>
      <c r="D217" s="8" t="s">
        <v>8450</v>
      </c>
      <c r="E217" s="8" t="s">
        <v>360</v>
      </c>
      <c r="F217" s="8" t="s">
        <v>8451</v>
      </c>
    </row>
    <row r="218" customHeight="1" spans="1:6">
      <c r="A218" s="6">
        <v>217</v>
      </c>
      <c r="B218" s="8" t="s">
        <v>8452</v>
      </c>
      <c r="C218" s="8" t="s">
        <v>8453</v>
      </c>
      <c r="D218" s="8" t="s">
        <v>8454</v>
      </c>
      <c r="E218" s="8" t="s">
        <v>701</v>
      </c>
      <c r="F218" s="8" t="s">
        <v>8455</v>
      </c>
    </row>
    <row r="219" customHeight="1" spans="1:6">
      <c r="A219" s="6">
        <v>218</v>
      </c>
      <c r="B219" s="8" t="s">
        <v>8452</v>
      </c>
      <c r="C219" s="8" t="s">
        <v>8453</v>
      </c>
      <c r="D219" s="8" t="s">
        <v>8454</v>
      </c>
      <c r="E219" s="8" t="s">
        <v>701</v>
      </c>
      <c r="F219" s="8" t="s">
        <v>8455</v>
      </c>
    </row>
    <row r="220" customHeight="1" spans="1:6">
      <c r="A220" s="6">
        <v>219</v>
      </c>
      <c r="B220" s="8" t="s">
        <v>8452</v>
      </c>
      <c r="C220" s="8" t="s">
        <v>8453</v>
      </c>
      <c r="D220" s="8" t="s">
        <v>8454</v>
      </c>
      <c r="E220" s="8" t="s">
        <v>701</v>
      </c>
      <c r="F220" s="8" t="s">
        <v>8455</v>
      </c>
    </row>
    <row r="221" customHeight="1" spans="1:6">
      <c r="A221" s="6">
        <v>220</v>
      </c>
      <c r="B221" s="8" t="s">
        <v>8456</v>
      </c>
      <c r="C221" s="8" t="s">
        <v>8457</v>
      </c>
      <c r="D221" s="8" t="s">
        <v>8458</v>
      </c>
      <c r="E221" s="8" t="s">
        <v>239</v>
      </c>
      <c r="F221" s="8" t="s">
        <v>8459</v>
      </c>
    </row>
    <row r="222" customHeight="1" spans="1:6">
      <c r="A222" s="6">
        <v>221</v>
      </c>
      <c r="B222" s="8" t="s">
        <v>8456</v>
      </c>
      <c r="C222" s="8" t="s">
        <v>8457</v>
      </c>
      <c r="D222" s="8" t="s">
        <v>8458</v>
      </c>
      <c r="E222" s="8" t="s">
        <v>239</v>
      </c>
      <c r="F222" s="8" t="s">
        <v>8459</v>
      </c>
    </row>
    <row r="223" customHeight="1" spans="1:6">
      <c r="A223" s="6">
        <v>222</v>
      </c>
      <c r="B223" s="8" t="s">
        <v>8460</v>
      </c>
      <c r="C223" s="8" t="s">
        <v>8461</v>
      </c>
      <c r="D223" s="8" t="s">
        <v>8462</v>
      </c>
      <c r="E223" s="8" t="s">
        <v>8463</v>
      </c>
      <c r="F223" s="8" t="s">
        <v>8464</v>
      </c>
    </row>
    <row r="224" customHeight="1" spans="1:6">
      <c r="A224" s="6">
        <v>223</v>
      </c>
      <c r="B224" s="8" t="s">
        <v>8460</v>
      </c>
      <c r="C224" s="8" t="s">
        <v>8461</v>
      </c>
      <c r="D224" s="8" t="s">
        <v>8462</v>
      </c>
      <c r="E224" s="8" t="s">
        <v>8463</v>
      </c>
      <c r="F224" s="8" t="s">
        <v>8464</v>
      </c>
    </row>
    <row r="225" customHeight="1" spans="1:6">
      <c r="A225" s="6">
        <v>224</v>
      </c>
      <c r="B225" s="8" t="s">
        <v>8465</v>
      </c>
      <c r="C225" s="8" t="s">
        <v>8466</v>
      </c>
      <c r="D225" s="8" t="s">
        <v>8467</v>
      </c>
      <c r="E225" s="8" t="s">
        <v>239</v>
      </c>
      <c r="F225" s="8" t="s">
        <v>8468</v>
      </c>
    </row>
    <row r="226" customHeight="1" spans="1:6">
      <c r="A226" s="6">
        <v>225</v>
      </c>
      <c r="B226" s="8" t="s">
        <v>8465</v>
      </c>
      <c r="C226" s="8" t="s">
        <v>8466</v>
      </c>
      <c r="D226" s="8" t="s">
        <v>8467</v>
      </c>
      <c r="E226" s="8" t="s">
        <v>239</v>
      </c>
      <c r="F226" s="8" t="s">
        <v>8468</v>
      </c>
    </row>
    <row r="227" customHeight="1" spans="1:6">
      <c r="A227" s="6">
        <v>226</v>
      </c>
      <c r="B227" s="8" t="s">
        <v>8465</v>
      </c>
      <c r="C227" s="8" t="s">
        <v>8466</v>
      </c>
      <c r="D227" s="8" t="s">
        <v>8467</v>
      </c>
      <c r="E227" s="8" t="s">
        <v>239</v>
      </c>
      <c r="F227" s="8" t="s">
        <v>8468</v>
      </c>
    </row>
    <row r="228" customHeight="1" spans="1:6">
      <c r="A228" s="6">
        <v>227</v>
      </c>
      <c r="B228" s="8" t="s">
        <v>8469</v>
      </c>
      <c r="C228" s="8" t="s">
        <v>8470</v>
      </c>
      <c r="D228" s="8" t="s">
        <v>8471</v>
      </c>
      <c r="E228" s="8" t="s">
        <v>8472</v>
      </c>
      <c r="F228" s="8" t="s">
        <v>8473</v>
      </c>
    </row>
    <row r="229" customHeight="1" spans="1:6">
      <c r="A229" s="6">
        <v>228</v>
      </c>
      <c r="B229" s="8" t="s">
        <v>8469</v>
      </c>
      <c r="C229" s="8" t="s">
        <v>8470</v>
      </c>
      <c r="D229" s="8" t="s">
        <v>8471</v>
      </c>
      <c r="E229" s="8" t="s">
        <v>8472</v>
      </c>
      <c r="F229" s="8" t="s">
        <v>8473</v>
      </c>
    </row>
    <row r="230" customHeight="1" spans="1:6">
      <c r="A230" s="6">
        <v>229</v>
      </c>
      <c r="B230" s="8" t="s">
        <v>8469</v>
      </c>
      <c r="C230" s="8" t="s">
        <v>8470</v>
      </c>
      <c r="D230" s="8" t="s">
        <v>8471</v>
      </c>
      <c r="E230" s="8" t="s">
        <v>8472</v>
      </c>
      <c r="F230" s="8" t="s">
        <v>8473</v>
      </c>
    </row>
    <row r="231" customHeight="1" spans="1:6">
      <c r="A231" s="6">
        <v>230</v>
      </c>
      <c r="B231" s="8" t="s">
        <v>8474</v>
      </c>
      <c r="C231" s="8" t="s">
        <v>8475</v>
      </c>
      <c r="D231" s="8" t="s">
        <v>8476</v>
      </c>
      <c r="E231" s="8" t="s">
        <v>1636</v>
      </c>
      <c r="F231" s="8" t="s">
        <v>8477</v>
      </c>
    </row>
    <row r="232" customHeight="1" spans="1:6">
      <c r="A232" s="6">
        <v>231</v>
      </c>
      <c r="B232" s="8" t="s">
        <v>8474</v>
      </c>
      <c r="C232" s="8" t="s">
        <v>8475</v>
      </c>
      <c r="D232" s="8" t="s">
        <v>8476</v>
      </c>
      <c r="E232" s="8" t="s">
        <v>1636</v>
      </c>
      <c r="F232" s="8" t="s">
        <v>8477</v>
      </c>
    </row>
    <row r="233" customHeight="1" spans="1:6">
      <c r="A233" s="6">
        <v>232</v>
      </c>
      <c r="B233" s="8" t="s">
        <v>8474</v>
      </c>
      <c r="C233" s="8" t="s">
        <v>8475</v>
      </c>
      <c r="D233" s="8" t="s">
        <v>8476</v>
      </c>
      <c r="E233" s="8" t="s">
        <v>1636</v>
      </c>
      <c r="F233" s="8" t="s">
        <v>8477</v>
      </c>
    </row>
    <row r="234" customHeight="1" spans="1:6">
      <c r="A234" s="6">
        <v>233</v>
      </c>
      <c r="B234" s="8" t="s">
        <v>8478</v>
      </c>
      <c r="C234" s="8" t="s">
        <v>8479</v>
      </c>
      <c r="D234" s="8" t="s">
        <v>8480</v>
      </c>
      <c r="E234" s="8" t="s">
        <v>270</v>
      </c>
      <c r="F234" s="8" t="s">
        <v>8481</v>
      </c>
    </row>
    <row r="235" customHeight="1" spans="1:6">
      <c r="A235" s="6">
        <v>234</v>
      </c>
      <c r="B235" s="8" t="s">
        <v>8478</v>
      </c>
      <c r="C235" s="8" t="s">
        <v>8479</v>
      </c>
      <c r="D235" s="8" t="s">
        <v>8480</v>
      </c>
      <c r="E235" s="8" t="s">
        <v>270</v>
      </c>
      <c r="F235" s="8" t="s">
        <v>8481</v>
      </c>
    </row>
    <row r="236" customHeight="1" spans="1:6">
      <c r="A236" s="6">
        <v>235</v>
      </c>
      <c r="B236" s="8" t="s">
        <v>8482</v>
      </c>
      <c r="C236" s="8" t="s">
        <v>8483</v>
      </c>
      <c r="D236" s="8" t="s">
        <v>8484</v>
      </c>
      <c r="E236" s="8" t="s">
        <v>8002</v>
      </c>
      <c r="F236" s="8" t="s">
        <v>8485</v>
      </c>
    </row>
    <row r="237" customHeight="1" spans="1:6">
      <c r="A237" s="6">
        <v>236</v>
      </c>
      <c r="B237" s="8" t="s">
        <v>8482</v>
      </c>
      <c r="C237" s="8" t="s">
        <v>8483</v>
      </c>
      <c r="D237" s="8" t="s">
        <v>8484</v>
      </c>
      <c r="E237" s="8" t="s">
        <v>8002</v>
      </c>
      <c r="F237" s="8" t="s">
        <v>8485</v>
      </c>
    </row>
    <row r="238" customHeight="1" spans="1:6">
      <c r="A238" s="6">
        <v>237</v>
      </c>
      <c r="B238" s="8" t="s">
        <v>8482</v>
      </c>
      <c r="C238" s="8" t="s">
        <v>8483</v>
      </c>
      <c r="D238" s="8" t="s">
        <v>8484</v>
      </c>
      <c r="E238" s="8" t="s">
        <v>8002</v>
      </c>
      <c r="F238" s="8" t="s">
        <v>8485</v>
      </c>
    </row>
    <row r="239" customHeight="1" spans="1:6">
      <c r="A239" s="6">
        <v>238</v>
      </c>
      <c r="B239" s="8" t="s">
        <v>8486</v>
      </c>
      <c r="C239" s="8" t="s">
        <v>8487</v>
      </c>
      <c r="D239" s="8" t="s">
        <v>8488</v>
      </c>
      <c r="E239" s="8" t="s">
        <v>2358</v>
      </c>
      <c r="F239" s="8" t="s">
        <v>8489</v>
      </c>
    </row>
    <row r="240" customHeight="1" spans="1:6">
      <c r="A240" s="6">
        <v>239</v>
      </c>
      <c r="B240" s="8" t="s">
        <v>8486</v>
      </c>
      <c r="C240" s="8" t="s">
        <v>8487</v>
      </c>
      <c r="D240" s="8" t="s">
        <v>8488</v>
      </c>
      <c r="E240" s="8" t="s">
        <v>2358</v>
      </c>
      <c r="F240" s="8" t="s">
        <v>8489</v>
      </c>
    </row>
    <row r="241" customHeight="1" spans="1:6">
      <c r="A241" s="6">
        <v>240</v>
      </c>
      <c r="B241" s="8" t="s">
        <v>8486</v>
      </c>
      <c r="C241" s="8" t="s">
        <v>8487</v>
      </c>
      <c r="D241" s="8" t="s">
        <v>8488</v>
      </c>
      <c r="E241" s="8" t="s">
        <v>2358</v>
      </c>
      <c r="F241" s="8" t="s">
        <v>8489</v>
      </c>
    </row>
    <row r="242" customHeight="1" spans="1:6">
      <c r="A242" s="6">
        <v>241</v>
      </c>
      <c r="B242" s="8" t="s">
        <v>8490</v>
      </c>
      <c r="C242" s="8" t="s">
        <v>8491</v>
      </c>
      <c r="D242" s="8" t="s">
        <v>8492</v>
      </c>
      <c r="E242" s="8" t="s">
        <v>216</v>
      </c>
      <c r="F242" s="8" t="s">
        <v>8493</v>
      </c>
    </row>
    <row r="243" customHeight="1" spans="1:6">
      <c r="A243" s="6">
        <v>242</v>
      </c>
      <c r="B243" s="8" t="s">
        <v>8490</v>
      </c>
      <c r="C243" s="8" t="s">
        <v>8491</v>
      </c>
      <c r="D243" s="8" t="s">
        <v>8492</v>
      </c>
      <c r="E243" s="8" t="s">
        <v>216</v>
      </c>
      <c r="F243" s="8" t="s">
        <v>8493</v>
      </c>
    </row>
    <row r="244" customHeight="1" spans="1:6">
      <c r="A244" s="6">
        <v>243</v>
      </c>
      <c r="B244" s="8" t="s">
        <v>8490</v>
      </c>
      <c r="C244" s="8" t="s">
        <v>8491</v>
      </c>
      <c r="D244" s="8" t="s">
        <v>8492</v>
      </c>
      <c r="E244" s="8" t="s">
        <v>216</v>
      </c>
      <c r="F244" s="8" t="s">
        <v>8493</v>
      </c>
    </row>
    <row r="245" customHeight="1" spans="1:6">
      <c r="A245" s="6">
        <v>244</v>
      </c>
      <c r="B245" s="8" t="s">
        <v>8494</v>
      </c>
      <c r="C245" s="8" t="s">
        <v>8495</v>
      </c>
      <c r="D245" s="8" t="s">
        <v>8496</v>
      </c>
      <c r="E245" s="8" t="s">
        <v>1123</v>
      </c>
      <c r="F245" s="8" t="s">
        <v>8497</v>
      </c>
    </row>
    <row r="246" customHeight="1" spans="1:6">
      <c r="A246" s="6">
        <v>245</v>
      </c>
      <c r="B246" s="8" t="s">
        <v>8494</v>
      </c>
      <c r="C246" s="8" t="s">
        <v>8495</v>
      </c>
      <c r="D246" s="8" t="s">
        <v>8496</v>
      </c>
      <c r="E246" s="8" t="s">
        <v>1123</v>
      </c>
      <c r="F246" s="8" t="s">
        <v>8497</v>
      </c>
    </row>
    <row r="247" customHeight="1" spans="1:6">
      <c r="A247" s="6">
        <v>246</v>
      </c>
      <c r="B247" s="8" t="s">
        <v>8494</v>
      </c>
      <c r="C247" s="8" t="s">
        <v>8495</v>
      </c>
      <c r="D247" s="8" t="s">
        <v>8496</v>
      </c>
      <c r="E247" s="8" t="s">
        <v>1123</v>
      </c>
      <c r="F247" s="8" t="s">
        <v>8497</v>
      </c>
    </row>
    <row r="248" customHeight="1" spans="1:6">
      <c r="A248" s="6">
        <v>247</v>
      </c>
      <c r="B248" s="8" t="s">
        <v>8498</v>
      </c>
      <c r="C248" s="8" t="s">
        <v>8499</v>
      </c>
      <c r="D248" s="8" t="s">
        <v>8500</v>
      </c>
      <c r="E248" s="8" t="s">
        <v>1306</v>
      </c>
      <c r="F248" s="8" t="s">
        <v>8501</v>
      </c>
    </row>
    <row r="249" customHeight="1" spans="1:6">
      <c r="A249" s="6">
        <v>248</v>
      </c>
      <c r="B249" s="8" t="s">
        <v>8498</v>
      </c>
      <c r="C249" s="8" t="s">
        <v>8499</v>
      </c>
      <c r="D249" s="8" t="s">
        <v>8500</v>
      </c>
      <c r="E249" s="8" t="s">
        <v>1306</v>
      </c>
      <c r="F249" s="8" t="s">
        <v>8501</v>
      </c>
    </row>
    <row r="250" customHeight="1" spans="1:6">
      <c r="A250" s="6">
        <v>249</v>
      </c>
      <c r="B250" s="8" t="s">
        <v>8498</v>
      </c>
      <c r="C250" s="8" t="s">
        <v>8499</v>
      </c>
      <c r="D250" s="8" t="s">
        <v>8500</v>
      </c>
      <c r="E250" s="8" t="s">
        <v>1306</v>
      </c>
      <c r="F250" s="8" t="s">
        <v>8501</v>
      </c>
    </row>
    <row r="251" customHeight="1" spans="1:6">
      <c r="A251" s="6">
        <v>250</v>
      </c>
      <c r="B251" s="8" t="s">
        <v>8502</v>
      </c>
      <c r="C251" s="8" t="s">
        <v>8503</v>
      </c>
      <c r="D251" s="8" t="s">
        <v>8504</v>
      </c>
      <c r="E251" s="8" t="s">
        <v>189</v>
      </c>
      <c r="F251" s="8" t="s">
        <v>8505</v>
      </c>
    </row>
    <row r="252" customHeight="1" spans="1:6">
      <c r="A252" s="6">
        <v>251</v>
      </c>
      <c r="B252" s="8" t="s">
        <v>8502</v>
      </c>
      <c r="C252" s="8" t="s">
        <v>8503</v>
      </c>
      <c r="D252" s="8" t="s">
        <v>8504</v>
      </c>
      <c r="E252" s="8" t="s">
        <v>189</v>
      </c>
      <c r="F252" s="8" t="s">
        <v>8505</v>
      </c>
    </row>
    <row r="253" customHeight="1" spans="1:6">
      <c r="A253" s="6">
        <v>252</v>
      </c>
      <c r="B253" s="8" t="s">
        <v>8502</v>
      </c>
      <c r="C253" s="8" t="s">
        <v>8503</v>
      </c>
      <c r="D253" s="8" t="s">
        <v>8504</v>
      </c>
      <c r="E253" s="8" t="s">
        <v>189</v>
      </c>
      <c r="F253" s="8" t="s">
        <v>8505</v>
      </c>
    </row>
    <row r="254" customHeight="1" spans="1:6">
      <c r="A254" s="6">
        <v>253</v>
      </c>
      <c r="B254" s="8" t="s">
        <v>8506</v>
      </c>
      <c r="C254" s="8" t="s">
        <v>8507</v>
      </c>
      <c r="D254" s="8" t="s">
        <v>8508</v>
      </c>
      <c r="E254" s="8" t="s">
        <v>1529</v>
      </c>
      <c r="F254" s="8" t="s">
        <v>8509</v>
      </c>
    </row>
    <row r="255" customHeight="1" spans="1:6">
      <c r="A255" s="6">
        <v>254</v>
      </c>
      <c r="B255" s="8" t="s">
        <v>8506</v>
      </c>
      <c r="C255" s="8" t="s">
        <v>8507</v>
      </c>
      <c r="D255" s="8" t="s">
        <v>8508</v>
      </c>
      <c r="E255" s="8" t="s">
        <v>1529</v>
      </c>
      <c r="F255" s="8" t="s">
        <v>8509</v>
      </c>
    </row>
    <row r="256" customHeight="1" spans="1:6">
      <c r="A256" s="6">
        <v>255</v>
      </c>
      <c r="B256" s="8" t="s">
        <v>8506</v>
      </c>
      <c r="C256" s="8" t="s">
        <v>8507</v>
      </c>
      <c r="D256" s="8" t="s">
        <v>8508</v>
      </c>
      <c r="E256" s="8" t="s">
        <v>1529</v>
      </c>
      <c r="F256" s="8" t="s">
        <v>8509</v>
      </c>
    </row>
    <row r="257" customHeight="1" spans="1:6">
      <c r="A257" s="6">
        <v>256</v>
      </c>
      <c r="B257" s="8" t="s">
        <v>8510</v>
      </c>
      <c r="C257" s="8" t="s">
        <v>8511</v>
      </c>
      <c r="D257" s="8" t="s">
        <v>8512</v>
      </c>
      <c r="E257" s="8" t="s">
        <v>1667</v>
      </c>
      <c r="F257" s="8" t="s">
        <v>8513</v>
      </c>
    </row>
    <row r="258" customHeight="1" spans="1:6">
      <c r="A258" s="6">
        <v>257</v>
      </c>
      <c r="B258" s="8" t="s">
        <v>8510</v>
      </c>
      <c r="C258" s="8" t="s">
        <v>8511</v>
      </c>
      <c r="D258" s="8" t="s">
        <v>8512</v>
      </c>
      <c r="E258" s="8" t="s">
        <v>1667</v>
      </c>
      <c r="F258" s="8" t="s">
        <v>8513</v>
      </c>
    </row>
    <row r="259" customHeight="1" spans="1:6">
      <c r="A259" s="6">
        <v>258</v>
      </c>
      <c r="B259" s="8" t="s">
        <v>8510</v>
      </c>
      <c r="C259" s="8" t="s">
        <v>8511</v>
      </c>
      <c r="D259" s="8" t="s">
        <v>8512</v>
      </c>
      <c r="E259" s="8" t="s">
        <v>1667</v>
      </c>
      <c r="F259" s="8" t="s">
        <v>8513</v>
      </c>
    </row>
    <row r="260" customHeight="1" spans="1:6">
      <c r="A260" s="6">
        <v>259</v>
      </c>
      <c r="B260" s="8" t="s">
        <v>8514</v>
      </c>
      <c r="C260" s="8" t="s">
        <v>8515</v>
      </c>
      <c r="D260" s="8" t="s">
        <v>8516</v>
      </c>
      <c r="E260" s="8" t="s">
        <v>3371</v>
      </c>
      <c r="F260" s="8" t="s">
        <v>8517</v>
      </c>
    </row>
    <row r="261" customHeight="1" spans="1:6">
      <c r="A261" s="6">
        <v>260</v>
      </c>
      <c r="B261" s="8" t="s">
        <v>8514</v>
      </c>
      <c r="C261" s="8" t="s">
        <v>8515</v>
      </c>
      <c r="D261" s="8" t="s">
        <v>8516</v>
      </c>
      <c r="E261" s="8" t="s">
        <v>3371</v>
      </c>
      <c r="F261" s="8" t="s">
        <v>8517</v>
      </c>
    </row>
    <row r="262" customHeight="1" spans="1:6">
      <c r="A262" s="6">
        <v>261</v>
      </c>
      <c r="B262" s="8" t="s">
        <v>8514</v>
      </c>
      <c r="C262" s="8" t="s">
        <v>8515</v>
      </c>
      <c r="D262" s="8" t="s">
        <v>8516</v>
      </c>
      <c r="E262" s="8" t="s">
        <v>3371</v>
      </c>
      <c r="F262" s="8" t="s">
        <v>8517</v>
      </c>
    </row>
    <row r="263" customHeight="1" spans="1:6">
      <c r="A263" s="6">
        <v>262</v>
      </c>
      <c r="B263" s="8" t="s">
        <v>8518</v>
      </c>
      <c r="C263" s="8" t="s">
        <v>8519</v>
      </c>
      <c r="D263" s="8" t="s">
        <v>8520</v>
      </c>
      <c r="E263" s="8" t="s">
        <v>415</v>
      </c>
      <c r="F263" s="8" t="s">
        <v>8521</v>
      </c>
    </row>
    <row r="264" customHeight="1" spans="1:6">
      <c r="A264" s="6">
        <v>263</v>
      </c>
      <c r="B264" s="8" t="s">
        <v>8518</v>
      </c>
      <c r="C264" s="8" t="s">
        <v>8519</v>
      </c>
      <c r="D264" s="8" t="s">
        <v>8520</v>
      </c>
      <c r="E264" s="8" t="s">
        <v>415</v>
      </c>
      <c r="F264" s="8" t="s">
        <v>8521</v>
      </c>
    </row>
    <row r="265" customHeight="1" spans="1:6">
      <c r="A265" s="6">
        <v>264</v>
      </c>
      <c r="B265" s="8" t="s">
        <v>8522</v>
      </c>
      <c r="C265" s="8" t="s">
        <v>8523</v>
      </c>
      <c r="D265" s="8" t="s">
        <v>8524</v>
      </c>
      <c r="E265" s="8" t="s">
        <v>23</v>
      </c>
      <c r="F265" s="8" t="s">
        <v>8525</v>
      </c>
    </row>
    <row r="266" customHeight="1" spans="1:6">
      <c r="A266" s="6">
        <v>265</v>
      </c>
      <c r="B266" s="8" t="s">
        <v>8522</v>
      </c>
      <c r="C266" s="8" t="s">
        <v>8523</v>
      </c>
      <c r="D266" s="8" t="s">
        <v>8524</v>
      </c>
      <c r="E266" s="8" t="s">
        <v>23</v>
      </c>
      <c r="F266" s="8" t="s">
        <v>8525</v>
      </c>
    </row>
    <row r="267" customHeight="1" spans="1:6">
      <c r="A267" s="6">
        <v>266</v>
      </c>
      <c r="B267" s="7" t="str">
        <f>"978-7-5705-2078-7"</f>
        <v>978-7-5705-2078-7</v>
      </c>
      <c r="C267" s="7" t="str">
        <f>"古文观止：精装典藏版"</f>
        <v>古文观止：精装典藏版</v>
      </c>
      <c r="D267" s="7" t="str">
        <f>"(清) 吴楚材， 吴调侯著"</f>
        <v>(清) 吴楚材， 吴调侯著</v>
      </c>
      <c r="E267" s="7" t="str">
        <f>"江西教育出版社"</f>
        <v>江西教育出版社</v>
      </c>
      <c r="F267" s="7" t="str">
        <f>"H194.1/259"</f>
        <v>H194.1/259</v>
      </c>
    </row>
    <row r="268" customHeight="1" spans="1:6">
      <c r="A268" s="6">
        <v>267</v>
      </c>
      <c r="B268" s="7" t="str">
        <f>"978-7-5705-2078-7"</f>
        <v>978-7-5705-2078-7</v>
      </c>
      <c r="C268" s="7" t="str">
        <f>"古文观止：精装典藏版"</f>
        <v>古文观止：精装典藏版</v>
      </c>
      <c r="D268" s="7" t="str">
        <f>"(清) 吴楚材， 吴调侯著"</f>
        <v>(清) 吴楚材， 吴调侯著</v>
      </c>
      <c r="E268" s="7" t="str">
        <f>"江西教育出版社"</f>
        <v>江西教育出版社</v>
      </c>
      <c r="F268" s="7" t="str">
        <f>"H194.1/259"</f>
        <v>H194.1/259</v>
      </c>
    </row>
    <row r="269" customHeight="1" spans="1:6">
      <c r="A269" s="6">
        <v>268</v>
      </c>
      <c r="B269" s="8" t="s">
        <v>8526</v>
      </c>
      <c r="C269" s="8" t="s">
        <v>8527</v>
      </c>
      <c r="D269" s="8" t="s">
        <v>8528</v>
      </c>
      <c r="E269" s="8" t="s">
        <v>385</v>
      </c>
      <c r="F269" s="8" t="s">
        <v>8529</v>
      </c>
    </row>
    <row r="270" customHeight="1" spans="1:6">
      <c r="A270" s="6">
        <v>269</v>
      </c>
      <c r="B270" s="8" t="s">
        <v>8526</v>
      </c>
      <c r="C270" s="8" t="s">
        <v>8527</v>
      </c>
      <c r="D270" s="8" t="s">
        <v>8528</v>
      </c>
      <c r="E270" s="8" t="s">
        <v>385</v>
      </c>
      <c r="F270" s="8" t="s">
        <v>8529</v>
      </c>
    </row>
    <row r="271" customHeight="1" spans="1:6">
      <c r="A271" s="6">
        <v>270</v>
      </c>
      <c r="B271" s="8" t="s">
        <v>8530</v>
      </c>
      <c r="C271" s="8" t="s">
        <v>8531</v>
      </c>
      <c r="D271" s="8" t="s">
        <v>8532</v>
      </c>
      <c r="E271" s="8" t="s">
        <v>8533</v>
      </c>
      <c r="F271" s="8" t="s">
        <v>8534</v>
      </c>
    </row>
    <row r="272" customHeight="1" spans="1:6">
      <c r="A272" s="6">
        <v>271</v>
      </c>
      <c r="B272" s="8" t="s">
        <v>8530</v>
      </c>
      <c r="C272" s="8" t="s">
        <v>8531</v>
      </c>
      <c r="D272" s="8" t="s">
        <v>8532</v>
      </c>
      <c r="E272" s="8" t="s">
        <v>8533</v>
      </c>
      <c r="F272" s="8" t="s">
        <v>8534</v>
      </c>
    </row>
    <row r="273" customHeight="1" spans="1:6">
      <c r="A273" s="6">
        <v>272</v>
      </c>
      <c r="B273" s="8" t="s">
        <v>8530</v>
      </c>
      <c r="C273" s="8" t="s">
        <v>8535</v>
      </c>
      <c r="D273" s="8" t="s">
        <v>8532</v>
      </c>
      <c r="E273" s="8" t="s">
        <v>8533</v>
      </c>
      <c r="F273" s="8" t="s">
        <v>8536</v>
      </c>
    </row>
    <row r="274" customHeight="1" spans="1:6">
      <c r="A274" s="6">
        <v>273</v>
      </c>
      <c r="B274" s="8" t="s">
        <v>8530</v>
      </c>
      <c r="C274" s="8" t="s">
        <v>8535</v>
      </c>
      <c r="D274" s="8" t="s">
        <v>8532</v>
      </c>
      <c r="E274" s="8" t="s">
        <v>8533</v>
      </c>
      <c r="F274" s="8" t="s">
        <v>8536</v>
      </c>
    </row>
    <row r="275" customHeight="1" spans="1:6">
      <c r="A275" s="6">
        <v>274</v>
      </c>
      <c r="B275" s="8" t="s">
        <v>8537</v>
      </c>
      <c r="C275" s="8" t="s">
        <v>8538</v>
      </c>
      <c r="D275" s="8" t="s">
        <v>8539</v>
      </c>
      <c r="E275" s="8" t="s">
        <v>298</v>
      </c>
      <c r="F275" s="8" t="s">
        <v>8540</v>
      </c>
    </row>
    <row r="276" customHeight="1" spans="1:6">
      <c r="A276" s="6">
        <v>275</v>
      </c>
      <c r="B276" s="8" t="s">
        <v>8537</v>
      </c>
      <c r="C276" s="8" t="s">
        <v>8538</v>
      </c>
      <c r="D276" s="8" t="s">
        <v>8539</v>
      </c>
      <c r="E276" s="8" t="s">
        <v>298</v>
      </c>
      <c r="F276" s="8" t="s">
        <v>8540</v>
      </c>
    </row>
    <row r="277" customHeight="1" spans="1:6">
      <c r="A277" s="6">
        <v>276</v>
      </c>
      <c r="B277" s="8" t="s">
        <v>8541</v>
      </c>
      <c r="C277" s="8" t="s">
        <v>8542</v>
      </c>
      <c r="D277" s="8" t="s">
        <v>8543</v>
      </c>
      <c r="E277" s="8" t="s">
        <v>1636</v>
      </c>
      <c r="F277" s="8" t="s">
        <v>8544</v>
      </c>
    </row>
    <row r="278" customHeight="1" spans="1:6">
      <c r="A278" s="6">
        <v>277</v>
      </c>
      <c r="B278" s="8" t="s">
        <v>8541</v>
      </c>
      <c r="C278" s="8" t="s">
        <v>8542</v>
      </c>
      <c r="D278" s="8" t="s">
        <v>8543</v>
      </c>
      <c r="E278" s="8" t="s">
        <v>1636</v>
      </c>
      <c r="F278" s="8" t="s">
        <v>8544</v>
      </c>
    </row>
    <row r="279" customHeight="1" spans="1:6">
      <c r="A279" s="6">
        <v>278</v>
      </c>
      <c r="B279" s="8" t="s">
        <v>8545</v>
      </c>
      <c r="C279" s="8" t="s">
        <v>8546</v>
      </c>
      <c r="D279" s="8" t="s">
        <v>8547</v>
      </c>
      <c r="E279" s="8" t="s">
        <v>1667</v>
      </c>
      <c r="F279" s="8" t="s">
        <v>8548</v>
      </c>
    </row>
    <row r="280" customHeight="1" spans="1:6">
      <c r="A280" s="6">
        <v>279</v>
      </c>
      <c r="B280" s="8" t="s">
        <v>8545</v>
      </c>
      <c r="C280" s="8" t="s">
        <v>8546</v>
      </c>
      <c r="D280" s="8" t="s">
        <v>8547</v>
      </c>
      <c r="E280" s="8" t="s">
        <v>1667</v>
      </c>
      <c r="F280" s="8" t="s">
        <v>8548</v>
      </c>
    </row>
    <row r="281" customHeight="1" spans="1:6">
      <c r="A281" s="6">
        <v>280</v>
      </c>
      <c r="B281" s="8" t="s">
        <v>8545</v>
      </c>
      <c r="C281" s="8" t="s">
        <v>8546</v>
      </c>
      <c r="D281" s="8" t="s">
        <v>8547</v>
      </c>
      <c r="E281" s="8" t="s">
        <v>1667</v>
      </c>
      <c r="F281" s="8" t="s">
        <v>8548</v>
      </c>
    </row>
    <row r="282" customHeight="1" spans="1:6">
      <c r="A282" s="6">
        <v>281</v>
      </c>
      <c r="B282" s="8" t="s">
        <v>8549</v>
      </c>
      <c r="C282" s="8" t="s">
        <v>8550</v>
      </c>
      <c r="D282" s="8" t="s">
        <v>8551</v>
      </c>
      <c r="E282" s="8" t="s">
        <v>2267</v>
      </c>
      <c r="F282" s="8" t="s">
        <v>8552</v>
      </c>
    </row>
    <row r="283" customHeight="1" spans="1:6">
      <c r="A283" s="6">
        <v>282</v>
      </c>
      <c r="B283" s="8" t="s">
        <v>8549</v>
      </c>
      <c r="C283" s="8" t="s">
        <v>8550</v>
      </c>
      <c r="D283" s="8" t="s">
        <v>8551</v>
      </c>
      <c r="E283" s="8" t="s">
        <v>2267</v>
      </c>
      <c r="F283" s="8" t="s">
        <v>8552</v>
      </c>
    </row>
    <row r="284" customHeight="1" spans="1:6">
      <c r="A284" s="6">
        <v>283</v>
      </c>
      <c r="B284" s="8" t="s">
        <v>8549</v>
      </c>
      <c r="C284" s="8" t="s">
        <v>8550</v>
      </c>
      <c r="D284" s="8" t="s">
        <v>8551</v>
      </c>
      <c r="E284" s="8" t="s">
        <v>2267</v>
      </c>
      <c r="F284" s="8" t="s">
        <v>8552</v>
      </c>
    </row>
    <row r="285" customHeight="1" spans="1:6">
      <c r="A285" s="6">
        <v>284</v>
      </c>
      <c r="B285" s="8" t="s">
        <v>8553</v>
      </c>
      <c r="C285" s="8" t="s">
        <v>8554</v>
      </c>
      <c r="D285" s="8" t="s">
        <v>8555</v>
      </c>
      <c r="E285" s="8" t="s">
        <v>1636</v>
      </c>
      <c r="F285" s="8" t="s">
        <v>8556</v>
      </c>
    </row>
    <row r="286" customHeight="1" spans="1:6">
      <c r="A286" s="6">
        <v>285</v>
      </c>
      <c r="B286" s="8" t="s">
        <v>8553</v>
      </c>
      <c r="C286" s="8" t="s">
        <v>8554</v>
      </c>
      <c r="D286" s="8" t="s">
        <v>8555</v>
      </c>
      <c r="E286" s="8" t="s">
        <v>1636</v>
      </c>
      <c r="F286" s="8" t="s">
        <v>8556</v>
      </c>
    </row>
    <row r="287" customHeight="1" spans="1:6">
      <c r="A287" s="6">
        <v>286</v>
      </c>
      <c r="B287" s="8" t="s">
        <v>8553</v>
      </c>
      <c r="C287" s="8" t="s">
        <v>8554</v>
      </c>
      <c r="D287" s="8" t="s">
        <v>8555</v>
      </c>
      <c r="E287" s="8" t="s">
        <v>1636</v>
      </c>
      <c r="F287" s="8" t="s">
        <v>8556</v>
      </c>
    </row>
    <row r="288" customHeight="1" spans="1:6">
      <c r="A288" s="6">
        <v>287</v>
      </c>
      <c r="B288" s="8" t="s">
        <v>8557</v>
      </c>
      <c r="C288" s="8" t="s">
        <v>8558</v>
      </c>
      <c r="D288" s="8" t="s">
        <v>8559</v>
      </c>
      <c r="E288" s="8" t="s">
        <v>1172</v>
      </c>
      <c r="F288" s="8" t="s">
        <v>8560</v>
      </c>
    </row>
    <row r="289" customHeight="1" spans="1:6">
      <c r="A289" s="6">
        <v>288</v>
      </c>
      <c r="B289" s="8" t="s">
        <v>8557</v>
      </c>
      <c r="C289" s="8" t="s">
        <v>8558</v>
      </c>
      <c r="D289" s="8" t="s">
        <v>8559</v>
      </c>
      <c r="E289" s="8" t="s">
        <v>1172</v>
      </c>
      <c r="F289" s="8" t="s">
        <v>8560</v>
      </c>
    </row>
    <row r="290" customHeight="1" spans="1:6">
      <c r="A290" s="6">
        <v>289</v>
      </c>
      <c r="B290" s="8" t="s">
        <v>8557</v>
      </c>
      <c r="C290" s="8" t="s">
        <v>8558</v>
      </c>
      <c r="D290" s="8" t="s">
        <v>8559</v>
      </c>
      <c r="E290" s="8" t="s">
        <v>1172</v>
      </c>
      <c r="F290" s="8" t="s">
        <v>8560</v>
      </c>
    </row>
    <row r="291" customHeight="1" spans="1:6">
      <c r="A291" s="6">
        <v>290</v>
      </c>
      <c r="B291" s="8" t="s">
        <v>8561</v>
      </c>
      <c r="C291" s="8" t="s">
        <v>8562</v>
      </c>
      <c r="D291" s="8" t="s">
        <v>8563</v>
      </c>
      <c r="E291" s="8" t="s">
        <v>425</v>
      </c>
      <c r="F291" s="8" t="s">
        <v>8564</v>
      </c>
    </row>
    <row r="292" customHeight="1" spans="1:6">
      <c r="A292" s="6">
        <v>291</v>
      </c>
      <c r="B292" s="8" t="s">
        <v>8561</v>
      </c>
      <c r="C292" s="8" t="s">
        <v>8562</v>
      </c>
      <c r="D292" s="8" t="s">
        <v>8563</v>
      </c>
      <c r="E292" s="8" t="s">
        <v>425</v>
      </c>
      <c r="F292" s="8" t="s">
        <v>8564</v>
      </c>
    </row>
    <row r="293" customHeight="1" spans="1:6">
      <c r="A293" s="6">
        <v>292</v>
      </c>
      <c r="B293" s="8" t="s">
        <v>8561</v>
      </c>
      <c r="C293" s="8" t="s">
        <v>8562</v>
      </c>
      <c r="D293" s="8" t="s">
        <v>8563</v>
      </c>
      <c r="E293" s="8" t="s">
        <v>425</v>
      </c>
      <c r="F293" s="8" t="s">
        <v>8564</v>
      </c>
    </row>
    <row r="294" customHeight="1" spans="1:6">
      <c r="A294" s="6">
        <v>293</v>
      </c>
      <c r="B294" s="8" t="s">
        <v>8565</v>
      </c>
      <c r="C294" s="8" t="s">
        <v>8566</v>
      </c>
      <c r="D294" s="8" t="s">
        <v>8567</v>
      </c>
      <c r="E294" s="8" t="s">
        <v>8568</v>
      </c>
      <c r="F294" s="8" t="s">
        <v>8569</v>
      </c>
    </row>
    <row r="295" customHeight="1" spans="1:6">
      <c r="A295" s="6">
        <v>294</v>
      </c>
      <c r="B295" s="8" t="s">
        <v>8565</v>
      </c>
      <c r="C295" s="8" t="s">
        <v>8566</v>
      </c>
      <c r="D295" s="8" t="s">
        <v>8567</v>
      </c>
      <c r="E295" s="8" t="s">
        <v>8568</v>
      </c>
      <c r="F295" s="8" t="s">
        <v>8569</v>
      </c>
    </row>
    <row r="296" customHeight="1" spans="1:6">
      <c r="A296" s="6">
        <v>295</v>
      </c>
      <c r="B296" s="8" t="s">
        <v>8570</v>
      </c>
      <c r="C296" s="8" t="s">
        <v>8571</v>
      </c>
      <c r="D296" s="8" t="s">
        <v>8572</v>
      </c>
      <c r="E296" s="8" t="s">
        <v>1818</v>
      </c>
      <c r="F296" s="8" t="s">
        <v>8573</v>
      </c>
    </row>
    <row r="297" customHeight="1" spans="1:6">
      <c r="A297" s="6">
        <v>296</v>
      </c>
      <c r="B297" s="8" t="s">
        <v>8570</v>
      </c>
      <c r="C297" s="8" t="s">
        <v>8571</v>
      </c>
      <c r="D297" s="8" t="s">
        <v>8572</v>
      </c>
      <c r="E297" s="8" t="s">
        <v>1818</v>
      </c>
      <c r="F297" s="8" t="s">
        <v>8573</v>
      </c>
    </row>
    <row r="298" customHeight="1" spans="1:6">
      <c r="A298" s="6">
        <v>297</v>
      </c>
      <c r="B298" s="8" t="s">
        <v>8574</v>
      </c>
      <c r="C298" s="8" t="s">
        <v>8575</v>
      </c>
      <c r="D298" s="8" t="s">
        <v>8576</v>
      </c>
      <c r="E298" s="8" t="s">
        <v>3</v>
      </c>
      <c r="F298" s="8" t="s">
        <v>8577</v>
      </c>
    </row>
    <row r="299" customHeight="1" spans="1:6">
      <c r="A299" s="6">
        <v>298</v>
      </c>
      <c r="B299" s="8" t="s">
        <v>8574</v>
      </c>
      <c r="C299" s="8" t="s">
        <v>8575</v>
      </c>
      <c r="D299" s="8" t="s">
        <v>8576</v>
      </c>
      <c r="E299" s="8" t="s">
        <v>3</v>
      </c>
      <c r="F299" s="8" t="s">
        <v>8577</v>
      </c>
    </row>
    <row r="300" customHeight="1" spans="1:6">
      <c r="A300" s="6">
        <v>299</v>
      </c>
      <c r="B300" s="8" t="s">
        <v>8578</v>
      </c>
      <c r="C300" s="8" t="s">
        <v>8579</v>
      </c>
      <c r="D300" s="8" t="s">
        <v>8580</v>
      </c>
      <c r="E300" s="8" t="s">
        <v>288</v>
      </c>
      <c r="F300" s="8" t="s">
        <v>8581</v>
      </c>
    </row>
    <row r="301" customHeight="1" spans="1:6">
      <c r="A301" s="6">
        <v>300</v>
      </c>
      <c r="B301" s="8" t="s">
        <v>8578</v>
      </c>
      <c r="C301" s="8" t="s">
        <v>8579</v>
      </c>
      <c r="D301" s="8" t="s">
        <v>8580</v>
      </c>
      <c r="E301" s="8" t="s">
        <v>288</v>
      </c>
      <c r="F301" s="8" t="s">
        <v>8581</v>
      </c>
    </row>
    <row r="302" customHeight="1" spans="1:6">
      <c r="A302" s="6">
        <v>301</v>
      </c>
      <c r="B302" s="8" t="s">
        <v>8582</v>
      </c>
      <c r="C302" s="8" t="s">
        <v>8583</v>
      </c>
      <c r="D302" s="8" t="s">
        <v>8584</v>
      </c>
      <c r="E302" s="8" t="s">
        <v>2267</v>
      </c>
      <c r="F302" s="8" t="s">
        <v>8585</v>
      </c>
    </row>
    <row r="303" customHeight="1" spans="1:6">
      <c r="A303" s="6">
        <v>302</v>
      </c>
      <c r="B303" s="8" t="s">
        <v>8582</v>
      </c>
      <c r="C303" s="8" t="s">
        <v>8583</v>
      </c>
      <c r="D303" s="8" t="s">
        <v>8584</v>
      </c>
      <c r="E303" s="8" t="s">
        <v>2267</v>
      </c>
      <c r="F303" s="8" t="s">
        <v>8585</v>
      </c>
    </row>
    <row r="304" customHeight="1" spans="1:6">
      <c r="A304" s="6">
        <v>303</v>
      </c>
      <c r="B304" s="8" t="s">
        <v>8582</v>
      </c>
      <c r="C304" s="8" t="s">
        <v>8583</v>
      </c>
      <c r="D304" s="8" t="s">
        <v>8584</v>
      </c>
      <c r="E304" s="8" t="s">
        <v>2267</v>
      </c>
      <c r="F304" s="8" t="s">
        <v>8585</v>
      </c>
    </row>
    <row r="305" customHeight="1" spans="1:6">
      <c r="A305" s="6">
        <v>304</v>
      </c>
      <c r="B305" s="8" t="s">
        <v>8586</v>
      </c>
      <c r="C305" s="8" t="s">
        <v>8587</v>
      </c>
      <c r="D305" s="8" t="s">
        <v>8588</v>
      </c>
      <c r="E305" s="8" t="s">
        <v>425</v>
      </c>
      <c r="F305" s="8" t="s">
        <v>8589</v>
      </c>
    </row>
    <row r="306" customHeight="1" spans="1:6">
      <c r="A306" s="6">
        <v>305</v>
      </c>
      <c r="B306" s="8" t="s">
        <v>8586</v>
      </c>
      <c r="C306" s="8" t="s">
        <v>8587</v>
      </c>
      <c r="D306" s="8" t="s">
        <v>8588</v>
      </c>
      <c r="E306" s="8" t="s">
        <v>425</v>
      </c>
      <c r="F306" s="8" t="s">
        <v>8589</v>
      </c>
    </row>
    <row r="307" customHeight="1" spans="1:6">
      <c r="A307" s="6">
        <v>306</v>
      </c>
      <c r="B307" s="8" t="s">
        <v>8586</v>
      </c>
      <c r="C307" s="8" t="s">
        <v>8587</v>
      </c>
      <c r="D307" s="8" t="s">
        <v>8588</v>
      </c>
      <c r="E307" s="8" t="s">
        <v>425</v>
      </c>
      <c r="F307" s="8" t="s">
        <v>8589</v>
      </c>
    </row>
    <row r="308" customHeight="1" spans="1:6">
      <c r="A308" s="6">
        <v>307</v>
      </c>
      <c r="B308" s="8" t="s">
        <v>8590</v>
      </c>
      <c r="C308" s="8" t="s">
        <v>8591</v>
      </c>
      <c r="D308" s="8" t="s">
        <v>8592</v>
      </c>
      <c r="E308" s="8" t="s">
        <v>8593</v>
      </c>
      <c r="F308" s="8" t="s">
        <v>8594</v>
      </c>
    </row>
    <row r="309" customHeight="1" spans="1:6">
      <c r="A309" s="6">
        <v>308</v>
      </c>
      <c r="B309" s="8" t="s">
        <v>8590</v>
      </c>
      <c r="C309" s="8" t="s">
        <v>8591</v>
      </c>
      <c r="D309" s="8" t="s">
        <v>8592</v>
      </c>
      <c r="E309" s="8" t="s">
        <v>8593</v>
      </c>
      <c r="F309" s="8" t="s">
        <v>8594</v>
      </c>
    </row>
    <row r="310" customHeight="1" spans="1:6">
      <c r="A310" s="6">
        <v>309</v>
      </c>
      <c r="B310" s="8" t="s">
        <v>8590</v>
      </c>
      <c r="C310" s="8" t="s">
        <v>8591</v>
      </c>
      <c r="D310" s="8" t="s">
        <v>8592</v>
      </c>
      <c r="E310" s="8" t="s">
        <v>8593</v>
      </c>
      <c r="F310" s="8" t="s">
        <v>8594</v>
      </c>
    </row>
    <row r="311" customHeight="1" spans="1:6">
      <c r="A311" s="6">
        <v>310</v>
      </c>
      <c r="B311" s="8" t="s">
        <v>8595</v>
      </c>
      <c r="C311" s="8" t="s">
        <v>8596</v>
      </c>
      <c r="D311" s="8" t="s">
        <v>8597</v>
      </c>
      <c r="E311" s="8" t="s">
        <v>8593</v>
      </c>
      <c r="F311" s="8" t="s">
        <v>8598</v>
      </c>
    </row>
    <row r="312" customHeight="1" spans="1:6">
      <c r="A312" s="6">
        <v>311</v>
      </c>
      <c r="B312" s="8" t="s">
        <v>8595</v>
      </c>
      <c r="C312" s="8" t="s">
        <v>8596</v>
      </c>
      <c r="D312" s="8" t="s">
        <v>8597</v>
      </c>
      <c r="E312" s="8" t="s">
        <v>8593</v>
      </c>
      <c r="F312" s="8" t="s">
        <v>8598</v>
      </c>
    </row>
    <row r="313" customHeight="1" spans="1:6">
      <c r="A313" s="6">
        <v>312</v>
      </c>
      <c r="B313" s="8" t="s">
        <v>8595</v>
      </c>
      <c r="C313" s="8" t="s">
        <v>8596</v>
      </c>
      <c r="D313" s="8" t="s">
        <v>8597</v>
      </c>
      <c r="E313" s="8" t="s">
        <v>8593</v>
      </c>
      <c r="F313" s="8" t="s">
        <v>8598</v>
      </c>
    </row>
    <row r="314" customHeight="1" spans="1:6">
      <c r="A314" s="6">
        <v>313</v>
      </c>
      <c r="B314" s="8" t="s">
        <v>8599</v>
      </c>
      <c r="C314" s="8" t="s">
        <v>8600</v>
      </c>
      <c r="D314" s="8" t="s">
        <v>8597</v>
      </c>
      <c r="E314" s="8" t="s">
        <v>8593</v>
      </c>
      <c r="F314" s="8" t="s">
        <v>8601</v>
      </c>
    </row>
    <row r="315" customHeight="1" spans="1:6">
      <c r="A315" s="6">
        <v>314</v>
      </c>
      <c r="B315" s="8" t="s">
        <v>8599</v>
      </c>
      <c r="C315" s="8" t="s">
        <v>8600</v>
      </c>
      <c r="D315" s="8" t="s">
        <v>8597</v>
      </c>
      <c r="E315" s="8" t="s">
        <v>8593</v>
      </c>
      <c r="F315" s="8" t="s">
        <v>8601</v>
      </c>
    </row>
    <row r="316" customHeight="1" spans="1:6">
      <c r="A316" s="6">
        <v>315</v>
      </c>
      <c r="B316" s="8" t="s">
        <v>8599</v>
      </c>
      <c r="C316" s="8" t="s">
        <v>8600</v>
      </c>
      <c r="D316" s="8" t="s">
        <v>8597</v>
      </c>
      <c r="E316" s="8" t="s">
        <v>8593</v>
      </c>
      <c r="F316" s="8" t="s">
        <v>8601</v>
      </c>
    </row>
    <row r="317" customHeight="1" spans="1:6">
      <c r="A317" s="6">
        <v>316</v>
      </c>
      <c r="B317" s="8" t="s">
        <v>8602</v>
      </c>
      <c r="C317" s="8" t="s">
        <v>8603</v>
      </c>
      <c r="D317" s="8" t="s">
        <v>8597</v>
      </c>
      <c r="E317" s="8" t="s">
        <v>8593</v>
      </c>
      <c r="F317" s="8" t="s">
        <v>8604</v>
      </c>
    </row>
    <row r="318" customHeight="1" spans="1:6">
      <c r="A318" s="6">
        <v>317</v>
      </c>
      <c r="B318" s="8" t="s">
        <v>8602</v>
      </c>
      <c r="C318" s="8" t="s">
        <v>8603</v>
      </c>
      <c r="D318" s="8" t="s">
        <v>8597</v>
      </c>
      <c r="E318" s="8" t="s">
        <v>8593</v>
      </c>
      <c r="F318" s="8" t="s">
        <v>8604</v>
      </c>
    </row>
    <row r="319" customHeight="1" spans="1:6">
      <c r="A319" s="6">
        <v>318</v>
      </c>
      <c r="B319" s="8" t="s">
        <v>8602</v>
      </c>
      <c r="C319" s="8" t="s">
        <v>8603</v>
      </c>
      <c r="D319" s="8" t="s">
        <v>8597</v>
      </c>
      <c r="E319" s="8" t="s">
        <v>8593</v>
      </c>
      <c r="F319" s="8" t="s">
        <v>8604</v>
      </c>
    </row>
    <row r="320" customHeight="1" spans="1:6">
      <c r="A320" s="6">
        <v>319</v>
      </c>
      <c r="B320" s="8" t="s">
        <v>8605</v>
      </c>
      <c r="C320" s="8" t="s">
        <v>8606</v>
      </c>
      <c r="D320" s="8" t="s">
        <v>8597</v>
      </c>
      <c r="E320" s="8" t="s">
        <v>8593</v>
      </c>
      <c r="F320" s="8" t="s">
        <v>8607</v>
      </c>
    </row>
    <row r="321" customHeight="1" spans="1:6">
      <c r="A321" s="6">
        <v>320</v>
      </c>
      <c r="B321" s="8" t="s">
        <v>8605</v>
      </c>
      <c r="C321" s="8" t="s">
        <v>8606</v>
      </c>
      <c r="D321" s="8" t="s">
        <v>8597</v>
      </c>
      <c r="E321" s="8" t="s">
        <v>8593</v>
      </c>
      <c r="F321" s="8" t="s">
        <v>8607</v>
      </c>
    </row>
    <row r="322" customHeight="1" spans="1:6">
      <c r="A322" s="6">
        <v>321</v>
      </c>
      <c r="B322" s="8" t="s">
        <v>8605</v>
      </c>
      <c r="C322" s="8" t="s">
        <v>8606</v>
      </c>
      <c r="D322" s="8" t="s">
        <v>8597</v>
      </c>
      <c r="E322" s="8" t="s">
        <v>8593</v>
      </c>
      <c r="F322" s="8" t="s">
        <v>8607</v>
      </c>
    </row>
    <row r="323" customHeight="1" spans="1:6">
      <c r="A323" s="6">
        <v>322</v>
      </c>
      <c r="B323" s="8" t="s">
        <v>8608</v>
      </c>
      <c r="C323" s="8" t="s">
        <v>8609</v>
      </c>
      <c r="D323" s="8" t="s">
        <v>8610</v>
      </c>
      <c r="E323" s="8" t="s">
        <v>8593</v>
      </c>
      <c r="F323" s="8" t="s">
        <v>8611</v>
      </c>
    </row>
    <row r="324" customHeight="1" spans="1:6">
      <c r="A324" s="6">
        <v>323</v>
      </c>
      <c r="B324" s="8" t="s">
        <v>8608</v>
      </c>
      <c r="C324" s="8" t="s">
        <v>8609</v>
      </c>
      <c r="D324" s="8" t="s">
        <v>8610</v>
      </c>
      <c r="E324" s="8" t="s">
        <v>8593</v>
      </c>
      <c r="F324" s="8" t="s">
        <v>8611</v>
      </c>
    </row>
    <row r="325" customHeight="1" spans="1:6">
      <c r="A325" s="6">
        <v>324</v>
      </c>
      <c r="B325" s="8" t="s">
        <v>8612</v>
      </c>
      <c r="C325" s="8" t="s">
        <v>8613</v>
      </c>
      <c r="D325" s="8" t="s">
        <v>8614</v>
      </c>
      <c r="E325" s="8" t="s">
        <v>485</v>
      </c>
      <c r="F325" s="8" t="s">
        <v>8615</v>
      </c>
    </row>
    <row r="326" customHeight="1" spans="1:6">
      <c r="A326" s="6">
        <v>325</v>
      </c>
      <c r="B326" s="8" t="s">
        <v>8612</v>
      </c>
      <c r="C326" s="8" t="s">
        <v>8613</v>
      </c>
      <c r="D326" s="8" t="s">
        <v>8614</v>
      </c>
      <c r="E326" s="8" t="s">
        <v>485</v>
      </c>
      <c r="F326" s="8" t="s">
        <v>8615</v>
      </c>
    </row>
    <row r="327" customHeight="1" spans="1:6">
      <c r="A327" s="6">
        <v>326</v>
      </c>
      <c r="B327" s="8" t="s">
        <v>8612</v>
      </c>
      <c r="C327" s="8" t="s">
        <v>8613</v>
      </c>
      <c r="D327" s="8" t="s">
        <v>8614</v>
      </c>
      <c r="E327" s="8" t="s">
        <v>485</v>
      </c>
      <c r="F327" s="8" t="s">
        <v>8615</v>
      </c>
    </row>
    <row r="328" customHeight="1" spans="1:6">
      <c r="A328" s="6">
        <v>327</v>
      </c>
      <c r="B328" s="8" t="s">
        <v>8616</v>
      </c>
      <c r="C328" s="8" t="s">
        <v>8617</v>
      </c>
      <c r="D328" s="8" t="s">
        <v>8618</v>
      </c>
      <c r="E328" s="8" t="s">
        <v>275</v>
      </c>
      <c r="F328" s="8" t="s">
        <v>8619</v>
      </c>
    </row>
    <row r="329" customHeight="1" spans="1:6">
      <c r="A329" s="6">
        <v>328</v>
      </c>
      <c r="B329" s="8" t="s">
        <v>8616</v>
      </c>
      <c r="C329" s="8" t="s">
        <v>8617</v>
      </c>
      <c r="D329" s="8" t="s">
        <v>8618</v>
      </c>
      <c r="E329" s="8" t="s">
        <v>275</v>
      </c>
      <c r="F329" s="8" t="s">
        <v>8619</v>
      </c>
    </row>
    <row r="330" customHeight="1" spans="1:6">
      <c r="A330" s="6">
        <v>329</v>
      </c>
      <c r="B330" s="8" t="s">
        <v>8616</v>
      </c>
      <c r="C330" s="8" t="s">
        <v>8617</v>
      </c>
      <c r="D330" s="8" t="s">
        <v>8618</v>
      </c>
      <c r="E330" s="8" t="s">
        <v>275</v>
      </c>
      <c r="F330" s="8" t="s">
        <v>8619</v>
      </c>
    </row>
    <row r="331" customHeight="1" spans="1:6">
      <c r="A331" s="6">
        <v>330</v>
      </c>
      <c r="B331" s="8" t="s">
        <v>8620</v>
      </c>
      <c r="C331" s="8" t="s">
        <v>8621</v>
      </c>
      <c r="D331" s="8" t="s">
        <v>8622</v>
      </c>
      <c r="E331" s="8" t="s">
        <v>890</v>
      </c>
      <c r="F331" s="8" t="s">
        <v>8623</v>
      </c>
    </row>
    <row r="332" customHeight="1" spans="1:6">
      <c r="A332" s="6">
        <v>331</v>
      </c>
      <c r="B332" s="8" t="s">
        <v>8620</v>
      </c>
      <c r="C332" s="8" t="s">
        <v>8621</v>
      </c>
      <c r="D332" s="8" t="s">
        <v>8622</v>
      </c>
      <c r="E332" s="8" t="s">
        <v>890</v>
      </c>
      <c r="F332" s="8" t="s">
        <v>8623</v>
      </c>
    </row>
    <row r="333" customHeight="1" spans="1:6">
      <c r="A333" s="6">
        <v>332</v>
      </c>
      <c r="B333" s="8" t="s">
        <v>8620</v>
      </c>
      <c r="C333" s="8" t="s">
        <v>8621</v>
      </c>
      <c r="D333" s="8" t="s">
        <v>8622</v>
      </c>
      <c r="E333" s="8" t="s">
        <v>890</v>
      </c>
      <c r="F333" s="8" t="s">
        <v>8623</v>
      </c>
    </row>
    <row r="334" customHeight="1" spans="1:6">
      <c r="A334" s="6">
        <v>333</v>
      </c>
      <c r="B334" s="8" t="s">
        <v>8624</v>
      </c>
      <c r="C334" s="8" t="s">
        <v>8625</v>
      </c>
      <c r="D334" s="8" t="s">
        <v>8626</v>
      </c>
      <c r="E334" s="8" t="s">
        <v>197</v>
      </c>
      <c r="F334" s="8" t="s">
        <v>8627</v>
      </c>
    </row>
    <row r="335" customHeight="1" spans="1:6">
      <c r="A335" s="6">
        <v>334</v>
      </c>
      <c r="B335" s="8" t="s">
        <v>8624</v>
      </c>
      <c r="C335" s="8" t="s">
        <v>8625</v>
      </c>
      <c r="D335" s="8" t="s">
        <v>8626</v>
      </c>
      <c r="E335" s="8" t="s">
        <v>197</v>
      </c>
      <c r="F335" s="8" t="s">
        <v>8627</v>
      </c>
    </row>
    <row r="336" customHeight="1" spans="1:6">
      <c r="A336" s="6">
        <v>335</v>
      </c>
      <c r="B336" s="8" t="s">
        <v>8624</v>
      </c>
      <c r="C336" s="8" t="s">
        <v>8625</v>
      </c>
      <c r="D336" s="8" t="s">
        <v>8626</v>
      </c>
      <c r="E336" s="8" t="s">
        <v>197</v>
      </c>
      <c r="F336" s="8" t="s">
        <v>8627</v>
      </c>
    </row>
    <row r="337" customHeight="1" spans="1:6">
      <c r="A337" s="6">
        <v>336</v>
      </c>
      <c r="B337" s="8" t="s">
        <v>8628</v>
      </c>
      <c r="C337" s="8" t="s">
        <v>8629</v>
      </c>
      <c r="D337" s="8" t="s">
        <v>8630</v>
      </c>
      <c r="E337" s="8" t="s">
        <v>485</v>
      </c>
      <c r="F337" s="8" t="s">
        <v>8631</v>
      </c>
    </row>
    <row r="338" customHeight="1" spans="1:6">
      <c r="A338" s="6">
        <v>337</v>
      </c>
      <c r="B338" s="8" t="s">
        <v>8628</v>
      </c>
      <c r="C338" s="8" t="s">
        <v>8629</v>
      </c>
      <c r="D338" s="8" t="s">
        <v>8630</v>
      </c>
      <c r="E338" s="8" t="s">
        <v>485</v>
      </c>
      <c r="F338" s="8" t="s">
        <v>8631</v>
      </c>
    </row>
    <row r="339" customHeight="1" spans="1:6">
      <c r="A339" s="6">
        <v>338</v>
      </c>
      <c r="B339" s="8" t="s">
        <v>8628</v>
      </c>
      <c r="C339" s="8" t="s">
        <v>8629</v>
      </c>
      <c r="D339" s="8" t="s">
        <v>8630</v>
      </c>
      <c r="E339" s="8" t="s">
        <v>485</v>
      </c>
      <c r="F339" s="8" t="s">
        <v>8631</v>
      </c>
    </row>
    <row r="340" customHeight="1" spans="1:6">
      <c r="A340" s="6">
        <v>339</v>
      </c>
      <c r="B340" s="8" t="s">
        <v>8632</v>
      </c>
      <c r="C340" s="8" t="s">
        <v>8633</v>
      </c>
      <c r="D340" s="8" t="s">
        <v>8634</v>
      </c>
      <c r="E340" s="8" t="s">
        <v>8593</v>
      </c>
      <c r="F340" s="8" t="s">
        <v>8635</v>
      </c>
    </row>
    <row r="341" customHeight="1" spans="1:6">
      <c r="A341" s="6">
        <v>340</v>
      </c>
      <c r="B341" s="8" t="s">
        <v>8632</v>
      </c>
      <c r="C341" s="8" t="s">
        <v>8633</v>
      </c>
      <c r="D341" s="8" t="s">
        <v>8634</v>
      </c>
      <c r="E341" s="8" t="s">
        <v>8593</v>
      </c>
      <c r="F341" s="8" t="s">
        <v>8635</v>
      </c>
    </row>
    <row r="342" customHeight="1" spans="1:6">
      <c r="A342" s="6">
        <v>341</v>
      </c>
      <c r="B342" s="8" t="s">
        <v>8636</v>
      </c>
      <c r="C342" s="8" t="s">
        <v>8637</v>
      </c>
      <c r="D342" s="8" t="s">
        <v>8638</v>
      </c>
      <c r="E342" s="8" t="s">
        <v>8593</v>
      </c>
      <c r="F342" s="8" t="s">
        <v>8639</v>
      </c>
    </row>
    <row r="343" customHeight="1" spans="1:6">
      <c r="A343" s="6">
        <v>342</v>
      </c>
      <c r="B343" s="8" t="s">
        <v>8636</v>
      </c>
      <c r="C343" s="8" t="s">
        <v>8637</v>
      </c>
      <c r="D343" s="8" t="s">
        <v>8638</v>
      </c>
      <c r="E343" s="8" t="s">
        <v>8593</v>
      </c>
      <c r="F343" s="8" t="s">
        <v>8639</v>
      </c>
    </row>
    <row r="344" customHeight="1" spans="1:6">
      <c r="A344" s="6">
        <v>343</v>
      </c>
      <c r="B344" s="8" t="s">
        <v>8636</v>
      </c>
      <c r="C344" s="8" t="s">
        <v>8637</v>
      </c>
      <c r="D344" s="8" t="s">
        <v>8638</v>
      </c>
      <c r="E344" s="8" t="s">
        <v>8593</v>
      </c>
      <c r="F344" s="8" t="s">
        <v>8640</v>
      </c>
    </row>
    <row r="345" customHeight="1" spans="1:6">
      <c r="A345" s="6">
        <v>344</v>
      </c>
      <c r="B345" s="8" t="s">
        <v>8636</v>
      </c>
      <c r="C345" s="8" t="s">
        <v>8637</v>
      </c>
      <c r="D345" s="8" t="s">
        <v>8638</v>
      </c>
      <c r="E345" s="8" t="s">
        <v>8593</v>
      </c>
      <c r="F345" s="8" t="s">
        <v>8640</v>
      </c>
    </row>
    <row r="346" customHeight="1" spans="1:6">
      <c r="A346" s="6">
        <v>345</v>
      </c>
      <c r="B346" s="7" t="str">
        <f>"7-5619-0091-0"</f>
        <v>7-5619-0091-0</v>
      </c>
      <c r="C346" s="7" t="str">
        <f>"对外汉语教学发展概要"</f>
        <v>对外汉语教学发展概要</v>
      </c>
      <c r="D346" s="7" t="str">
        <f>"吕必松著"</f>
        <v>吕必松著</v>
      </c>
      <c r="E346" s="7" t="str">
        <f>"北京语言大学出版社"</f>
        <v>北京语言大学出版社</v>
      </c>
      <c r="F346" s="7" t="str">
        <f>"H195/80"</f>
        <v>H195/80</v>
      </c>
    </row>
    <row r="347" customHeight="1" spans="1:6">
      <c r="A347" s="6">
        <v>346</v>
      </c>
      <c r="B347" s="7" t="str">
        <f>"7-5619-0091-0"</f>
        <v>7-5619-0091-0</v>
      </c>
      <c r="C347" s="7" t="str">
        <f>"对外汉语教学发展概要"</f>
        <v>对外汉语教学发展概要</v>
      </c>
      <c r="D347" s="7" t="str">
        <f>"吕必松著"</f>
        <v>吕必松著</v>
      </c>
      <c r="E347" s="7" t="str">
        <f>"北京语言大学出版社"</f>
        <v>北京语言大学出版社</v>
      </c>
      <c r="F347" s="7" t="str">
        <f>"H195/80"</f>
        <v>H195/80</v>
      </c>
    </row>
    <row r="348" customHeight="1" spans="1:6">
      <c r="A348" s="6">
        <v>347</v>
      </c>
      <c r="B348" s="8" t="s">
        <v>8641</v>
      </c>
      <c r="C348" s="8" t="s">
        <v>8642</v>
      </c>
      <c r="D348" s="8" t="s">
        <v>8643</v>
      </c>
      <c r="E348" s="8" t="s">
        <v>6053</v>
      </c>
      <c r="F348" s="8" t="s">
        <v>8644</v>
      </c>
    </row>
    <row r="349" customHeight="1" spans="1:6">
      <c r="A349" s="6">
        <v>348</v>
      </c>
      <c r="B349" s="8" t="s">
        <v>8641</v>
      </c>
      <c r="C349" s="8" t="s">
        <v>8642</v>
      </c>
      <c r="D349" s="8" t="s">
        <v>8643</v>
      </c>
      <c r="E349" s="8" t="s">
        <v>6053</v>
      </c>
      <c r="F349" s="8" t="s">
        <v>8644</v>
      </c>
    </row>
    <row r="350" customHeight="1" spans="1:6">
      <c r="A350" s="6">
        <v>349</v>
      </c>
      <c r="B350" s="7" t="str">
        <f>"978-7-108-07011-1"</f>
        <v>978-7-108-07011-1</v>
      </c>
      <c r="C350" s="7" t="str">
        <f>"语文杂话"</f>
        <v>语文杂话</v>
      </c>
      <c r="D350" s="7" t="str">
        <f>"朱自清著"</f>
        <v>朱自清著</v>
      </c>
      <c r="E350" s="7" t="str">
        <f>"三联书店"</f>
        <v>三联书店</v>
      </c>
      <c r="F350" s="7" t="str">
        <f>"H19-53/6"</f>
        <v>H19-53/6</v>
      </c>
    </row>
    <row r="351" customHeight="1" spans="1:6">
      <c r="A351" s="6">
        <v>350</v>
      </c>
      <c r="B351" s="7" t="str">
        <f>"978-7-108-07011-1"</f>
        <v>978-7-108-07011-1</v>
      </c>
      <c r="C351" s="7" t="str">
        <f>"语文杂话"</f>
        <v>语文杂话</v>
      </c>
      <c r="D351" s="7" t="str">
        <f>"朱自清著"</f>
        <v>朱自清著</v>
      </c>
      <c r="E351" s="7" t="str">
        <f>"三联书店"</f>
        <v>三联书店</v>
      </c>
      <c r="F351" s="7" t="str">
        <f>"H19-53/6"</f>
        <v>H19-53/6</v>
      </c>
    </row>
    <row r="352" customHeight="1" spans="1:6">
      <c r="A352" s="6">
        <v>351</v>
      </c>
      <c r="B352" s="9" t="str">
        <f>"978-7-5635-6364-7"</f>
        <v>978-7-5635-6364-7</v>
      </c>
      <c r="C352" s="9" t="str">
        <f>"通信英语"</f>
        <v>通信英语</v>
      </c>
      <c r="D352" s="9" t="str">
        <f>"石方文， 葛子刚编著"</f>
        <v>石方文， 葛子刚编著</v>
      </c>
      <c r="E352" s="9" t="str">
        <f>"北京邮电大学出版社"</f>
        <v>北京邮电大学出版社</v>
      </c>
      <c r="F352" s="9" t="str">
        <f>"H31/1700=7D"</f>
        <v>H31/1700=7D</v>
      </c>
    </row>
    <row r="353" customHeight="1" spans="1:6">
      <c r="A353" s="6">
        <v>352</v>
      </c>
      <c r="B353" s="9" t="str">
        <f>"978-7-5635-6364-7"</f>
        <v>978-7-5635-6364-7</v>
      </c>
      <c r="C353" s="9" t="str">
        <f>"通信英语"</f>
        <v>通信英语</v>
      </c>
      <c r="D353" s="9" t="str">
        <f>"石方文， 葛子刚编著"</f>
        <v>石方文， 葛子刚编著</v>
      </c>
      <c r="E353" s="9" t="str">
        <f>"北京邮电大学出版社"</f>
        <v>北京邮电大学出版社</v>
      </c>
      <c r="F353" s="9" t="str">
        <f>"H31/1700=7D"</f>
        <v>H31/1700=7D</v>
      </c>
    </row>
    <row r="354" customHeight="1" spans="1:6">
      <c r="A354" s="6">
        <v>353</v>
      </c>
      <c r="B354" s="8" t="s">
        <v>8645</v>
      </c>
      <c r="C354" s="8" t="s">
        <v>8646</v>
      </c>
      <c r="D354" s="8" t="s">
        <v>8647</v>
      </c>
      <c r="E354" s="8" t="s">
        <v>5127</v>
      </c>
      <c r="F354" s="8" t="s">
        <v>8648</v>
      </c>
    </row>
    <row r="355" customHeight="1" spans="1:6">
      <c r="A355" s="6">
        <v>354</v>
      </c>
      <c r="B355" s="8" t="s">
        <v>8645</v>
      </c>
      <c r="C355" s="8" t="s">
        <v>8646</v>
      </c>
      <c r="D355" s="8" t="s">
        <v>8647</v>
      </c>
      <c r="E355" s="8" t="s">
        <v>5127</v>
      </c>
      <c r="F355" s="8" t="s">
        <v>8648</v>
      </c>
    </row>
    <row r="356" customHeight="1" spans="1:6">
      <c r="A356" s="6">
        <v>355</v>
      </c>
      <c r="B356" s="8" t="s">
        <v>8645</v>
      </c>
      <c r="C356" s="8" t="s">
        <v>8646</v>
      </c>
      <c r="D356" s="8" t="s">
        <v>8647</v>
      </c>
      <c r="E356" s="8" t="s">
        <v>5127</v>
      </c>
      <c r="F356" s="8" t="s">
        <v>8648</v>
      </c>
    </row>
    <row r="357" customHeight="1" spans="1:6">
      <c r="A357" s="6">
        <v>356</v>
      </c>
      <c r="B357" s="8" t="s">
        <v>8649</v>
      </c>
      <c r="C357" s="8" t="s">
        <v>8650</v>
      </c>
      <c r="D357" s="8" t="s">
        <v>8651</v>
      </c>
      <c r="E357" s="8" t="s">
        <v>576</v>
      </c>
      <c r="F357" s="8" t="s">
        <v>8652</v>
      </c>
    </row>
    <row r="358" customHeight="1" spans="1:6">
      <c r="A358" s="6">
        <v>357</v>
      </c>
      <c r="B358" s="8" t="s">
        <v>8649</v>
      </c>
      <c r="C358" s="8" t="s">
        <v>8650</v>
      </c>
      <c r="D358" s="8" t="s">
        <v>8651</v>
      </c>
      <c r="E358" s="8" t="s">
        <v>576</v>
      </c>
      <c r="F358" s="8" t="s">
        <v>8652</v>
      </c>
    </row>
    <row r="359" customHeight="1" spans="1:6">
      <c r="A359" s="6">
        <v>358</v>
      </c>
      <c r="B359" s="8" t="s">
        <v>8649</v>
      </c>
      <c r="C359" s="8" t="s">
        <v>8650</v>
      </c>
      <c r="D359" s="8" t="s">
        <v>8651</v>
      </c>
      <c r="E359" s="8" t="s">
        <v>576</v>
      </c>
      <c r="F359" s="8" t="s">
        <v>8652</v>
      </c>
    </row>
    <row r="360" customHeight="1" spans="1:6">
      <c r="A360" s="6">
        <v>359</v>
      </c>
      <c r="B360" s="8" t="s">
        <v>8653</v>
      </c>
      <c r="C360" s="8" t="s">
        <v>8654</v>
      </c>
      <c r="D360" s="8" t="s">
        <v>8655</v>
      </c>
      <c r="E360" s="8" t="s">
        <v>1189</v>
      </c>
      <c r="F360" s="8" t="s">
        <v>8656</v>
      </c>
    </row>
    <row r="361" customHeight="1" spans="1:6">
      <c r="A361" s="6">
        <v>360</v>
      </c>
      <c r="B361" s="8" t="s">
        <v>8653</v>
      </c>
      <c r="C361" s="8" t="s">
        <v>8654</v>
      </c>
      <c r="D361" s="8" t="s">
        <v>8655</v>
      </c>
      <c r="E361" s="8" t="s">
        <v>1189</v>
      </c>
      <c r="F361" s="8" t="s">
        <v>8656</v>
      </c>
    </row>
    <row r="362" customHeight="1" spans="1:6">
      <c r="A362" s="6">
        <v>361</v>
      </c>
      <c r="B362" s="8" t="s">
        <v>8653</v>
      </c>
      <c r="C362" s="8" t="s">
        <v>8654</v>
      </c>
      <c r="D362" s="8" t="s">
        <v>8655</v>
      </c>
      <c r="E362" s="8" t="s">
        <v>1189</v>
      </c>
      <c r="F362" s="8" t="s">
        <v>8656</v>
      </c>
    </row>
    <row r="363" customHeight="1" spans="1:6">
      <c r="A363" s="6">
        <v>362</v>
      </c>
      <c r="B363" s="8" t="s">
        <v>8657</v>
      </c>
      <c r="C363" s="8" t="s">
        <v>8658</v>
      </c>
      <c r="D363" s="8" t="s">
        <v>8659</v>
      </c>
      <c r="E363" s="8" t="s">
        <v>571</v>
      </c>
      <c r="F363" s="8" t="s">
        <v>8660</v>
      </c>
    </row>
    <row r="364" customHeight="1" spans="1:6">
      <c r="A364" s="6">
        <v>363</v>
      </c>
      <c r="B364" s="8" t="s">
        <v>8657</v>
      </c>
      <c r="C364" s="8" t="s">
        <v>8658</v>
      </c>
      <c r="D364" s="8" t="s">
        <v>8659</v>
      </c>
      <c r="E364" s="8" t="s">
        <v>571</v>
      </c>
      <c r="F364" s="8" t="s">
        <v>8660</v>
      </c>
    </row>
    <row r="365" customHeight="1" spans="1:6">
      <c r="A365" s="6">
        <v>364</v>
      </c>
      <c r="B365" s="8" t="s">
        <v>8657</v>
      </c>
      <c r="C365" s="8" t="s">
        <v>8658</v>
      </c>
      <c r="D365" s="8" t="s">
        <v>8659</v>
      </c>
      <c r="E365" s="8" t="s">
        <v>571</v>
      </c>
      <c r="F365" s="8" t="s">
        <v>8660</v>
      </c>
    </row>
    <row r="366" customHeight="1" spans="1:6">
      <c r="A366" s="6">
        <v>365</v>
      </c>
      <c r="B366" s="8" t="s">
        <v>8661</v>
      </c>
      <c r="C366" s="8" t="s">
        <v>8662</v>
      </c>
      <c r="D366" s="8" t="s">
        <v>8663</v>
      </c>
      <c r="E366" s="8" t="s">
        <v>239</v>
      </c>
      <c r="F366" s="8" t="s">
        <v>8664</v>
      </c>
    </row>
    <row r="367" customHeight="1" spans="1:6">
      <c r="A367" s="6">
        <v>366</v>
      </c>
      <c r="B367" s="8" t="s">
        <v>8661</v>
      </c>
      <c r="C367" s="8" t="s">
        <v>8662</v>
      </c>
      <c r="D367" s="8" t="s">
        <v>8663</v>
      </c>
      <c r="E367" s="8" t="s">
        <v>239</v>
      </c>
      <c r="F367" s="8" t="s">
        <v>8664</v>
      </c>
    </row>
    <row r="368" customHeight="1" spans="1:6">
      <c r="A368" s="6">
        <v>367</v>
      </c>
      <c r="B368" s="8" t="s">
        <v>8665</v>
      </c>
      <c r="C368" s="8" t="s">
        <v>8666</v>
      </c>
      <c r="D368" s="8" t="s">
        <v>8667</v>
      </c>
      <c r="E368" s="8" t="s">
        <v>1189</v>
      </c>
      <c r="F368" s="8" t="s">
        <v>8668</v>
      </c>
    </row>
    <row r="369" customHeight="1" spans="1:6">
      <c r="A369" s="6">
        <v>368</v>
      </c>
      <c r="B369" s="8" t="s">
        <v>8665</v>
      </c>
      <c r="C369" s="8" t="s">
        <v>8666</v>
      </c>
      <c r="D369" s="8" t="s">
        <v>8667</v>
      </c>
      <c r="E369" s="8" t="s">
        <v>1189</v>
      </c>
      <c r="F369" s="8" t="s">
        <v>8668</v>
      </c>
    </row>
    <row r="370" customHeight="1" spans="1:6">
      <c r="A370" s="6">
        <v>369</v>
      </c>
      <c r="B370" s="8" t="s">
        <v>8665</v>
      </c>
      <c r="C370" s="8" t="s">
        <v>8666</v>
      </c>
      <c r="D370" s="8" t="s">
        <v>8667</v>
      </c>
      <c r="E370" s="8" t="s">
        <v>1189</v>
      </c>
      <c r="F370" s="8" t="s">
        <v>8668</v>
      </c>
    </row>
    <row r="371" customHeight="1" spans="1:6">
      <c r="A371" s="6">
        <v>370</v>
      </c>
      <c r="B371" s="8" t="s">
        <v>8669</v>
      </c>
      <c r="C371" s="8" t="s">
        <v>8670</v>
      </c>
      <c r="D371" s="8" t="s">
        <v>8671</v>
      </c>
      <c r="E371" s="8" t="s">
        <v>385</v>
      </c>
      <c r="F371" s="8" t="s">
        <v>8672</v>
      </c>
    </row>
    <row r="372" customHeight="1" spans="1:6">
      <c r="A372" s="6">
        <v>371</v>
      </c>
      <c r="B372" s="8" t="s">
        <v>8669</v>
      </c>
      <c r="C372" s="8" t="s">
        <v>8670</v>
      </c>
      <c r="D372" s="8" t="s">
        <v>8671</v>
      </c>
      <c r="E372" s="8" t="s">
        <v>385</v>
      </c>
      <c r="F372" s="8" t="s">
        <v>8672</v>
      </c>
    </row>
    <row r="373" customHeight="1" spans="1:6">
      <c r="A373" s="6">
        <v>372</v>
      </c>
      <c r="B373" s="8" t="s">
        <v>8673</v>
      </c>
      <c r="C373" s="8" t="s">
        <v>8674</v>
      </c>
      <c r="D373" s="8" t="s">
        <v>8675</v>
      </c>
      <c r="E373" s="8" t="s">
        <v>8676</v>
      </c>
      <c r="F373" s="8" t="s">
        <v>8677</v>
      </c>
    </row>
    <row r="374" customHeight="1" spans="1:6">
      <c r="A374" s="6">
        <v>373</v>
      </c>
      <c r="B374" s="8" t="s">
        <v>8673</v>
      </c>
      <c r="C374" s="8" t="s">
        <v>8674</v>
      </c>
      <c r="D374" s="8" t="s">
        <v>8675</v>
      </c>
      <c r="E374" s="8" t="s">
        <v>8676</v>
      </c>
      <c r="F374" s="8" t="s">
        <v>8677</v>
      </c>
    </row>
    <row r="375" customHeight="1" spans="1:6">
      <c r="A375" s="6">
        <v>374</v>
      </c>
      <c r="B375" s="8" t="s">
        <v>8673</v>
      </c>
      <c r="C375" s="8" t="s">
        <v>8674</v>
      </c>
      <c r="D375" s="8" t="s">
        <v>8675</v>
      </c>
      <c r="E375" s="8" t="s">
        <v>8676</v>
      </c>
      <c r="F375" s="8" t="s">
        <v>8677</v>
      </c>
    </row>
    <row r="376" customHeight="1" spans="1:6">
      <c r="A376" s="6">
        <v>375</v>
      </c>
      <c r="B376" s="8" t="s">
        <v>8678</v>
      </c>
      <c r="C376" s="8" t="s">
        <v>8679</v>
      </c>
      <c r="D376" s="8" t="s">
        <v>8680</v>
      </c>
      <c r="E376" s="8" t="s">
        <v>571</v>
      </c>
      <c r="F376" s="8" t="s">
        <v>8681</v>
      </c>
    </row>
    <row r="377" customHeight="1" spans="1:6">
      <c r="A377" s="6">
        <v>376</v>
      </c>
      <c r="B377" s="8" t="s">
        <v>8678</v>
      </c>
      <c r="C377" s="8" t="s">
        <v>8679</v>
      </c>
      <c r="D377" s="8" t="s">
        <v>8680</v>
      </c>
      <c r="E377" s="8" t="s">
        <v>571</v>
      </c>
      <c r="F377" s="8" t="s">
        <v>8681</v>
      </c>
    </row>
    <row r="378" customHeight="1" spans="1:6">
      <c r="A378" s="6">
        <v>377</v>
      </c>
      <c r="B378" s="8" t="s">
        <v>8678</v>
      </c>
      <c r="C378" s="8" t="s">
        <v>8679</v>
      </c>
      <c r="D378" s="8" t="s">
        <v>8680</v>
      </c>
      <c r="E378" s="8" t="s">
        <v>571</v>
      </c>
      <c r="F378" s="8" t="s">
        <v>8681</v>
      </c>
    </row>
    <row r="379" customHeight="1" spans="1:6">
      <c r="A379" s="6">
        <v>378</v>
      </c>
      <c r="B379" s="8" t="s">
        <v>8682</v>
      </c>
      <c r="C379" s="8" t="s">
        <v>8683</v>
      </c>
      <c r="D379" s="8" t="s">
        <v>8684</v>
      </c>
      <c r="E379" s="8" t="s">
        <v>1818</v>
      </c>
      <c r="F379" s="8" t="s">
        <v>8685</v>
      </c>
    </row>
    <row r="380" customHeight="1" spans="1:6">
      <c r="A380" s="6">
        <v>379</v>
      </c>
      <c r="B380" s="8" t="s">
        <v>8682</v>
      </c>
      <c r="C380" s="8" t="s">
        <v>8683</v>
      </c>
      <c r="D380" s="8" t="s">
        <v>8684</v>
      </c>
      <c r="E380" s="8" t="s">
        <v>1818</v>
      </c>
      <c r="F380" s="8" t="s">
        <v>8685</v>
      </c>
    </row>
    <row r="381" customHeight="1" spans="1:6">
      <c r="A381" s="6">
        <v>380</v>
      </c>
      <c r="B381" s="8" t="s">
        <v>8686</v>
      </c>
      <c r="C381" s="8" t="s">
        <v>8687</v>
      </c>
      <c r="D381" s="8" t="s">
        <v>8688</v>
      </c>
      <c r="E381" s="8" t="s">
        <v>1342</v>
      </c>
      <c r="F381" s="8" t="s">
        <v>8689</v>
      </c>
    </row>
    <row r="382" customHeight="1" spans="1:6">
      <c r="A382" s="6">
        <v>381</v>
      </c>
      <c r="B382" s="8" t="s">
        <v>8686</v>
      </c>
      <c r="C382" s="8" t="s">
        <v>8687</v>
      </c>
      <c r="D382" s="8" t="s">
        <v>8688</v>
      </c>
      <c r="E382" s="8" t="s">
        <v>1342</v>
      </c>
      <c r="F382" s="8" t="s">
        <v>8689</v>
      </c>
    </row>
    <row r="383" customHeight="1" spans="1:6">
      <c r="A383" s="6">
        <v>382</v>
      </c>
      <c r="B383" s="8" t="s">
        <v>8690</v>
      </c>
      <c r="C383" s="8" t="s">
        <v>8691</v>
      </c>
      <c r="D383" s="8" t="s">
        <v>8692</v>
      </c>
      <c r="E383" s="8" t="s">
        <v>1189</v>
      </c>
      <c r="F383" s="8" t="s">
        <v>8693</v>
      </c>
    </row>
    <row r="384" customHeight="1" spans="1:6">
      <c r="A384" s="6">
        <v>383</v>
      </c>
      <c r="B384" s="8" t="s">
        <v>8690</v>
      </c>
      <c r="C384" s="8" t="s">
        <v>8691</v>
      </c>
      <c r="D384" s="8" t="s">
        <v>8692</v>
      </c>
      <c r="E384" s="8" t="s">
        <v>1189</v>
      </c>
      <c r="F384" s="8" t="s">
        <v>8693</v>
      </c>
    </row>
    <row r="385" customHeight="1" spans="1:6">
      <c r="A385" s="6">
        <v>384</v>
      </c>
      <c r="B385" s="8" t="s">
        <v>8690</v>
      </c>
      <c r="C385" s="8" t="s">
        <v>8691</v>
      </c>
      <c r="D385" s="8" t="s">
        <v>8692</v>
      </c>
      <c r="E385" s="8" t="s">
        <v>1189</v>
      </c>
      <c r="F385" s="8" t="s">
        <v>8693</v>
      </c>
    </row>
    <row r="386" customHeight="1" spans="1:6">
      <c r="A386" s="6">
        <v>385</v>
      </c>
      <c r="B386" s="8" t="s">
        <v>8694</v>
      </c>
      <c r="C386" s="8" t="s">
        <v>8695</v>
      </c>
      <c r="D386" s="8" t="s">
        <v>8696</v>
      </c>
      <c r="E386" s="8" t="s">
        <v>239</v>
      </c>
      <c r="F386" s="8" t="s">
        <v>8697</v>
      </c>
    </row>
    <row r="387" customHeight="1" spans="1:6">
      <c r="A387" s="6">
        <v>386</v>
      </c>
      <c r="B387" s="8" t="s">
        <v>8694</v>
      </c>
      <c r="C387" s="8" t="s">
        <v>8695</v>
      </c>
      <c r="D387" s="8" t="s">
        <v>8696</v>
      </c>
      <c r="E387" s="8" t="s">
        <v>239</v>
      </c>
      <c r="F387" s="8" t="s">
        <v>8697</v>
      </c>
    </row>
    <row r="388" customHeight="1" spans="1:6">
      <c r="A388" s="6">
        <v>387</v>
      </c>
      <c r="B388" s="8" t="s">
        <v>8698</v>
      </c>
      <c r="C388" s="8" t="s">
        <v>8699</v>
      </c>
      <c r="D388" s="8" t="s">
        <v>8700</v>
      </c>
      <c r="E388" s="8" t="s">
        <v>425</v>
      </c>
      <c r="F388" s="8" t="s">
        <v>8701</v>
      </c>
    </row>
    <row r="389" customHeight="1" spans="1:6">
      <c r="A389" s="6">
        <v>388</v>
      </c>
      <c r="B389" s="8" t="s">
        <v>8698</v>
      </c>
      <c r="C389" s="8" t="s">
        <v>8699</v>
      </c>
      <c r="D389" s="8" t="s">
        <v>8700</v>
      </c>
      <c r="E389" s="8" t="s">
        <v>425</v>
      </c>
      <c r="F389" s="8" t="s">
        <v>8701</v>
      </c>
    </row>
    <row r="390" customHeight="1" spans="1:6">
      <c r="A390" s="6">
        <v>389</v>
      </c>
      <c r="B390" s="8" t="s">
        <v>8698</v>
      </c>
      <c r="C390" s="8" t="s">
        <v>8699</v>
      </c>
      <c r="D390" s="8" t="s">
        <v>8700</v>
      </c>
      <c r="E390" s="8" t="s">
        <v>425</v>
      </c>
      <c r="F390" s="8" t="s">
        <v>8701</v>
      </c>
    </row>
    <row r="391" customHeight="1" spans="1:6">
      <c r="A391" s="6">
        <v>390</v>
      </c>
      <c r="B391" s="8" t="s">
        <v>8702</v>
      </c>
      <c r="C391" s="8" t="s">
        <v>8703</v>
      </c>
      <c r="D391" s="8" t="s">
        <v>8704</v>
      </c>
      <c r="E391" s="8" t="s">
        <v>2207</v>
      </c>
      <c r="F391" s="8" t="s">
        <v>8705</v>
      </c>
    </row>
    <row r="392" customHeight="1" spans="1:6">
      <c r="A392" s="6">
        <v>391</v>
      </c>
      <c r="B392" s="8" t="s">
        <v>8702</v>
      </c>
      <c r="C392" s="8" t="s">
        <v>8703</v>
      </c>
      <c r="D392" s="8" t="s">
        <v>8704</v>
      </c>
      <c r="E392" s="8" t="s">
        <v>2207</v>
      </c>
      <c r="F392" s="8" t="s">
        <v>8705</v>
      </c>
    </row>
    <row r="393" customHeight="1" spans="1:6">
      <c r="A393" s="6">
        <v>392</v>
      </c>
      <c r="B393" s="8" t="s">
        <v>8706</v>
      </c>
      <c r="C393" s="8" t="s">
        <v>8707</v>
      </c>
      <c r="D393" s="8" t="s">
        <v>8704</v>
      </c>
      <c r="E393" s="8" t="s">
        <v>2207</v>
      </c>
      <c r="F393" s="8" t="s">
        <v>8708</v>
      </c>
    </row>
    <row r="394" customHeight="1" spans="1:6">
      <c r="A394" s="6">
        <v>393</v>
      </c>
      <c r="B394" s="8" t="s">
        <v>8706</v>
      </c>
      <c r="C394" s="8" t="s">
        <v>8707</v>
      </c>
      <c r="D394" s="8" t="s">
        <v>8704</v>
      </c>
      <c r="E394" s="8" t="s">
        <v>2207</v>
      </c>
      <c r="F394" s="8" t="s">
        <v>8708</v>
      </c>
    </row>
    <row r="395" customHeight="1" spans="1:6">
      <c r="A395" s="6">
        <v>394</v>
      </c>
      <c r="B395" s="7" t="str">
        <f>"978-7-5189-7448-1"</f>
        <v>978-7-5189-7448-1</v>
      </c>
      <c r="C395" s="7" t="str">
        <f>"英语核心能力"</f>
        <v>英语核心能力</v>
      </c>
      <c r="D395" s="7" t="str">
        <f>"刘辉， 张冉主编"</f>
        <v>刘辉， 张冉主编</v>
      </c>
      <c r="E395" s="7" t="str">
        <f>"科学技术文献出版社"</f>
        <v>科学技术文献出版社</v>
      </c>
      <c r="F395" s="7" t="str">
        <f>"H310.41/212"</f>
        <v>H310.41/212</v>
      </c>
    </row>
    <row r="396" customHeight="1" spans="1:6">
      <c r="A396" s="6">
        <v>395</v>
      </c>
      <c r="B396" s="7" t="str">
        <f>"978-7-5189-7448-1"</f>
        <v>978-7-5189-7448-1</v>
      </c>
      <c r="C396" s="7" t="str">
        <f>"英语核心能力"</f>
        <v>英语核心能力</v>
      </c>
      <c r="D396" s="7" t="str">
        <f>"刘辉， 张冉主编"</f>
        <v>刘辉， 张冉主编</v>
      </c>
      <c r="E396" s="7" t="str">
        <f>"科学技术文献出版社"</f>
        <v>科学技术文献出版社</v>
      </c>
      <c r="F396" s="7" t="str">
        <f>"H310.41/212"</f>
        <v>H310.41/212</v>
      </c>
    </row>
    <row r="397" customHeight="1" spans="1:6">
      <c r="A397" s="6">
        <v>396</v>
      </c>
      <c r="B397" s="8" t="s">
        <v>8709</v>
      </c>
      <c r="C397" s="8" t="s">
        <v>8710</v>
      </c>
      <c r="D397" s="8" t="s">
        <v>8711</v>
      </c>
      <c r="E397" s="8" t="s">
        <v>2207</v>
      </c>
      <c r="F397" s="8" t="s">
        <v>8712</v>
      </c>
    </row>
    <row r="398" customHeight="1" spans="1:6">
      <c r="A398" s="6">
        <v>397</v>
      </c>
      <c r="B398" s="8" t="s">
        <v>8709</v>
      </c>
      <c r="C398" s="8" t="s">
        <v>8710</v>
      </c>
      <c r="D398" s="8" t="s">
        <v>8711</v>
      </c>
      <c r="E398" s="8" t="s">
        <v>2207</v>
      </c>
      <c r="F398" s="8" t="s">
        <v>8712</v>
      </c>
    </row>
    <row r="399" customHeight="1" spans="1:6">
      <c r="A399" s="6">
        <v>398</v>
      </c>
      <c r="B399" s="8" t="s">
        <v>8709</v>
      </c>
      <c r="C399" s="8" t="s">
        <v>8710</v>
      </c>
      <c r="D399" s="8" t="s">
        <v>8711</v>
      </c>
      <c r="E399" s="8" t="s">
        <v>2207</v>
      </c>
      <c r="F399" s="8" t="s">
        <v>8712</v>
      </c>
    </row>
    <row r="400" customHeight="1" spans="1:6">
      <c r="A400" s="6">
        <v>399</v>
      </c>
      <c r="B400" s="8" t="s">
        <v>8713</v>
      </c>
      <c r="C400" s="8" t="s">
        <v>8714</v>
      </c>
      <c r="D400" s="8" t="s">
        <v>8715</v>
      </c>
      <c r="E400" s="8" t="s">
        <v>7202</v>
      </c>
      <c r="F400" s="8" t="s">
        <v>8716</v>
      </c>
    </row>
    <row r="401" customHeight="1" spans="1:6">
      <c r="A401" s="6">
        <v>400</v>
      </c>
      <c r="B401" s="8" t="s">
        <v>8713</v>
      </c>
      <c r="C401" s="8" t="s">
        <v>8714</v>
      </c>
      <c r="D401" s="8" t="s">
        <v>8715</v>
      </c>
      <c r="E401" s="8" t="s">
        <v>7202</v>
      </c>
      <c r="F401" s="8" t="s">
        <v>8716</v>
      </c>
    </row>
    <row r="402" customHeight="1" spans="1:6">
      <c r="A402" s="6">
        <v>401</v>
      </c>
      <c r="B402" s="8" t="s">
        <v>8713</v>
      </c>
      <c r="C402" s="8" t="s">
        <v>8714</v>
      </c>
      <c r="D402" s="8" t="s">
        <v>8715</v>
      </c>
      <c r="E402" s="8" t="s">
        <v>7202</v>
      </c>
      <c r="F402" s="8" t="s">
        <v>8716</v>
      </c>
    </row>
    <row r="403" customHeight="1" spans="1:6">
      <c r="A403" s="6">
        <v>402</v>
      </c>
      <c r="B403" s="8" t="s">
        <v>8717</v>
      </c>
      <c r="C403" s="8" t="s">
        <v>8718</v>
      </c>
      <c r="D403" s="8" t="s">
        <v>8719</v>
      </c>
      <c r="E403" s="8" t="s">
        <v>256</v>
      </c>
      <c r="F403" s="8" t="s">
        <v>8720</v>
      </c>
    </row>
    <row r="404" customHeight="1" spans="1:6">
      <c r="A404" s="6">
        <v>403</v>
      </c>
      <c r="B404" s="8" t="s">
        <v>8717</v>
      </c>
      <c r="C404" s="8" t="s">
        <v>8718</v>
      </c>
      <c r="D404" s="8" t="s">
        <v>8719</v>
      </c>
      <c r="E404" s="8" t="s">
        <v>256</v>
      </c>
      <c r="F404" s="8" t="s">
        <v>8720</v>
      </c>
    </row>
    <row r="405" customHeight="1" spans="1:6">
      <c r="A405" s="6">
        <v>404</v>
      </c>
      <c r="B405" s="8" t="s">
        <v>8721</v>
      </c>
      <c r="C405" s="8" t="s">
        <v>8722</v>
      </c>
      <c r="D405" s="8" t="s">
        <v>4360</v>
      </c>
      <c r="E405" s="8" t="s">
        <v>360</v>
      </c>
      <c r="F405" s="8" t="s">
        <v>8723</v>
      </c>
    </row>
    <row r="406" customHeight="1" spans="1:6">
      <c r="A406" s="6">
        <v>405</v>
      </c>
      <c r="B406" s="8" t="s">
        <v>8721</v>
      </c>
      <c r="C406" s="8" t="s">
        <v>8722</v>
      </c>
      <c r="D406" s="8" t="s">
        <v>4360</v>
      </c>
      <c r="E406" s="8" t="s">
        <v>360</v>
      </c>
      <c r="F406" s="8" t="s">
        <v>8723</v>
      </c>
    </row>
    <row r="407" customHeight="1" spans="1:6">
      <c r="A407" s="6">
        <v>406</v>
      </c>
      <c r="B407" s="8" t="s">
        <v>8721</v>
      </c>
      <c r="C407" s="8" t="s">
        <v>8722</v>
      </c>
      <c r="D407" s="8" t="s">
        <v>4360</v>
      </c>
      <c r="E407" s="8" t="s">
        <v>360</v>
      </c>
      <c r="F407" s="8" t="s">
        <v>8723</v>
      </c>
    </row>
    <row r="408" customHeight="1" spans="1:6">
      <c r="A408" s="6">
        <v>407</v>
      </c>
      <c r="B408" s="8" t="s">
        <v>8724</v>
      </c>
      <c r="C408" s="8" t="s">
        <v>8725</v>
      </c>
      <c r="D408" s="8" t="s">
        <v>8726</v>
      </c>
      <c r="E408" s="8" t="s">
        <v>2790</v>
      </c>
      <c r="F408" s="8" t="s">
        <v>8727</v>
      </c>
    </row>
    <row r="409" customHeight="1" spans="1:6">
      <c r="A409" s="6">
        <v>408</v>
      </c>
      <c r="B409" s="8" t="s">
        <v>8724</v>
      </c>
      <c r="C409" s="8" t="s">
        <v>8725</v>
      </c>
      <c r="D409" s="8" t="s">
        <v>8726</v>
      </c>
      <c r="E409" s="8" t="s">
        <v>2790</v>
      </c>
      <c r="F409" s="8" t="s">
        <v>8727</v>
      </c>
    </row>
    <row r="410" customHeight="1" spans="1:6">
      <c r="A410" s="6">
        <v>409</v>
      </c>
      <c r="B410" s="7" t="str">
        <f t="shared" ref="B410:B412" si="15">"978-7-5713-2407-0"</f>
        <v>978-7-5713-2407-0</v>
      </c>
      <c r="C410" s="7" t="str">
        <f t="shared" ref="C410:C412" si="16">"新托业词汇超强串记4000"</f>
        <v>新托业词汇超强串记4000</v>
      </c>
      <c r="D410" s="7" t="str">
        <f t="shared" ref="D410:D412" si="17">"(韩) 克里斯·徐著；王明秀译"</f>
        <v>(韩) 克里斯·徐著；王明秀译</v>
      </c>
      <c r="E410" s="7" t="str">
        <f t="shared" ref="E410:E412" si="18">"江苏凤凰科学技术出版社"</f>
        <v>江苏凤凰科学技术出版社</v>
      </c>
      <c r="F410" s="7" t="str">
        <f t="shared" ref="F410:F412" si="19">"H313.1/1127/W"</f>
        <v>H313.1/1127/W</v>
      </c>
    </row>
    <row r="411" customHeight="1" spans="1:6">
      <c r="A411" s="6">
        <v>410</v>
      </c>
      <c r="B411" s="7" t="str">
        <f t="shared" si="15"/>
        <v>978-7-5713-2407-0</v>
      </c>
      <c r="C411" s="7" t="str">
        <f t="shared" si="16"/>
        <v>新托业词汇超强串记4000</v>
      </c>
      <c r="D411" s="7" t="str">
        <f t="shared" si="17"/>
        <v>(韩) 克里斯·徐著；王明秀译</v>
      </c>
      <c r="E411" s="7" t="str">
        <f t="shared" si="18"/>
        <v>江苏凤凰科学技术出版社</v>
      </c>
      <c r="F411" s="7" t="str">
        <f t="shared" si="19"/>
        <v>H313.1/1127/W</v>
      </c>
    </row>
    <row r="412" customHeight="1" spans="1:6">
      <c r="A412" s="6">
        <v>411</v>
      </c>
      <c r="B412" s="7" t="str">
        <f t="shared" si="15"/>
        <v>978-7-5713-2407-0</v>
      </c>
      <c r="C412" s="7" t="str">
        <f t="shared" si="16"/>
        <v>新托业词汇超强串记4000</v>
      </c>
      <c r="D412" s="7" t="str">
        <f t="shared" si="17"/>
        <v>(韩) 克里斯·徐著；王明秀译</v>
      </c>
      <c r="E412" s="7" t="str">
        <f t="shared" si="18"/>
        <v>江苏凤凰科学技术出版社</v>
      </c>
      <c r="F412" s="7" t="str">
        <f t="shared" si="19"/>
        <v>H313.1/1127/W</v>
      </c>
    </row>
    <row r="413" customHeight="1" spans="1:6">
      <c r="A413" s="6">
        <v>412</v>
      </c>
      <c r="B413" s="8" t="s">
        <v>8728</v>
      </c>
      <c r="C413" s="8" t="s">
        <v>8729</v>
      </c>
      <c r="D413" s="8" t="s">
        <v>8730</v>
      </c>
      <c r="E413" s="8" t="s">
        <v>350</v>
      </c>
      <c r="F413" s="8" t="s">
        <v>8731</v>
      </c>
    </row>
    <row r="414" customHeight="1" spans="1:6">
      <c r="A414" s="6">
        <v>413</v>
      </c>
      <c r="B414" s="8" t="s">
        <v>8728</v>
      </c>
      <c r="C414" s="8" t="s">
        <v>8729</v>
      </c>
      <c r="D414" s="8" t="s">
        <v>8730</v>
      </c>
      <c r="E414" s="8" t="s">
        <v>350</v>
      </c>
      <c r="F414" s="8" t="s">
        <v>8731</v>
      </c>
    </row>
    <row r="415" customHeight="1" spans="1:6">
      <c r="A415" s="6">
        <v>414</v>
      </c>
      <c r="B415" s="8" t="s">
        <v>8732</v>
      </c>
      <c r="C415" s="8" t="s">
        <v>8733</v>
      </c>
      <c r="D415" s="8" t="s">
        <v>8734</v>
      </c>
      <c r="E415" s="8" t="s">
        <v>5127</v>
      </c>
      <c r="F415" s="8" t="s">
        <v>8735</v>
      </c>
    </row>
    <row r="416" customHeight="1" spans="1:6">
      <c r="A416" s="6">
        <v>415</v>
      </c>
      <c r="B416" s="8" t="s">
        <v>8732</v>
      </c>
      <c r="C416" s="8" t="s">
        <v>8733</v>
      </c>
      <c r="D416" s="8" t="s">
        <v>8734</v>
      </c>
      <c r="E416" s="8" t="s">
        <v>5127</v>
      </c>
      <c r="F416" s="8" t="s">
        <v>8735</v>
      </c>
    </row>
    <row r="417" customHeight="1" spans="1:6">
      <c r="A417" s="6">
        <v>416</v>
      </c>
      <c r="B417" s="8" t="s">
        <v>8732</v>
      </c>
      <c r="C417" s="8" t="s">
        <v>8733</v>
      </c>
      <c r="D417" s="8" t="s">
        <v>8734</v>
      </c>
      <c r="E417" s="8" t="s">
        <v>5127</v>
      </c>
      <c r="F417" s="8" t="s">
        <v>8735</v>
      </c>
    </row>
    <row r="418" customHeight="1" spans="1:6">
      <c r="A418" s="6">
        <v>417</v>
      </c>
      <c r="B418" s="8" t="s">
        <v>8736</v>
      </c>
      <c r="C418" s="8" t="s">
        <v>8737</v>
      </c>
      <c r="D418" s="8" t="s">
        <v>8734</v>
      </c>
      <c r="E418" s="8" t="s">
        <v>5127</v>
      </c>
      <c r="F418" s="8" t="s">
        <v>8738</v>
      </c>
    </row>
    <row r="419" customHeight="1" spans="1:6">
      <c r="A419" s="6">
        <v>418</v>
      </c>
      <c r="B419" s="8" t="s">
        <v>8736</v>
      </c>
      <c r="C419" s="8" t="s">
        <v>8737</v>
      </c>
      <c r="D419" s="8" t="s">
        <v>8734</v>
      </c>
      <c r="E419" s="8" t="s">
        <v>5127</v>
      </c>
      <c r="F419" s="8" t="s">
        <v>8738</v>
      </c>
    </row>
    <row r="420" customHeight="1" spans="1:6">
      <c r="A420" s="6">
        <v>419</v>
      </c>
      <c r="B420" s="8" t="s">
        <v>8736</v>
      </c>
      <c r="C420" s="8" t="s">
        <v>8737</v>
      </c>
      <c r="D420" s="8" t="s">
        <v>8734</v>
      </c>
      <c r="E420" s="8" t="s">
        <v>5127</v>
      </c>
      <c r="F420" s="8" t="s">
        <v>8738</v>
      </c>
    </row>
    <row r="421" customHeight="1" spans="1:6">
      <c r="A421" s="6">
        <v>420</v>
      </c>
      <c r="B421" s="8" t="s">
        <v>8739</v>
      </c>
      <c r="C421" s="8" t="s">
        <v>8740</v>
      </c>
      <c r="D421" s="8" t="s">
        <v>8741</v>
      </c>
      <c r="E421" s="8" t="s">
        <v>1818</v>
      </c>
      <c r="F421" s="8" t="s">
        <v>8742</v>
      </c>
    </row>
    <row r="422" customHeight="1" spans="1:6">
      <c r="A422" s="6">
        <v>421</v>
      </c>
      <c r="B422" s="8" t="s">
        <v>8739</v>
      </c>
      <c r="C422" s="8" t="s">
        <v>8740</v>
      </c>
      <c r="D422" s="8" t="s">
        <v>8741</v>
      </c>
      <c r="E422" s="8" t="s">
        <v>1818</v>
      </c>
      <c r="F422" s="8" t="s">
        <v>8742</v>
      </c>
    </row>
    <row r="423" customHeight="1" spans="1:6">
      <c r="A423" s="6">
        <v>422</v>
      </c>
      <c r="B423" s="8" t="s">
        <v>8743</v>
      </c>
      <c r="C423" s="8" t="s">
        <v>8744</v>
      </c>
      <c r="D423" s="8" t="s">
        <v>8745</v>
      </c>
      <c r="E423" s="8" t="s">
        <v>5127</v>
      </c>
      <c r="F423" s="8" t="s">
        <v>8746</v>
      </c>
    </row>
    <row r="424" customHeight="1" spans="1:6">
      <c r="A424" s="6">
        <v>423</v>
      </c>
      <c r="B424" s="8" t="s">
        <v>8743</v>
      </c>
      <c r="C424" s="8" t="s">
        <v>8744</v>
      </c>
      <c r="D424" s="8" t="s">
        <v>8745</v>
      </c>
      <c r="E424" s="8" t="s">
        <v>5127</v>
      </c>
      <c r="F424" s="8" t="s">
        <v>8746</v>
      </c>
    </row>
    <row r="425" customHeight="1" spans="1:6">
      <c r="A425" s="6">
        <v>424</v>
      </c>
      <c r="B425" s="8" t="s">
        <v>8743</v>
      </c>
      <c r="C425" s="8" t="s">
        <v>8744</v>
      </c>
      <c r="D425" s="8" t="s">
        <v>8745</v>
      </c>
      <c r="E425" s="8" t="s">
        <v>5127</v>
      </c>
      <c r="F425" s="8" t="s">
        <v>8746</v>
      </c>
    </row>
    <row r="426" customHeight="1" spans="1:6">
      <c r="A426" s="6">
        <v>425</v>
      </c>
      <c r="B426" s="8" t="s">
        <v>8747</v>
      </c>
      <c r="C426" s="8" t="s">
        <v>8748</v>
      </c>
      <c r="D426" s="8" t="s">
        <v>8749</v>
      </c>
      <c r="E426" s="8" t="s">
        <v>8750</v>
      </c>
      <c r="F426" s="8" t="s">
        <v>8751</v>
      </c>
    </row>
    <row r="427" customHeight="1" spans="1:6">
      <c r="A427" s="6">
        <v>426</v>
      </c>
      <c r="B427" s="8" t="s">
        <v>8747</v>
      </c>
      <c r="C427" s="8" t="s">
        <v>8748</v>
      </c>
      <c r="D427" s="8" t="s">
        <v>8749</v>
      </c>
      <c r="E427" s="8" t="s">
        <v>8750</v>
      </c>
      <c r="F427" s="8" t="s">
        <v>8751</v>
      </c>
    </row>
    <row r="428" customHeight="1" spans="1:6">
      <c r="A428" s="6">
        <v>427</v>
      </c>
      <c r="B428" s="8" t="s">
        <v>8752</v>
      </c>
      <c r="C428" s="8" t="s">
        <v>8753</v>
      </c>
      <c r="D428" s="8" t="s">
        <v>8754</v>
      </c>
      <c r="E428" s="8" t="s">
        <v>5127</v>
      </c>
      <c r="F428" s="8" t="s">
        <v>8755</v>
      </c>
    </row>
    <row r="429" customHeight="1" spans="1:6">
      <c r="A429" s="6">
        <v>428</v>
      </c>
      <c r="B429" s="8" t="s">
        <v>8752</v>
      </c>
      <c r="C429" s="8" t="s">
        <v>8753</v>
      </c>
      <c r="D429" s="8" t="s">
        <v>8754</v>
      </c>
      <c r="E429" s="8" t="s">
        <v>5127</v>
      </c>
      <c r="F429" s="8" t="s">
        <v>8755</v>
      </c>
    </row>
    <row r="430" customHeight="1" spans="1:6">
      <c r="A430" s="6">
        <v>429</v>
      </c>
      <c r="B430" s="8" t="s">
        <v>8752</v>
      </c>
      <c r="C430" s="8" t="s">
        <v>8753</v>
      </c>
      <c r="D430" s="8" t="s">
        <v>8754</v>
      </c>
      <c r="E430" s="8" t="s">
        <v>5127</v>
      </c>
      <c r="F430" s="8" t="s">
        <v>8755</v>
      </c>
    </row>
    <row r="431" customHeight="1" spans="1:6">
      <c r="A431" s="6">
        <v>430</v>
      </c>
      <c r="B431" s="8" t="s">
        <v>8756</v>
      </c>
      <c r="C431" s="8" t="s">
        <v>8757</v>
      </c>
      <c r="D431" s="8" t="s">
        <v>8754</v>
      </c>
      <c r="E431" s="8" t="s">
        <v>5127</v>
      </c>
      <c r="F431" s="8" t="s">
        <v>8758</v>
      </c>
    </row>
    <row r="432" customHeight="1" spans="1:6">
      <c r="A432" s="6">
        <v>431</v>
      </c>
      <c r="B432" s="8" t="s">
        <v>8756</v>
      </c>
      <c r="C432" s="8" t="s">
        <v>8757</v>
      </c>
      <c r="D432" s="8" t="s">
        <v>8754</v>
      </c>
      <c r="E432" s="8" t="s">
        <v>5127</v>
      </c>
      <c r="F432" s="8" t="s">
        <v>8758</v>
      </c>
    </row>
    <row r="433" customHeight="1" spans="1:6">
      <c r="A433" s="6">
        <v>432</v>
      </c>
      <c r="B433" s="8" t="s">
        <v>8756</v>
      </c>
      <c r="C433" s="8" t="s">
        <v>8757</v>
      </c>
      <c r="D433" s="8" t="s">
        <v>8754</v>
      </c>
      <c r="E433" s="8" t="s">
        <v>5127</v>
      </c>
      <c r="F433" s="8" t="s">
        <v>8758</v>
      </c>
    </row>
    <row r="434" customHeight="1" spans="1:6">
      <c r="A434" s="6">
        <v>433</v>
      </c>
      <c r="B434" s="8" t="s">
        <v>8759</v>
      </c>
      <c r="C434" s="8" t="s">
        <v>8760</v>
      </c>
      <c r="D434" s="8" t="s">
        <v>8761</v>
      </c>
      <c r="E434" s="8" t="s">
        <v>5127</v>
      </c>
      <c r="F434" s="8" t="s">
        <v>8762</v>
      </c>
    </row>
    <row r="435" customHeight="1" spans="1:6">
      <c r="A435" s="6">
        <v>434</v>
      </c>
      <c r="B435" s="8" t="s">
        <v>8759</v>
      </c>
      <c r="C435" s="8" t="s">
        <v>8760</v>
      </c>
      <c r="D435" s="8" t="s">
        <v>8761</v>
      </c>
      <c r="E435" s="8" t="s">
        <v>5127</v>
      </c>
      <c r="F435" s="8" t="s">
        <v>8762</v>
      </c>
    </row>
    <row r="436" customHeight="1" spans="1:6">
      <c r="A436" s="6">
        <v>435</v>
      </c>
      <c r="B436" s="8" t="s">
        <v>8763</v>
      </c>
      <c r="C436" s="8" t="s">
        <v>8764</v>
      </c>
      <c r="D436" s="8" t="s">
        <v>8765</v>
      </c>
      <c r="E436" s="8" t="s">
        <v>239</v>
      </c>
      <c r="F436" s="8" t="s">
        <v>8766</v>
      </c>
    </row>
    <row r="437" customHeight="1" spans="1:6">
      <c r="A437" s="6">
        <v>436</v>
      </c>
      <c r="B437" s="8" t="s">
        <v>8763</v>
      </c>
      <c r="C437" s="8" t="s">
        <v>8764</v>
      </c>
      <c r="D437" s="8" t="s">
        <v>8765</v>
      </c>
      <c r="E437" s="8" t="s">
        <v>239</v>
      </c>
      <c r="F437" s="8" t="s">
        <v>8766</v>
      </c>
    </row>
    <row r="438" customHeight="1" spans="1:6">
      <c r="A438" s="6">
        <v>437</v>
      </c>
      <c r="B438" s="8" t="s">
        <v>8767</v>
      </c>
      <c r="C438" s="8" t="s">
        <v>8768</v>
      </c>
      <c r="D438" s="8" t="s">
        <v>8769</v>
      </c>
      <c r="E438" s="8" t="s">
        <v>13</v>
      </c>
      <c r="F438" s="8" t="s">
        <v>8770</v>
      </c>
    </row>
    <row r="439" customHeight="1" spans="1:6">
      <c r="A439" s="6">
        <v>438</v>
      </c>
      <c r="B439" s="8" t="s">
        <v>8767</v>
      </c>
      <c r="C439" s="8" t="s">
        <v>8768</v>
      </c>
      <c r="D439" s="8" t="s">
        <v>8769</v>
      </c>
      <c r="E439" s="8" t="s">
        <v>13</v>
      </c>
      <c r="F439" s="8" t="s">
        <v>8770</v>
      </c>
    </row>
    <row r="440" customHeight="1" spans="1:6">
      <c r="A440" s="6">
        <v>439</v>
      </c>
      <c r="B440" s="8" t="s">
        <v>8767</v>
      </c>
      <c r="C440" s="8" t="s">
        <v>8768</v>
      </c>
      <c r="D440" s="8" t="s">
        <v>8769</v>
      </c>
      <c r="E440" s="8" t="s">
        <v>13</v>
      </c>
      <c r="F440" s="8" t="s">
        <v>8770</v>
      </c>
    </row>
    <row r="441" customHeight="1" spans="1:6">
      <c r="A441" s="6">
        <v>440</v>
      </c>
      <c r="B441" s="8" t="s">
        <v>8771</v>
      </c>
      <c r="C441" s="8" t="s">
        <v>8772</v>
      </c>
      <c r="D441" s="8" t="s">
        <v>8773</v>
      </c>
      <c r="E441" s="8" t="s">
        <v>5127</v>
      </c>
      <c r="F441" s="8" t="s">
        <v>8774</v>
      </c>
    </row>
    <row r="442" customHeight="1" spans="1:6">
      <c r="A442" s="6">
        <v>441</v>
      </c>
      <c r="B442" s="8" t="s">
        <v>8771</v>
      </c>
      <c r="C442" s="8" t="s">
        <v>8772</v>
      </c>
      <c r="D442" s="8" t="s">
        <v>8773</v>
      </c>
      <c r="E442" s="8" t="s">
        <v>5127</v>
      </c>
      <c r="F442" s="8" t="s">
        <v>8774</v>
      </c>
    </row>
    <row r="443" customHeight="1" spans="1:6">
      <c r="A443" s="6">
        <v>442</v>
      </c>
      <c r="B443" s="8" t="s">
        <v>8771</v>
      </c>
      <c r="C443" s="8" t="s">
        <v>8772</v>
      </c>
      <c r="D443" s="8" t="s">
        <v>8773</v>
      </c>
      <c r="E443" s="8" t="s">
        <v>5127</v>
      </c>
      <c r="F443" s="8" t="s">
        <v>8774</v>
      </c>
    </row>
    <row r="444" customHeight="1" spans="1:6">
      <c r="A444" s="6">
        <v>443</v>
      </c>
      <c r="B444" s="8" t="s">
        <v>8775</v>
      </c>
      <c r="C444" s="8" t="s">
        <v>8776</v>
      </c>
      <c r="D444" s="8" t="s">
        <v>8773</v>
      </c>
      <c r="E444" s="8" t="s">
        <v>5127</v>
      </c>
      <c r="F444" s="8" t="s">
        <v>8777</v>
      </c>
    </row>
    <row r="445" customHeight="1" spans="1:6">
      <c r="A445" s="6">
        <v>444</v>
      </c>
      <c r="B445" s="8" t="s">
        <v>8775</v>
      </c>
      <c r="C445" s="8" t="s">
        <v>8776</v>
      </c>
      <c r="D445" s="8" t="s">
        <v>8773</v>
      </c>
      <c r="E445" s="8" t="s">
        <v>5127</v>
      </c>
      <c r="F445" s="8" t="s">
        <v>8777</v>
      </c>
    </row>
    <row r="446" customHeight="1" spans="1:6">
      <c r="A446" s="6">
        <v>445</v>
      </c>
      <c r="B446" s="8" t="s">
        <v>8778</v>
      </c>
      <c r="C446" s="8" t="s">
        <v>8779</v>
      </c>
      <c r="D446" s="8" t="s">
        <v>8734</v>
      </c>
      <c r="E446" s="8" t="s">
        <v>5127</v>
      </c>
      <c r="F446" s="8" t="s">
        <v>8780</v>
      </c>
    </row>
    <row r="447" customHeight="1" spans="1:6">
      <c r="A447" s="6">
        <v>446</v>
      </c>
      <c r="B447" s="8" t="s">
        <v>8778</v>
      </c>
      <c r="C447" s="8" t="s">
        <v>8779</v>
      </c>
      <c r="D447" s="8" t="s">
        <v>8734</v>
      </c>
      <c r="E447" s="8" t="s">
        <v>5127</v>
      </c>
      <c r="F447" s="8" t="s">
        <v>8780</v>
      </c>
    </row>
    <row r="448" customHeight="1" spans="1:6">
      <c r="A448" s="6">
        <v>447</v>
      </c>
      <c r="B448" s="8" t="s">
        <v>8778</v>
      </c>
      <c r="C448" s="8" t="s">
        <v>8779</v>
      </c>
      <c r="D448" s="8" t="s">
        <v>8734</v>
      </c>
      <c r="E448" s="8" t="s">
        <v>5127</v>
      </c>
      <c r="F448" s="8" t="s">
        <v>8780</v>
      </c>
    </row>
    <row r="449" customHeight="1" spans="1:6">
      <c r="A449" s="6">
        <v>448</v>
      </c>
      <c r="B449" s="8" t="s">
        <v>8781</v>
      </c>
      <c r="C449" s="8" t="s">
        <v>8782</v>
      </c>
      <c r="D449" s="8" t="s">
        <v>8783</v>
      </c>
      <c r="E449" s="8" t="s">
        <v>5127</v>
      </c>
      <c r="F449" s="8" t="s">
        <v>8784</v>
      </c>
    </row>
    <row r="450" customHeight="1" spans="1:6">
      <c r="A450" s="6">
        <v>449</v>
      </c>
      <c r="B450" s="8" t="s">
        <v>8781</v>
      </c>
      <c r="C450" s="8" t="s">
        <v>8782</v>
      </c>
      <c r="D450" s="8" t="s">
        <v>8783</v>
      </c>
      <c r="E450" s="8" t="s">
        <v>5127</v>
      </c>
      <c r="F450" s="8" t="s">
        <v>8784</v>
      </c>
    </row>
    <row r="451" customHeight="1" spans="1:6">
      <c r="A451" s="6">
        <v>450</v>
      </c>
      <c r="B451" s="8" t="s">
        <v>8781</v>
      </c>
      <c r="C451" s="8" t="s">
        <v>8782</v>
      </c>
      <c r="D451" s="8" t="s">
        <v>8783</v>
      </c>
      <c r="E451" s="8" t="s">
        <v>5127</v>
      </c>
      <c r="F451" s="8" t="s">
        <v>8784</v>
      </c>
    </row>
    <row r="452" customHeight="1" spans="1:6">
      <c r="A452" s="6">
        <v>451</v>
      </c>
      <c r="B452" s="8" t="s">
        <v>8785</v>
      </c>
      <c r="C452" s="8" t="s">
        <v>8786</v>
      </c>
      <c r="D452" s="8" t="s">
        <v>8787</v>
      </c>
      <c r="E452" s="8" t="s">
        <v>5127</v>
      </c>
      <c r="F452" s="8" t="s">
        <v>8788</v>
      </c>
    </row>
    <row r="453" customHeight="1" spans="1:6">
      <c r="A453" s="6">
        <v>452</v>
      </c>
      <c r="B453" s="8" t="s">
        <v>8785</v>
      </c>
      <c r="C453" s="8" t="s">
        <v>8786</v>
      </c>
      <c r="D453" s="8" t="s">
        <v>8787</v>
      </c>
      <c r="E453" s="8" t="s">
        <v>5127</v>
      </c>
      <c r="F453" s="8" t="s">
        <v>8788</v>
      </c>
    </row>
    <row r="454" customHeight="1" spans="1:6">
      <c r="A454" s="6">
        <v>453</v>
      </c>
      <c r="B454" s="8" t="s">
        <v>8785</v>
      </c>
      <c r="C454" s="8" t="s">
        <v>8786</v>
      </c>
      <c r="D454" s="8" t="s">
        <v>8787</v>
      </c>
      <c r="E454" s="8" t="s">
        <v>5127</v>
      </c>
      <c r="F454" s="8" t="s">
        <v>8788</v>
      </c>
    </row>
    <row r="455" customHeight="1" spans="1:6">
      <c r="A455" s="6">
        <v>454</v>
      </c>
      <c r="B455" s="8" t="s">
        <v>8789</v>
      </c>
      <c r="C455" s="8" t="s">
        <v>8790</v>
      </c>
      <c r="D455" s="8" t="s">
        <v>8791</v>
      </c>
      <c r="E455" s="8" t="s">
        <v>1818</v>
      </c>
      <c r="F455" s="8" t="s">
        <v>8792</v>
      </c>
    </row>
    <row r="456" customHeight="1" spans="1:6">
      <c r="A456" s="6">
        <v>455</v>
      </c>
      <c r="B456" s="8" t="s">
        <v>8789</v>
      </c>
      <c r="C456" s="8" t="s">
        <v>8790</v>
      </c>
      <c r="D456" s="8" t="s">
        <v>8791</v>
      </c>
      <c r="E456" s="8" t="s">
        <v>1818</v>
      </c>
      <c r="F456" s="8" t="s">
        <v>8792</v>
      </c>
    </row>
    <row r="457" customHeight="1" spans="1:6">
      <c r="A457" s="6">
        <v>456</v>
      </c>
      <c r="B457" s="8" t="s">
        <v>8789</v>
      </c>
      <c r="C457" s="8" t="s">
        <v>8790</v>
      </c>
      <c r="D457" s="8" t="s">
        <v>8791</v>
      </c>
      <c r="E457" s="8" t="s">
        <v>1818</v>
      </c>
      <c r="F457" s="8" t="s">
        <v>8792</v>
      </c>
    </row>
    <row r="458" customHeight="1" spans="1:6">
      <c r="A458" s="6">
        <v>457</v>
      </c>
      <c r="B458" s="8" t="s">
        <v>8793</v>
      </c>
      <c r="C458" s="8" t="s">
        <v>8794</v>
      </c>
      <c r="D458" s="8" t="s">
        <v>8795</v>
      </c>
      <c r="E458" s="8" t="s">
        <v>485</v>
      </c>
      <c r="F458" s="8" t="s">
        <v>8796</v>
      </c>
    </row>
    <row r="459" customHeight="1" spans="1:6">
      <c r="A459" s="6">
        <v>458</v>
      </c>
      <c r="B459" s="8" t="s">
        <v>8793</v>
      </c>
      <c r="C459" s="8" t="s">
        <v>8794</v>
      </c>
      <c r="D459" s="8" t="s">
        <v>8795</v>
      </c>
      <c r="E459" s="8" t="s">
        <v>485</v>
      </c>
      <c r="F459" s="8" t="s">
        <v>8796</v>
      </c>
    </row>
    <row r="460" customHeight="1" spans="1:6">
      <c r="A460" s="6">
        <v>459</v>
      </c>
      <c r="B460" s="8" t="s">
        <v>8793</v>
      </c>
      <c r="C460" s="8" t="s">
        <v>8794</v>
      </c>
      <c r="D460" s="8" t="s">
        <v>8795</v>
      </c>
      <c r="E460" s="8" t="s">
        <v>485</v>
      </c>
      <c r="F460" s="8" t="s">
        <v>8796</v>
      </c>
    </row>
    <row r="461" customHeight="1" spans="1:6">
      <c r="A461" s="6">
        <v>460</v>
      </c>
      <c r="B461" s="8" t="s">
        <v>8797</v>
      </c>
      <c r="C461" s="8" t="s">
        <v>8798</v>
      </c>
      <c r="D461" s="8" t="s">
        <v>8799</v>
      </c>
      <c r="E461" s="8" t="s">
        <v>5998</v>
      </c>
      <c r="F461" s="8" t="s">
        <v>8800</v>
      </c>
    </row>
    <row r="462" customHeight="1" spans="1:6">
      <c r="A462" s="6">
        <v>461</v>
      </c>
      <c r="B462" s="8" t="s">
        <v>8797</v>
      </c>
      <c r="C462" s="8" t="s">
        <v>8798</v>
      </c>
      <c r="D462" s="8" t="s">
        <v>8799</v>
      </c>
      <c r="E462" s="8" t="s">
        <v>5998</v>
      </c>
      <c r="F462" s="8" t="s">
        <v>8800</v>
      </c>
    </row>
    <row r="463" customHeight="1" spans="1:6">
      <c r="A463" s="6">
        <v>462</v>
      </c>
      <c r="B463" s="8" t="s">
        <v>8801</v>
      </c>
      <c r="C463" s="8" t="s">
        <v>8802</v>
      </c>
      <c r="D463" s="8" t="s">
        <v>8803</v>
      </c>
      <c r="E463" s="8" t="s">
        <v>530</v>
      </c>
      <c r="F463" s="8" t="s">
        <v>8804</v>
      </c>
    </row>
    <row r="464" customHeight="1" spans="1:6">
      <c r="A464" s="6">
        <v>463</v>
      </c>
      <c r="B464" s="8" t="s">
        <v>8801</v>
      </c>
      <c r="C464" s="8" t="s">
        <v>8802</v>
      </c>
      <c r="D464" s="8" t="s">
        <v>8803</v>
      </c>
      <c r="E464" s="8" t="s">
        <v>530</v>
      </c>
      <c r="F464" s="8" t="s">
        <v>8804</v>
      </c>
    </row>
    <row r="465" customHeight="1" spans="1:6">
      <c r="A465" s="6">
        <v>464</v>
      </c>
      <c r="B465" s="8" t="s">
        <v>8805</v>
      </c>
      <c r="C465" s="8" t="s">
        <v>8806</v>
      </c>
      <c r="D465" s="8" t="s">
        <v>8745</v>
      </c>
      <c r="E465" s="8" t="s">
        <v>5127</v>
      </c>
      <c r="F465" s="8" t="s">
        <v>8807</v>
      </c>
    </row>
    <row r="466" customHeight="1" spans="1:6">
      <c r="A466" s="6">
        <v>465</v>
      </c>
      <c r="B466" s="8" t="s">
        <v>8805</v>
      </c>
      <c r="C466" s="8" t="s">
        <v>8806</v>
      </c>
      <c r="D466" s="8" t="s">
        <v>8745</v>
      </c>
      <c r="E466" s="8" t="s">
        <v>5127</v>
      </c>
      <c r="F466" s="8" t="s">
        <v>8807</v>
      </c>
    </row>
    <row r="467" customHeight="1" spans="1:6">
      <c r="A467" s="6">
        <v>466</v>
      </c>
      <c r="B467" s="8" t="s">
        <v>8805</v>
      </c>
      <c r="C467" s="8" t="s">
        <v>8806</v>
      </c>
      <c r="D467" s="8" t="s">
        <v>8745</v>
      </c>
      <c r="E467" s="8" t="s">
        <v>5127</v>
      </c>
      <c r="F467" s="8" t="s">
        <v>8807</v>
      </c>
    </row>
    <row r="468" customHeight="1" spans="1:6">
      <c r="A468" s="6">
        <v>467</v>
      </c>
      <c r="B468" s="8" t="s">
        <v>8808</v>
      </c>
      <c r="C468" s="8" t="s">
        <v>8809</v>
      </c>
      <c r="D468" s="8" t="s">
        <v>8810</v>
      </c>
      <c r="E468" s="8" t="s">
        <v>5127</v>
      </c>
      <c r="F468" s="8" t="s">
        <v>8811</v>
      </c>
    </row>
    <row r="469" customHeight="1" spans="1:6">
      <c r="A469" s="6">
        <v>468</v>
      </c>
      <c r="B469" s="8" t="s">
        <v>8808</v>
      </c>
      <c r="C469" s="8" t="s">
        <v>8809</v>
      </c>
      <c r="D469" s="8" t="s">
        <v>8810</v>
      </c>
      <c r="E469" s="8" t="s">
        <v>5127</v>
      </c>
      <c r="F469" s="8" t="s">
        <v>8811</v>
      </c>
    </row>
    <row r="470" customHeight="1" spans="1:6">
      <c r="A470" s="6">
        <v>469</v>
      </c>
      <c r="B470" s="8" t="s">
        <v>8808</v>
      </c>
      <c r="C470" s="8" t="s">
        <v>8809</v>
      </c>
      <c r="D470" s="8" t="s">
        <v>8810</v>
      </c>
      <c r="E470" s="8" t="s">
        <v>5127</v>
      </c>
      <c r="F470" s="8" t="s">
        <v>8811</v>
      </c>
    </row>
    <row r="471" customHeight="1" spans="1:6">
      <c r="A471" s="6">
        <v>470</v>
      </c>
      <c r="B471" s="8" t="s">
        <v>8812</v>
      </c>
      <c r="C471" s="8" t="s">
        <v>8813</v>
      </c>
      <c r="D471" s="8" t="s">
        <v>8814</v>
      </c>
      <c r="E471" s="8" t="s">
        <v>5127</v>
      </c>
      <c r="F471" s="8" t="s">
        <v>8815</v>
      </c>
    </row>
    <row r="472" customHeight="1" spans="1:6">
      <c r="A472" s="6">
        <v>471</v>
      </c>
      <c r="B472" s="8" t="s">
        <v>8812</v>
      </c>
      <c r="C472" s="8" t="s">
        <v>8813</v>
      </c>
      <c r="D472" s="8" t="s">
        <v>8814</v>
      </c>
      <c r="E472" s="8" t="s">
        <v>5127</v>
      </c>
      <c r="F472" s="8" t="s">
        <v>8815</v>
      </c>
    </row>
    <row r="473" customHeight="1" spans="1:6">
      <c r="A473" s="6">
        <v>472</v>
      </c>
      <c r="B473" s="8" t="s">
        <v>8812</v>
      </c>
      <c r="C473" s="8" t="s">
        <v>8813</v>
      </c>
      <c r="D473" s="8" t="s">
        <v>8814</v>
      </c>
      <c r="E473" s="8" t="s">
        <v>5127</v>
      </c>
      <c r="F473" s="8" t="s">
        <v>8815</v>
      </c>
    </row>
    <row r="474" customHeight="1" spans="1:6">
      <c r="A474" s="6">
        <v>473</v>
      </c>
      <c r="B474" s="8" t="s">
        <v>8816</v>
      </c>
      <c r="C474" s="8" t="s">
        <v>8817</v>
      </c>
      <c r="D474" s="8" t="s">
        <v>8810</v>
      </c>
      <c r="E474" s="8" t="s">
        <v>5127</v>
      </c>
      <c r="F474" s="8" t="s">
        <v>8818</v>
      </c>
    </row>
    <row r="475" customHeight="1" spans="1:6">
      <c r="A475" s="6">
        <v>474</v>
      </c>
      <c r="B475" s="8" t="s">
        <v>8816</v>
      </c>
      <c r="C475" s="8" t="s">
        <v>8817</v>
      </c>
      <c r="D475" s="8" t="s">
        <v>8810</v>
      </c>
      <c r="E475" s="8" t="s">
        <v>5127</v>
      </c>
      <c r="F475" s="8" t="s">
        <v>8818</v>
      </c>
    </row>
    <row r="476" customHeight="1" spans="1:6">
      <c r="A476" s="6">
        <v>475</v>
      </c>
      <c r="B476" s="8" t="s">
        <v>8816</v>
      </c>
      <c r="C476" s="8" t="s">
        <v>8817</v>
      </c>
      <c r="D476" s="8" t="s">
        <v>8810</v>
      </c>
      <c r="E476" s="8" t="s">
        <v>5127</v>
      </c>
      <c r="F476" s="8" t="s">
        <v>8818</v>
      </c>
    </row>
    <row r="477" customHeight="1" spans="1:6">
      <c r="A477" s="6">
        <v>476</v>
      </c>
      <c r="B477" s="8" t="s">
        <v>8819</v>
      </c>
      <c r="C477" s="8" t="s">
        <v>8820</v>
      </c>
      <c r="D477" s="8" t="s">
        <v>8810</v>
      </c>
      <c r="E477" s="8" t="s">
        <v>5127</v>
      </c>
      <c r="F477" s="8" t="s">
        <v>8821</v>
      </c>
    </row>
    <row r="478" customHeight="1" spans="1:6">
      <c r="A478" s="6">
        <v>477</v>
      </c>
      <c r="B478" s="8" t="s">
        <v>8819</v>
      </c>
      <c r="C478" s="8" t="s">
        <v>8820</v>
      </c>
      <c r="D478" s="8" t="s">
        <v>8810</v>
      </c>
      <c r="E478" s="8" t="s">
        <v>5127</v>
      </c>
      <c r="F478" s="8" t="s">
        <v>8821</v>
      </c>
    </row>
    <row r="479" customHeight="1" spans="1:6">
      <c r="A479" s="6">
        <v>478</v>
      </c>
      <c r="B479" s="8" t="s">
        <v>8819</v>
      </c>
      <c r="C479" s="8" t="s">
        <v>8820</v>
      </c>
      <c r="D479" s="8" t="s">
        <v>8810</v>
      </c>
      <c r="E479" s="8" t="s">
        <v>5127</v>
      </c>
      <c r="F479" s="8" t="s">
        <v>8821</v>
      </c>
    </row>
    <row r="480" customHeight="1" spans="1:6">
      <c r="A480" s="6">
        <v>479</v>
      </c>
      <c r="B480" s="8" t="s">
        <v>8822</v>
      </c>
      <c r="C480" s="8" t="s">
        <v>8823</v>
      </c>
      <c r="D480" s="8" t="s">
        <v>8824</v>
      </c>
      <c r="E480" s="8" t="s">
        <v>8825</v>
      </c>
      <c r="F480" s="8" t="s">
        <v>8826</v>
      </c>
    </row>
    <row r="481" customHeight="1" spans="1:6">
      <c r="A481" s="6">
        <v>480</v>
      </c>
      <c r="B481" s="8" t="s">
        <v>8822</v>
      </c>
      <c r="C481" s="8" t="s">
        <v>8823</v>
      </c>
      <c r="D481" s="8" t="s">
        <v>8824</v>
      </c>
      <c r="E481" s="8" t="s">
        <v>8825</v>
      </c>
      <c r="F481" s="8" t="s">
        <v>8826</v>
      </c>
    </row>
    <row r="482" customHeight="1" spans="1:6">
      <c r="A482" s="6">
        <v>481</v>
      </c>
      <c r="B482" s="8" t="s">
        <v>8822</v>
      </c>
      <c r="C482" s="8" t="s">
        <v>8827</v>
      </c>
      <c r="D482" s="8" t="s">
        <v>8824</v>
      </c>
      <c r="E482" s="8" t="s">
        <v>8825</v>
      </c>
      <c r="F482" s="8" t="s">
        <v>8828</v>
      </c>
    </row>
    <row r="483" customHeight="1" spans="1:6">
      <c r="A483" s="6">
        <v>482</v>
      </c>
      <c r="B483" s="8" t="s">
        <v>8822</v>
      </c>
      <c r="C483" s="8" t="s">
        <v>8827</v>
      </c>
      <c r="D483" s="8" t="s">
        <v>8824</v>
      </c>
      <c r="E483" s="8" t="s">
        <v>8825</v>
      </c>
      <c r="F483" s="8" t="s">
        <v>8828</v>
      </c>
    </row>
    <row r="484" customHeight="1" spans="1:6">
      <c r="A484" s="6">
        <v>483</v>
      </c>
      <c r="B484" s="8" t="s">
        <v>8829</v>
      </c>
      <c r="C484" s="8" t="s">
        <v>8830</v>
      </c>
      <c r="D484" s="8" t="s">
        <v>8765</v>
      </c>
      <c r="E484" s="8" t="s">
        <v>239</v>
      </c>
      <c r="F484" s="8" t="s">
        <v>8831</v>
      </c>
    </row>
    <row r="485" customHeight="1" spans="1:6">
      <c r="A485" s="6">
        <v>484</v>
      </c>
      <c r="B485" s="8" t="s">
        <v>8829</v>
      </c>
      <c r="C485" s="8" t="s">
        <v>8830</v>
      </c>
      <c r="D485" s="8" t="s">
        <v>8765</v>
      </c>
      <c r="E485" s="8" t="s">
        <v>239</v>
      </c>
      <c r="F485" s="8" t="s">
        <v>8831</v>
      </c>
    </row>
    <row r="486" customHeight="1" spans="1:6">
      <c r="A486" s="6">
        <v>485</v>
      </c>
      <c r="B486" s="8" t="s">
        <v>8832</v>
      </c>
      <c r="C486" s="8" t="s">
        <v>8833</v>
      </c>
      <c r="D486" s="8" t="s">
        <v>8834</v>
      </c>
      <c r="E486" s="8" t="s">
        <v>665</v>
      </c>
      <c r="F486" s="8" t="s">
        <v>8835</v>
      </c>
    </row>
    <row r="487" customHeight="1" spans="1:6">
      <c r="A487" s="6">
        <v>486</v>
      </c>
      <c r="B487" s="8" t="s">
        <v>8832</v>
      </c>
      <c r="C487" s="8" t="s">
        <v>8833</v>
      </c>
      <c r="D487" s="8" t="s">
        <v>8834</v>
      </c>
      <c r="E487" s="8" t="s">
        <v>665</v>
      </c>
      <c r="F487" s="8" t="s">
        <v>8835</v>
      </c>
    </row>
    <row r="488" customHeight="1" spans="1:6">
      <c r="A488" s="6">
        <v>487</v>
      </c>
      <c r="B488" s="8" t="s">
        <v>8832</v>
      </c>
      <c r="C488" s="8" t="s">
        <v>8833</v>
      </c>
      <c r="D488" s="8" t="s">
        <v>8834</v>
      </c>
      <c r="E488" s="8" t="s">
        <v>665</v>
      </c>
      <c r="F488" s="8" t="s">
        <v>8835</v>
      </c>
    </row>
    <row r="489" customHeight="1" spans="1:6">
      <c r="A489" s="6">
        <v>488</v>
      </c>
      <c r="B489" s="8" t="s">
        <v>8836</v>
      </c>
      <c r="C489" s="8" t="s">
        <v>8837</v>
      </c>
      <c r="D489" s="8" t="s">
        <v>8838</v>
      </c>
      <c r="E489" s="8" t="s">
        <v>5127</v>
      </c>
      <c r="F489" s="8" t="s">
        <v>8839</v>
      </c>
    </row>
    <row r="490" customHeight="1" spans="1:6">
      <c r="A490" s="6">
        <v>489</v>
      </c>
      <c r="B490" s="8" t="s">
        <v>8836</v>
      </c>
      <c r="C490" s="8" t="s">
        <v>8837</v>
      </c>
      <c r="D490" s="8" t="s">
        <v>8838</v>
      </c>
      <c r="E490" s="8" t="s">
        <v>5127</v>
      </c>
      <c r="F490" s="8" t="s">
        <v>8839</v>
      </c>
    </row>
    <row r="491" customHeight="1" spans="1:6">
      <c r="A491" s="6">
        <v>490</v>
      </c>
      <c r="B491" s="8" t="s">
        <v>8836</v>
      </c>
      <c r="C491" s="8" t="s">
        <v>8837</v>
      </c>
      <c r="D491" s="8" t="s">
        <v>8838</v>
      </c>
      <c r="E491" s="8" t="s">
        <v>5127</v>
      </c>
      <c r="F491" s="8" t="s">
        <v>8839</v>
      </c>
    </row>
    <row r="492" customHeight="1" spans="1:6">
      <c r="A492" s="6">
        <v>491</v>
      </c>
      <c r="B492" s="8" t="s">
        <v>8840</v>
      </c>
      <c r="C492" s="8" t="s">
        <v>8841</v>
      </c>
      <c r="D492" s="8" t="s">
        <v>8842</v>
      </c>
      <c r="E492" s="8" t="s">
        <v>5127</v>
      </c>
      <c r="F492" s="8" t="s">
        <v>8843</v>
      </c>
    </row>
    <row r="493" customHeight="1" spans="1:6">
      <c r="A493" s="6">
        <v>492</v>
      </c>
      <c r="B493" s="8" t="s">
        <v>8840</v>
      </c>
      <c r="C493" s="8" t="s">
        <v>8841</v>
      </c>
      <c r="D493" s="8" t="s">
        <v>8842</v>
      </c>
      <c r="E493" s="8" t="s">
        <v>5127</v>
      </c>
      <c r="F493" s="8" t="s">
        <v>8843</v>
      </c>
    </row>
    <row r="494" customHeight="1" spans="1:6">
      <c r="A494" s="6">
        <v>493</v>
      </c>
      <c r="B494" s="8" t="s">
        <v>8840</v>
      </c>
      <c r="C494" s="8" t="s">
        <v>8841</v>
      </c>
      <c r="D494" s="8" t="s">
        <v>8842</v>
      </c>
      <c r="E494" s="8" t="s">
        <v>5127</v>
      </c>
      <c r="F494" s="8" t="s">
        <v>8843</v>
      </c>
    </row>
    <row r="495" customHeight="1" spans="1:6">
      <c r="A495" s="6">
        <v>494</v>
      </c>
      <c r="B495" s="8" t="s">
        <v>8844</v>
      </c>
      <c r="C495" s="8" t="s">
        <v>8845</v>
      </c>
      <c r="D495" s="8" t="s">
        <v>8846</v>
      </c>
      <c r="E495" s="8" t="s">
        <v>239</v>
      </c>
      <c r="F495" s="8" t="s">
        <v>8847</v>
      </c>
    </row>
    <row r="496" customHeight="1" spans="1:6">
      <c r="A496" s="6">
        <v>495</v>
      </c>
      <c r="B496" s="8" t="s">
        <v>8844</v>
      </c>
      <c r="C496" s="8" t="s">
        <v>8845</v>
      </c>
      <c r="D496" s="8" t="s">
        <v>8846</v>
      </c>
      <c r="E496" s="8" t="s">
        <v>239</v>
      </c>
      <c r="F496" s="8" t="s">
        <v>8847</v>
      </c>
    </row>
    <row r="497" customHeight="1" spans="1:6">
      <c r="A497" s="6">
        <v>496</v>
      </c>
      <c r="B497" s="8" t="s">
        <v>8848</v>
      </c>
      <c r="C497" s="8" t="s">
        <v>8849</v>
      </c>
      <c r="D497" s="8" t="s">
        <v>8850</v>
      </c>
      <c r="E497" s="8" t="s">
        <v>485</v>
      </c>
      <c r="F497" s="8" t="s">
        <v>8851</v>
      </c>
    </row>
    <row r="498" customHeight="1" spans="1:6">
      <c r="A498" s="6">
        <v>497</v>
      </c>
      <c r="B498" s="8" t="s">
        <v>8852</v>
      </c>
      <c r="C498" s="8" t="s">
        <v>8853</v>
      </c>
      <c r="D498" s="8" t="s">
        <v>8854</v>
      </c>
      <c r="E498" s="8" t="s">
        <v>150</v>
      </c>
      <c r="F498" s="8" t="s">
        <v>8855</v>
      </c>
    </row>
    <row r="499" customHeight="1" spans="1:6">
      <c r="A499" s="6">
        <v>498</v>
      </c>
      <c r="B499" s="8" t="s">
        <v>8852</v>
      </c>
      <c r="C499" s="8" t="s">
        <v>8853</v>
      </c>
      <c r="D499" s="8" t="s">
        <v>8854</v>
      </c>
      <c r="E499" s="8" t="s">
        <v>150</v>
      </c>
      <c r="F499" s="8" t="s">
        <v>8855</v>
      </c>
    </row>
    <row r="500" customHeight="1" spans="1:6">
      <c r="A500" s="6">
        <v>499</v>
      </c>
      <c r="B500" s="7" t="str">
        <f>"978-7-5577-0773-6"</f>
        <v>978-7-5577-0773-6</v>
      </c>
      <c r="C500" s="7" t="str">
        <f>"英汉翻译的跨文化传播视角研究"</f>
        <v>英汉翻译的跨文化传播视角研究</v>
      </c>
      <c r="D500" s="7" t="str">
        <f>"刘庚玉著"</f>
        <v>刘庚玉著</v>
      </c>
      <c r="E500" s="7" t="str">
        <f>"山西经济出版社"</f>
        <v>山西经济出版社</v>
      </c>
      <c r="F500" s="7" t="str">
        <f>"H315.9/655"</f>
        <v>H315.9/655</v>
      </c>
    </row>
    <row r="501" customHeight="1" spans="1:6">
      <c r="A501" s="6">
        <v>500</v>
      </c>
      <c r="B501" s="7" t="str">
        <f>"978-7-5577-0773-6"</f>
        <v>978-7-5577-0773-6</v>
      </c>
      <c r="C501" s="7" t="str">
        <f>"英汉翻译的跨文化传播视角研究"</f>
        <v>英汉翻译的跨文化传播视角研究</v>
      </c>
      <c r="D501" s="7" t="str">
        <f>"刘庚玉著"</f>
        <v>刘庚玉著</v>
      </c>
      <c r="E501" s="7" t="str">
        <f>"山西经济出版社"</f>
        <v>山西经济出版社</v>
      </c>
      <c r="F501" s="7" t="str">
        <f>"H315.9/655"</f>
        <v>H315.9/655</v>
      </c>
    </row>
    <row r="502" customHeight="1" spans="1:6">
      <c r="A502" s="6">
        <v>501</v>
      </c>
      <c r="B502" s="7" t="str">
        <f>"978-7-5762-1737-7"</f>
        <v>978-7-5762-1737-7</v>
      </c>
      <c r="C502" s="7" t="str">
        <f>"词语翻译研究"</f>
        <v>词语翻译研究</v>
      </c>
      <c r="D502" s="7" t="str">
        <f>"黄文虹著"</f>
        <v>黄文虹著</v>
      </c>
      <c r="E502" s="7" t="str">
        <f>"江西高校出版社"</f>
        <v>江西高校出版社</v>
      </c>
      <c r="F502" s="7" t="str">
        <f>"H315.9/656"</f>
        <v>H315.9/656</v>
      </c>
    </row>
    <row r="503" customHeight="1" spans="1:6">
      <c r="A503" s="6">
        <v>502</v>
      </c>
      <c r="B503" s="7" t="str">
        <f>"978-7-5762-1737-7"</f>
        <v>978-7-5762-1737-7</v>
      </c>
      <c r="C503" s="7" t="str">
        <f>"词语翻译研究"</f>
        <v>词语翻译研究</v>
      </c>
      <c r="D503" s="7" t="str">
        <f>"黄文虹著"</f>
        <v>黄文虹著</v>
      </c>
      <c r="E503" s="7" t="str">
        <f>"江西高校出版社"</f>
        <v>江西高校出版社</v>
      </c>
      <c r="F503" s="7" t="str">
        <f>"H315.9/656"</f>
        <v>H315.9/656</v>
      </c>
    </row>
    <row r="504" customHeight="1" spans="1:6">
      <c r="A504" s="6">
        <v>503</v>
      </c>
      <c r="B504" s="7" t="str">
        <f>"978-7-5731-0121-1"</f>
        <v>978-7-5731-0121-1</v>
      </c>
      <c r="C504" s="7" t="str">
        <f>"英汉文化对比与翻译的融合实现"</f>
        <v>英汉文化对比与翻译的融合实现</v>
      </c>
      <c r="D504" s="7" t="str">
        <f>"赵丹著"</f>
        <v>赵丹著</v>
      </c>
      <c r="E504" s="7" t="str">
        <f>"吉林出版集团股份有限公司"</f>
        <v>吉林出版集团股份有限公司</v>
      </c>
      <c r="F504" s="7" t="str">
        <f>"H315.9/657"</f>
        <v>H315.9/657</v>
      </c>
    </row>
    <row r="505" customHeight="1" spans="1:6">
      <c r="A505" s="6">
        <v>504</v>
      </c>
      <c r="B505" s="7" t="str">
        <f>"978-7-5731-0121-1"</f>
        <v>978-7-5731-0121-1</v>
      </c>
      <c r="C505" s="7" t="str">
        <f>"英汉文化对比与翻译的融合实现"</f>
        <v>英汉文化对比与翻译的融合实现</v>
      </c>
      <c r="D505" s="7" t="str">
        <f>"赵丹著"</f>
        <v>赵丹著</v>
      </c>
      <c r="E505" s="7" t="str">
        <f>"吉林出版集团股份有限公司"</f>
        <v>吉林出版集团股份有限公司</v>
      </c>
      <c r="F505" s="7" t="str">
        <f>"H315.9/657"</f>
        <v>H315.9/657</v>
      </c>
    </row>
    <row r="506" customHeight="1" spans="1:6">
      <c r="A506" s="6">
        <v>505</v>
      </c>
      <c r="B506" s="7" t="str">
        <f>"978-7-308-21609-8"</f>
        <v>978-7-308-21609-8</v>
      </c>
      <c r="C506" s="7" t="str">
        <f>"改革开放以来中国当代小说英译研究"</f>
        <v>改革开放以来中国当代小说英译研究</v>
      </c>
      <c r="D506" s="7" t="str">
        <f>"吴赟著"</f>
        <v>吴赟著</v>
      </c>
      <c r="E506" s="7" t="str">
        <f>"浙江大学出版社"</f>
        <v>浙江大学出版社</v>
      </c>
      <c r="F506" s="7" t="str">
        <f>"H315.9/658"</f>
        <v>H315.9/658</v>
      </c>
    </row>
    <row r="507" customHeight="1" spans="1:6">
      <c r="A507" s="6">
        <v>506</v>
      </c>
      <c r="B507" s="7" t="str">
        <f>"978-7-308-21609-8"</f>
        <v>978-7-308-21609-8</v>
      </c>
      <c r="C507" s="7" t="str">
        <f>"改革开放以来中国当代小说英译研究"</f>
        <v>改革开放以来中国当代小说英译研究</v>
      </c>
      <c r="D507" s="7" t="str">
        <f>"吴赟著"</f>
        <v>吴赟著</v>
      </c>
      <c r="E507" s="7" t="str">
        <f>"浙江大学出版社"</f>
        <v>浙江大学出版社</v>
      </c>
      <c r="F507" s="7" t="str">
        <f>"H315.9/658"</f>
        <v>H315.9/658</v>
      </c>
    </row>
    <row r="508" customHeight="1" spans="1:6">
      <c r="A508" s="6">
        <v>507</v>
      </c>
      <c r="B508" s="7" t="str">
        <f>"978-7-5577-0716-3"</f>
        <v>978-7-5577-0716-3</v>
      </c>
      <c r="C508" s="7" t="str">
        <f>"当代英语翻译理论的多维度思考与探究"</f>
        <v>当代英语翻译理论的多维度思考与探究</v>
      </c>
      <c r="D508" s="7" t="str">
        <f>"薄利娜， 杨甜甜著"</f>
        <v>薄利娜， 杨甜甜著</v>
      </c>
      <c r="E508" s="7" t="str">
        <f>"山西经济出版社"</f>
        <v>山西经济出版社</v>
      </c>
      <c r="F508" s="7" t="str">
        <f>"H315.9/659"</f>
        <v>H315.9/659</v>
      </c>
    </row>
    <row r="509" customHeight="1" spans="1:6">
      <c r="A509" s="6">
        <v>508</v>
      </c>
      <c r="B509" s="7" t="str">
        <f>"978-7-5577-0716-3"</f>
        <v>978-7-5577-0716-3</v>
      </c>
      <c r="C509" s="7" t="str">
        <f>"当代英语翻译理论的多维度思考与探究"</f>
        <v>当代英语翻译理论的多维度思考与探究</v>
      </c>
      <c r="D509" s="7" t="str">
        <f>"薄利娜， 杨甜甜著"</f>
        <v>薄利娜， 杨甜甜著</v>
      </c>
      <c r="E509" s="7" t="str">
        <f>"山西经济出版社"</f>
        <v>山西经济出版社</v>
      </c>
      <c r="F509" s="7" t="str">
        <f>"H315.9/659"</f>
        <v>H315.9/659</v>
      </c>
    </row>
    <row r="510" customHeight="1" spans="1:6">
      <c r="A510" s="6">
        <v>509</v>
      </c>
      <c r="B510" s="7" t="str">
        <f>"978-7-5068-8044-2"</f>
        <v>978-7-5068-8044-2</v>
      </c>
      <c r="C510" s="7" t="str">
        <f>"新时期英语翻译理论与实践的多维度研究"</f>
        <v>新时期英语翻译理论与实践的多维度研究</v>
      </c>
      <c r="D510" s="7" t="str">
        <f>"主编崔立秀， 王兴刚， 张顺元"</f>
        <v>主编崔立秀， 王兴刚， 张顺元</v>
      </c>
      <c r="E510" s="7" t="str">
        <f>"中国书籍出版社"</f>
        <v>中国书籍出版社</v>
      </c>
      <c r="F510" s="7" t="str">
        <f>"H315.9/660"</f>
        <v>H315.9/660</v>
      </c>
    </row>
    <row r="511" customHeight="1" spans="1:6">
      <c r="A511" s="6">
        <v>510</v>
      </c>
      <c r="B511" s="7" t="str">
        <f>"978-7-5068-8044-2"</f>
        <v>978-7-5068-8044-2</v>
      </c>
      <c r="C511" s="7" t="str">
        <f>"新时期英语翻译理论与实践的多维度研究"</f>
        <v>新时期英语翻译理论与实践的多维度研究</v>
      </c>
      <c r="D511" s="7" t="str">
        <f>"主编崔立秀， 王兴刚， 张顺元"</f>
        <v>主编崔立秀， 王兴刚， 张顺元</v>
      </c>
      <c r="E511" s="7" t="str">
        <f>"中国书籍出版社"</f>
        <v>中国书籍出版社</v>
      </c>
      <c r="F511" s="7" t="str">
        <f>"H315.9/660"</f>
        <v>H315.9/660</v>
      </c>
    </row>
    <row r="512" customHeight="1" spans="1:6">
      <c r="A512" s="6">
        <v>511</v>
      </c>
      <c r="B512" s="7" t="str">
        <f>"978-7-307-18681-1"</f>
        <v>978-7-307-18681-1</v>
      </c>
      <c r="C512" s="7" t="str">
        <f>"英语口译笔记法实战指导"</f>
        <v>英语口译笔记法实战指导</v>
      </c>
      <c r="D512" s="7" t="str">
        <f>"吴钟明主编"</f>
        <v>吴钟明主编</v>
      </c>
      <c r="E512" s="7" t="str">
        <f>"武汉大学出版社"</f>
        <v>武汉大学出版社</v>
      </c>
      <c r="F512" s="7" t="str">
        <f>"H315.9/661=3D"</f>
        <v>H315.9/661=3D</v>
      </c>
    </row>
    <row r="513" customHeight="1" spans="1:6">
      <c r="A513" s="6">
        <v>512</v>
      </c>
      <c r="B513" s="7" t="str">
        <f>"978-7-307-18681-1"</f>
        <v>978-7-307-18681-1</v>
      </c>
      <c r="C513" s="7" t="str">
        <f>"英语口译笔记法实战指导"</f>
        <v>英语口译笔记法实战指导</v>
      </c>
      <c r="D513" s="7" t="str">
        <f>"吴钟明主编"</f>
        <v>吴钟明主编</v>
      </c>
      <c r="E513" s="7" t="str">
        <f>"武汉大学出版社"</f>
        <v>武汉大学出版社</v>
      </c>
      <c r="F513" s="7" t="str">
        <f>"H315.9/661=3D"</f>
        <v>H315.9/661=3D</v>
      </c>
    </row>
    <row r="514" customHeight="1" spans="1:6">
      <c r="A514" s="6">
        <v>513</v>
      </c>
      <c r="B514" s="7" t="str">
        <f>"978-7-5685-2904-4"</f>
        <v>978-7-5685-2904-4</v>
      </c>
      <c r="C514" s="7" t="str">
        <f>"英语专业8级翻译：单句翻译精析 篇章翻译训练"</f>
        <v>英语专业8级翻译：单句翻译精析 篇章翻译训练</v>
      </c>
      <c r="D514" s="7" t="str">
        <f>"主编刘宝权， 禹一奇"</f>
        <v>主编刘宝权， 禹一奇</v>
      </c>
      <c r="E514" s="7" t="str">
        <f>"大连理工大学出版社"</f>
        <v>大连理工大学出版社</v>
      </c>
      <c r="F514" s="7" t="str">
        <f>"H315.9/662"</f>
        <v>H315.9/662</v>
      </c>
    </row>
    <row r="515" customHeight="1" spans="1:6">
      <c r="A515" s="6">
        <v>514</v>
      </c>
      <c r="B515" s="7" t="str">
        <f>"978-7-5685-2904-4"</f>
        <v>978-7-5685-2904-4</v>
      </c>
      <c r="C515" s="7" t="str">
        <f>"英语专业8级翻译：单句翻译精析 篇章翻译训练"</f>
        <v>英语专业8级翻译：单句翻译精析 篇章翻译训练</v>
      </c>
      <c r="D515" s="7" t="str">
        <f>"主编刘宝权， 禹一奇"</f>
        <v>主编刘宝权， 禹一奇</v>
      </c>
      <c r="E515" s="7" t="str">
        <f>"大连理工大学出版社"</f>
        <v>大连理工大学出版社</v>
      </c>
      <c r="F515" s="7" t="str">
        <f>"H315.9/662"</f>
        <v>H315.9/662</v>
      </c>
    </row>
    <row r="516" customHeight="1" spans="1:6">
      <c r="A516" s="6">
        <v>515</v>
      </c>
      <c r="B516" s="8" t="s">
        <v>8856</v>
      </c>
      <c r="C516" s="8" t="s">
        <v>8857</v>
      </c>
      <c r="D516" s="8" t="s">
        <v>6747</v>
      </c>
      <c r="E516" s="8" t="s">
        <v>1342</v>
      </c>
      <c r="F516" s="8" t="s">
        <v>8858</v>
      </c>
    </row>
    <row r="517" customHeight="1" spans="1:6">
      <c r="A517" s="6">
        <v>516</v>
      </c>
      <c r="B517" s="8" t="s">
        <v>8856</v>
      </c>
      <c r="C517" s="8" t="s">
        <v>8857</v>
      </c>
      <c r="D517" s="8" t="s">
        <v>6747</v>
      </c>
      <c r="E517" s="8" t="s">
        <v>1342</v>
      </c>
      <c r="F517" s="8" t="s">
        <v>8858</v>
      </c>
    </row>
    <row r="518" customHeight="1" spans="1:6">
      <c r="A518" s="6">
        <v>517</v>
      </c>
      <c r="B518" s="8" t="s">
        <v>8859</v>
      </c>
      <c r="C518" s="8" t="s">
        <v>8860</v>
      </c>
      <c r="D518" s="8" t="s">
        <v>8861</v>
      </c>
      <c r="E518" s="8" t="s">
        <v>571</v>
      </c>
      <c r="F518" s="8" t="s">
        <v>8862</v>
      </c>
    </row>
    <row r="519" customHeight="1" spans="1:6">
      <c r="A519" s="6">
        <v>518</v>
      </c>
      <c r="B519" s="8" t="s">
        <v>8859</v>
      </c>
      <c r="C519" s="8" t="s">
        <v>8860</v>
      </c>
      <c r="D519" s="8" t="s">
        <v>8861</v>
      </c>
      <c r="E519" s="8" t="s">
        <v>571</v>
      </c>
      <c r="F519" s="8" t="s">
        <v>8862</v>
      </c>
    </row>
    <row r="520" customHeight="1" spans="1:6">
      <c r="A520" s="6">
        <v>519</v>
      </c>
      <c r="B520" s="8" t="s">
        <v>8859</v>
      </c>
      <c r="C520" s="8" t="s">
        <v>8860</v>
      </c>
      <c r="D520" s="8" t="s">
        <v>8861</v>
      </c>
      <c r="E520" s="8" t="s">
        <v>571</v>
      </c>
      <c r="F520" s="8" t="s">
        <v>8862</v>
      </c>
    </row>
    <row r="521" customHeight="1" spans="1:6">
      <c r="A521" s="6">
        <v>520</v>
      </c>
      <c r="B521" s="8" t="s">
        <v>8863</v>
      </c>
      <c r="C521" s="8" t="s">
        <v>8864</v>
      </c>
      <c r="D521" s="8" t="s">
        <v>8865</v>
      </c>
      <c r="E521" s="8" t="s">
        <v>624</v>
      </c>
      <c r="F521" s="8" t="s">
        <v>8866</v>
      </c>
    </row>
    <row r="522" customHeight="1" spans="1:6">
      <c r="A522" s="6">
        <v>521</v>
      </c>
      <c r="B522" s="8" t="s">
        <v>8863</v>
      </c>
      <c r="C522" s="8" t="s">
        <v>8864</v>
      </c>
      <c r="D522" s="8" t="s">
        <v>8865</v>
      </c>
      <c r="E522" s="8" t="s">
        <v>624</v>
      </c>
      <c r="F522" s="8" t="s">
        <v>8866</v>
      </c>
    </row>
    <row r="523" customHeight="1" spans="1:6">
      <c r="A523" s="6">
        <v>522</v>
      </c>
      <c r="B523" s="8" t="s">
        <v>8867</v>
      </c>
      <c r="C523" s="8" t="s">
        <v>8868</v>
      </c>
      <c r="D523" s="8" t="s">
        <v>8869</v>
      </c>
      <c r="E523" s="8" t="s">
        <v>1189</v>
      </c>
      <c r="F523" s="8" t="s">
        <v>8870</v>
      </c>
    </row>
    <row r="524" customHeight="1" spans="1:6">
      <c r="A524" s="6">
        <v>523</v>
      </c>
      <c r="B524" s="8" t="s">
        <v>8867</v>
      </c>
      <c r="C524" s="8" t="s">
        <v>8868</v>
      </c>
      <c r="D524" s="8" t="s">
        <v>8869</v>
      </c>
      <c r="E524" s="8" t="s">
        <v>1189</v>
      </c>
      <c r="F524" s="8" t="s">
        <v>8870</v>
      </c>
    </row>
    <row r="525" customHeight="1" spans="1:6">
      <c r="A525" s="6">
        <v>524</v>
      </c>
      <c r="B525" s="8" t="s">
        <v>8867</v>
      </c>
      <c r="C525" s="8" t="s">
        <v>8868</v>
      </c>
      <c r="D525" s="8" t="s">
        <v>8869</v>
      </c>
      <c r="E525" s="8" t="s">
        <v>1189</v>
      </c>
      <c r="F525" s="8" t="s">
        <v>8870</v>
      </c>
    </row>
    <row r="526" customHeight="1" spans="1:6">
      <c r="A526" s="6">
        <v>525</v>
      </c>
      <c r="B526" s="8" t="s">
        <v>8871</v>
      </c>
      <c r="C526" s="8" t="s">
        <v>8872</v>
      </c>
      <c r="D526" s="8" t="s">
        <v>8873</v>
      </c>
      <c r="E526" s="8" t="s">
        <v>8874</v>
      </c>
      <c r="F526" s="8" t="s">
        <v>8875</v>
      </c>
    </row>
    <row r="527" customHeight="1" spans="1:6">
      <c r="A527" s="6">
        <v>526</v>
      </c>
      <c r="B527" s="8" t="s">
        <v>8871</v>
      </c>
      <c r="C527" s="8" t="s">
        <v>8872</v>
      </c>
      <c r="D527" s="8" t="s">
        <v>8873</v>
      </c>
      <c r="E527" s="8" t="s">
        <v>8874</v>
      </c>
      <c r="F527" s="8" t="s">
        <v>8875</v>
      </c>
    </row>
    <row r="528" customHeight="1" spans="1:6">
      <c r="A528" s="6">
        <v>527</v>
      </c>
      <c r="B528" s="8" t="s">
        <v>8876</v>
      </c>
      <c r="C528" s="8" t="s">
        <v>8877</v>
      </c>
      <c r="D528" s="8" t="s">
        <v>8878</v>
      </c>
      <c r="E528" s="8" t="s">
        <v>8879</v>
      </c>
      <c r="F528" s="8" t="s">
        <v>8880</v>
      </c>
    </row>
    <row r="529" customHeight="1" spans="1:6">
      <c r="A529" s="6">
        <v>528</v>
      </c>
      <c r="B529" s="8" t="s">
        <v>8876</v>
      </c>
      <c r="C529" s="8" t="s">
        <v>8877</v>
      </c>
      <c r="D529" s="8" t="s">
        <v>8878</v>
      </c>
      <c r="E529" s="8" t="s">
        <v>8879</v>
      </c>
      <c r="F529" s="8" t="s">
        <v>8880</v>
      </c>
    </row>
    <row r="530" customHeight="1" spans="1:6">
      <c r="A530" s="6">
        <v>529</v>
      </c>
      <c r="B530" s="8" t="s">
        <v>8881</v>
      </c>
      <c r="C530" s="8" t="s">
        <v>8882</v>
      </c>
      <c r="D530" s="8" t="s">
        <v>8883</v>
      </c>
      <c r="E530" s="8" t="s">
        <v>1818</v>
      </c>
      <c r="F530" s="8" t="s">
        <v>8884</v>
      </c>
    </row>
    <row r="531" customHeight="1" spans="1:6">
      <c r="A531" s="6">
        <v>530</v>
      </c>
      <c r="B531" s="8" t="s">
        <v>8881</v>
      </c>
      <c r="C531" s="8" t="s">
        <v>8882</v>
      </c>
      <c r="D531" s="8" t="s">
        <v>8883</v>
      </c>
      <c r="E531" s="8" t="s">
        <v>1818</v>
      </c>
      <c r="F531" s="8" t="s">
        <v>8884</v>
      </c>
    </row>
    <row r="532" customHeight="1" spans="1:6">
      <c r="A532" s="6">
        <v>531</v>
      </c>
      <c r="B532" s="8" t="s">
        <v>8885</v>
      </c>
      <c r="C532" s="8" t="s">
        <v>8886</v>
      </c>
      <c r="D532" s="8" t="s">
        <v>8887</v>
      </c>
      <c r="E532" s="8" t="s">
        <v>1189</v>
      </c>
      <c r="F532" s="8" t="s">
        <v>8888</v>
      </c>
    </row>
    <row r="533" customHeight="1" spans="1:6">
      <c r="A533" s="6">
        <v>532</v>
      </c>
      <c r="B533" s="8" t="s">
        <v>8885</v>
      </c>
      <c r="C533" s="8" t="s">
        <v>8886</v>
      </c>
      <c r="D533" s="8" t="s">
        <v>8887</v>
      </c>
      <c r="E533" s="8" t="s">
        <v>1189</v>
      </c>
      <c r="F533" s="8" t="s">
        <v>8888</v>
      </c>
    </row>
    <row r="534" customHeight="1" spans="1:6">
      <c r="A534" s="6">
        <v>533</v>
      </c>
      <c r="B534" s="8" t="s">
        <v>8885</v>
      </c>
      <c r="C534" s="8" t="s">
        <v>8886</v>
      </c>
      <c r="D534" s="8" t="s">
        <v>8887</v>
      </c>
      <c r="E534" s="8" t="s">
        <v>1189</v>
      </c>
      <c r="F534" s="8" t="s">
        <v>8888</v>
      </c>
    </row>
    <row r="535" customHeight="1" spans="1:6">
      <c r="A535" s="6">
        <v>534</v>
      </c>
      <c r="B535" s="8" t="s">
        <v>8889</v>
      </c>
      <c r="C535" s="8" t="s">
        <v>8890</v>
      </c>
      <c r="D535" s="8" t="s">
        <v>8891</v>
      </c>
      <c r="E535" s="8" t="s">
        <v>2267</v>
      </c>
      <c r="F535" s="8" t="s">
        <v>8892</v>
      </c>
    </row>
    <row r="536" customHeight="1" spans="1:6">
      <c r="A536" s="6">
        <v>535</v>
      </c>
      <c r="B536" s="8" t="s">
        <v>8889</v>
      </c>
      <c r="C536" s="8" t="s">
        <v>8890</v>
      </c>
      <c r="D536" s="8" t="s">
        <v>8891</v>
      </c>
      <c r="E536" s="8" t="s">
        <v>2267</v>
      </c>
      <c r="F536" s="8" t="s">
        <v>8892</v>
      </c>
    </row>
    <row r="537" customHeight="1" spans="1:6">
      <c r="A537" s="6">
        <v>536</v>
      </c>
      <c r="B537" s="8" t="s">
        <v>8889</v>
      </c>
      <c r="C537" s="8" t="s">
        <v>8890</v>
      </c>
      <c r="D537" s="8" t="s">
        <v>8891</v>
      </c>
      <c r="E537" s="8" t="s">
        <v>2267</v>
      </c>
      <c r="F537" s="8" t="s">
        <v>8892</v>
      </c>
    </row>
    <row r="538" customHeight="1" spans="1:6">
      <c r="A538" s="6">
        <v>537</v>
      </c>
      <c r="B538" s="8" t="s">
        <v>8893</v>
      </c>
      <c r="C538" s="8" t="s">
        <v>8894</v>
      </c>
      <c r="D538" s="8" t="s">
        <v>8895</v>
      </c>
      <c r="E538" s="8" t="s">
        <v>2267</v>
      </c>
      <c r="F538" s="8" t="s">
        <v>8896</v>
      </c>
    </row>
    <row r="539" customHeight="1" spans="1:6">
      <c r="A539" s="6">
        <v>538</v>
      </c>
      <c r="B539" s="8" t="s">
        <v>8893</v>
      </c>
      <c r="C539" s="8" t="s">
        <v>8894</v>
      </c>
      <c r="D539" s="8" t="s">
        <v>8895</v>
      </c>
      <c r="E539" s="8" t="s">
        <v>2267</v>
      </c>
      <c r="F539" s="8" t="s">
        <v>8896</v>
      </c>
    </row>
    <row r="540" customHeight="1" spans="1:6">
      <c r="A540" s="6">
        <v>539</v>
      </c>
      <c r="B540" s="8" t="s">
        <v>8893</v>
      </c>
      <c r="C540" s="8" t="s">
        <v>8894</v>
      </c>
      <c r="D540" s="8" t="s">
        <v>8895</v>
      </c>
      <c r="E540" s="8" t="s">
        <v>2267</v>
      </c>
      <c r="F540" s="8" t="s">
        <v>8896</v>
      </c>
    </row>
    <row r="541" customHeight="1" spans="1:6">
      <c r="A541" s="6">
        <v>540</v>
      </c>
      <c r="B541" s="8" t="s">
        <v>8897</v>
      </c>
      <c r="C541" s="8" t="s">
        <v>8898</v>
      </c>
      <c r="D541" s="8" t="s">
        <v>8899</v>
      </c>
      <c r="E541" s="8" t="s">
        <v>239</v>
      </c>
      <c r="F541" s="8" t="s">
        <v>8900</v>
      </c>
    </row>
    <row r="542" customHeight="1" spans="1:6">
      <c r="A542" s="6">
        <v>541</v>
      </c>
      <c r="B542" s="8" t="s">
        <v>8897</v>
      </c>
      <c r="C542" s="8" t="s">
        <v>8898</v>
      </c>
      <c r="D542" s="8" t="s">
        <v>8899</v>
      </c>
      <c r="E542" s="8" t="s">
        <v>239</v>
      </c>
      <c r="F542" s="8" t="s">
        <v>8900</v>
      </c>
    </row>
    <row r="543" customHeight="1" spans="1:6">
      <c r="A543" s="6">
        <v>542</v>
      </c>
      <c r="B543" s="8" t="s">
        <v>8901</v>
      </c>
      <c r="C543" s="8" t="s">
        <v>8902</v>
      </c>
      <c r="D543" s="8" t="s">
        <v>8903</v>
      </c>
      <c r="E543" s="8" t="s">
        <v>571</v>
      </c>
      <c r="F543" s="8" t="s">
        <v>8904</v>
      </c>
    </row>
    <row r="544" customHeight="1" spans="1:6">
      <c r="A544" s="6">
        <v>543</v>
      </c>
      <c r="B544" s="8" t="s">
        <v>8901</v>
      </c>
      <c r="C544" s="8" t="s">
        <v>8902</v>
      </c>
      <c r="D544" s="8" t="s">
        <v>8903</v>
      </c>
      <c r="E544" s="8" t="s">
        <v>571</v>
      </c>
      <c r="F544" s="8" t="s">
        <v>8904</v>
      </c>
    </row>
    <row r="545" customHeight="1" spans="1:6">
      <c r="A545" s="6">
        <v>544</v>
      </c>
      <c r="B545" s="8" t="s">
        <v>8901</v>
      </c>
      <c r="C545" s="8" t="s">
        <v>8902</v>
      </c>
      <c r="D545" s="8" t="s">
        <v>8903</v>
      </c>
      <c r="E545" s="8" t="s">
        <v>571</v>
      </c>
      <c r="F545" s="8" t="s">
        <v>8904</v>
      </c>
    </row>
    <row r="546" customHeight="1" spans="1:6">
      <c r="A546" s="6">
        <v>545</v>
      </c>
      <c r="B546" s="8" t="s">
        <v>8905</v>
      </c>
      <c r="C546" s="8" t="s">
        <v>8906</v>
      </c>
      <c r="D546" s="8" t="s">
        <v>8907</v>
      </c>
      <c r="E546" s="8" t="s">
        <v>375</v>
      </c>
      <c r="F546" s="8" t="s">
        <v>8908</v>
      </c>
    </row>
    <row r="547" customHeight="1" spans="1:6">
      <c r="A547" s="6">
        <v>546</v>
      </c>
      <c r="B547" s="8" t="s">
        <v>8905</v>
      </c>
      <c r="C547" s="8" t="s">
        <v>8906</v>
      </c>
      <c r="D547" s="8" t="s">
        <v>8907</v>
      </c>
      <c r="E547" s="8" t="s">
        <v>375</v>
      </c>
      <c r="F547" s="8" t="s">
        <v>8908</v>
      </c>
    </row>
    <row r="548" customHeight="1" spans="1:6">
      <c r="A548" s="6">
        <v>547</v>
      </c>
      <c r="B548" s="8" t="s">
        <v>8905</v>
      </c>
      <c r="C548" s="8" t="s">
        <v>8906</v>
      </c>
      <c r="D548" s="8" t="s">
        <v>8907</v>
      </c>
      <c r="E548" s="8" t="s">
        <v>375</v>
      </c>
      <c r="F548" s="8" t="s">
        <v>8908</v>
      </c>
    </row>
    <row r="549" customHeight="1" spans="1:6">
      <c r="A549" s="6">
        <v>548</v>
      </c>
      <c r="B549" s="8" t="s">
        <v>8909</v>
      </c>
      <c r="C549" s="8" t="s">
        <v>8910</v>
      </c>
      <c r="D549" s="8" t="s">
        <v>8911</v>
      </c>
      <c r="E549" s="8" t="s">
        <v>1667</v>
      </c>
      <c r="F549" s="8" t="s">
        <v>8912</v>
      </c>
    </row>
    <row r="550" customHeight="1" spans="1:6">
      <c r="A550" s="6">
        <v>549</v>
      </c>
      <c r="B550" s="8" t="s">
        <v>8909</v>
      </c>
      <c r="C550" s="8" t="s">
        <v>8910</v>
      </c>
      <c r="D550" s="8" t="s">
        <v>8911</v>
      </c>
      <c r="E550" s="8" t="s">
        <v>1667</v>
      </c>
      <c r="F550" s="8" t="s">
        <v>8912</v>
      </c>
    </row>
    <row r="551" customHeight="1" spans="1:6">
      <c r="A551" s="6">
        <v>550</v>
      </c>
      <c r="B551" s="8" t="s">
        <v>8913</v>
      </c>
      <c r="C551" s="8" t="s">
        <v>8914</v>
      </c>
      <c r="D551" s="8" t="s">
        <v>6852</v>
      </c>
      <c r="E551" s="8" t="s">
        <v>2267</v>
      </c>
      <c r="F551" s="8" t="s">
        <v>8915</v>
      </c>
    </row>
    <row r="552" customHeight="1" spans="1:6">
      <c r="A552" s="6">
        <v>551</v>
      </c>
      <c r="B552" s="8" t="s">
        <v>8913</v>
      </c>
      <c r="C552" s="8" t="s">
        <v>8914</v>
      </c>
      <c r="D552" s="8" t="s">
        <v>6852</v>
      </c>
      <c r="E552" s="8" t="s">
        <v>2267</v>
      </c>
      <c r="F552" s="8" t="s">
        <v>8915</v>
      </c>
    </row>
    <row r="553" customHeight="1" spans="1:6">
      <c r="A553" s="6">
        <v>552</v>
      </c>
      <c r="B553" s="8" t="s">
        <v>8913</v>
      </c>
      <c r="C553" s="8" t="s">
        <v>8914</v>
      </c>
      <c r="D553" s="8" t="s">
        <v>6852</v>
      </c>
      <c r="E553" s="8" t="s">
        <v>2267</v>
      </c>
      <c r="F553" s="8" t="s">
        <v>8915</v>
      </c>
    </row>
    <row r="554" customHeight="1" spans="1:6">
      <c r="A554" s="6">
        <v>553</v>
      </c>
      <c r="B554" s="8" t="s">
        <v>8916</v>
      </c>
      <c r="C554" s="8" t="s">
        <v>8917</v>
      </c>
      <c r="D554" s="8" t="s">
        <v>8918</v>
      </c>
      <c r="E554" s="8" t="s">
        <v>1189</v>
      </c>
      <c r="F554" s="8" t="s">
        <v>8919</v>
      </c>
    </row>
    <row r="555" customHeight="1" spans="1:6">
      <c r="A555" s="6">
        <v>554</v>
      </c>
      <c r="B555" s="8" t="s">
        <v>8916</v>
      </c>
      <c r="C555" s="8" t="s">
        <v>8917</v>
      </c>
      <c r="D555" s="8" t="s">
        <v>8918</v>
      </c>
      <c r="E555" s="8" t="s">
        <v>1189</v>
      </c>
      <c r="F555" s="8" t="s">
        <v>8919</v>
      </c>
    </row>
    <row r="556" customHeight="1" spans="1:6">
      <c r="A556" s="6">
        <v>555</v>
      </c>
      <c r="B556" s="8" t="s">
        <v>8916</v>
      </c>
      <c r="C556" s="8" t="s">
        <v>8917</v>
      </c>
      <c r="D556" s="8" t="s">
        <v>8918</v>
      </c>
      <c r="E556" s="8" t="s">
        <v>1189</v>
      </c>
      <c r="F556" s="8" t="s">
        <v>8919</v>
      </c>
    </row>
    <row r="557" customHeight="1" spans="1:6">
      <c r="A557" s="6">
        <v>556</v>
      </c>
      <c r="B557" s="8" t="s">
        <v>8920</v>
      </c>
      <c r="C557" s="8" t="s">
        <v>8921</v>
      </c>
      <c r="D557" s="8" t="s">
        <v>8922</v>
      </c>
      <c r="E557" s="8" t="s">
        <v>1189</v>
      </c>
      <c r="F557" s="8" t="s">
        <v>8923</v>
      </c>
    </row>
    <row r="558" customHeight="1" spans="1:6">
      <c r="A558" s="6">
        <v>557</v>
      </c>
      <c r="B558" s="8" t="s">
        <v>8920</v>
      </c>
      <c r="C558" s="8" t="s">
        <v>8921</v>
      </c>
      <c r="D558" s="8" t="s">
        <v>8922</v>
      </c>
      <c r="E558" s="8" t="s">
        <v>1189</v>
      </c>
      <c r="F558" s="8" t="s">
        <v>8923</v>
      </c>
    </row>
    <row r="559" customHeight="1" spans="1:6">
      <c r="A559" s="6">
        <v>558</v>
      </c>
      <c r="B559" s="8" t="s">
        <v>8920</v>
      </c>
      <c r="C559" s="8" t="s">
        <v>8921</v>
      </c>
      <c r="D559" s="8" t="s">
        <v>8922</v>
      </c>
      <c r="E559" s="8" t="s">
        <v>1189</v>
      </c>
      <c r="F559" s="8" t="s">
        <v>8923</v>
      </c>
    </row>
    <row r="560" customHeight="1" spans="1:6">
      <c r="A560" s="6">
        <v>559</v>
      </c>
      <c r="B560" s="8" t="s">
        <v>8924</v>
      </c>
      <c r="C560" s="8" t="s">
        <v>8925</v>
      </c>
      <c r="D560" s="8" t="s">
        <v>8926</v>
      </c>
      <c r="E560" s="8" t="s">
        <v>415</v>
      </c>
      <c r="F560" s="8" t="s">
        <v>8927</v>
      </c>
    </row>
    <row r="561" customHeight="1" spans="1:6">
      <c r="A561" s="6">
        <v>560</v>
      </c>
      <c r="B561" s="8" t="s">
        <v>8924</v>
      </c>
      <c r="C561" s="8" t="s">
        <v>8925</v>
      </c>
      <c r="D561" s="8" t="s">
        <v>8926</v>
      </c>
      <c r="E561" s="8" t="s">
        <v>415</v>
      </c>
      <c r="F561" s="8" t="s">
        <v>8927</v>
      </c>
    </row>
    <row r="562" customHeight="1" spans="1:6">
      <c r="A562" s="6">
        <v>561</v>
      </c>
      <c r="B562" s="8" t="s">
        <v>8928</v>
      </c>
      <c r="C562" s="8" t="s">
        <v>8929</v>
      </c>
      <c r="D562" s="8" t="s">
        <v>8930</v>
      </c>
      <c r="E562" s="8" t="s">
        <v>8931</v>
      </c>
      <c r="F562" s="8" t="s">
        <v>8932</v>
      </c>
    </row>
    <row r="563" customHeight="1" spans="1:6">
      <c r="A563" s="6">
        <v>562</v>
      </c>
      <c r="B563" s="8" t="s">
        <v>8928</v>
      </c>
      <c r="C563" s="8" t="s">
        <v>8929</v>
      </c>
      <c r="D563" s="8" t="s">
        <v>8930</v>
      </c>
      <c r="E563" s="8" t="s">
        <v>8931</v>
      </c>
      <c r="F563" s="8" t="s">
        <v>8932</v>
      </c>
    </row>
    <row r="564" customHeight="1" spans="1:6">
      <c r="A564" s="6">
        <v>563</v>
      </c>
      <c r="B564" s="8" t="s">
        <v>8933</v>
      </c>
      <c r="C564" s="8" t="s">
        <v>8934</v>
      </c>
      <c r="D564" s="8" t="s">
        <v>8935</v>
      </c>
      <c r="E564" s="8" t="s">
        <v>710</v>
      </c>
      <c r="F564" s="8" t="s">
        <v>8936</v>
      </c>
    </row>
    <row r="565" customHeight="1" spans="1:6">
      <c r="A565" s="6">
        <v>564</v>
      </c>
      <c r="B565" s="8" t="s">
        <v>8933</v>
      </c>
      <c r="C565" s="8" t="s">
        <v>8934</v>
      </c>
      <c r="D565" s="8" t="s">
        <v>8935</v>
      </c>
      <c r="E565" s="8" t="s">
        <v>710</v>
      </c>
      <c r="F565" s="8" t="s">
        <v>8936</v>
      </c>
    </row>
    <row r="566" customHeight="1" spans="1:6">
      <c r="A566" s="6">
        <v>565</v>
      </c>
      <c r="B566" s="8" t="s">
        <v>8933</v>
      </c>
      <c r="C566" s="8" t="s">
        <v>8934</v>
      </c>
      <c r="D566" s="8" t="s">
        <v>8935</v>
      </c>
      <c r="E566" s="8" t="s">
        <v>710</v>
      </c>
      <c r="F566" s="8" t="s">
        <v>8936</v>
      </c>
    </row>
    <row r="567" customHeight="1" spans="1:6">
      <c r="A567" s="6">
        <v>566</v>
      </c>
      <c r="B567" s="8" t="s">
        <v>8937</v>
      </c>
      <c r="C567" s="8" t="s">
        <v>8938</v>
      </c>
      <c r="D567" s="8" t="s">
        <v>8939</v>
      </c>
      <c r="E567" s="8" t="s">
        <v>571</v>
      </c>
      <c r="F567" s="8" t="s">
        <v>8940</v>
      </c>
    </row>
    <row r="568" customHeight="1" spans="1:6">
      <c r="A568" s="6">
        <v>567</v>
      </c>
      <c r="B568" s="8" t="s">
        <v>8937</v>
      </c>
      <c r="C568" s="8" t="s">
        <v>8938</v>
      </c>
      <c r="D568" s="8" t="s">
        <v>8939</v>
      </c>
      <c r="E568" s="8" t="s">
        <v>571</v>
      </c>
      <c r="F568" s="8" t="s">
        <v>8940</v>
      </c>
    </row>
    <row r="569" customHeight="1" spans="1:6">
      <c r="A569" s="6">
        <v>568</v>
      </c>
      <c r="B569" s="8" t="s">
        <v>8941</v>
      </c>
      <c r="C569" s="8" t="s">
        <v>8942</v>
      </c>
      <c r="D569" s="8" t="s">
        <v>8943</v>
      </c>
      <c r="E569" s="8" t="s">
        <v>1189</v>
      </c>
      <c r="F569" s="8" t="s">
        <v>8944</v>
      </c>
    </row>
    <row r="570" customHeight="1" spans="1:6">
      <c r="A570" s="6">
        <v>569</v>
      </c>
      <c r="B570" s="8" t="s">
        <v>8941</v>
      </c>
      <c r="C570" s="8" t="s">
        <v>8942</v>
      </c>
      <c r="D570" s="8" t="s">
        <v>8943</v>
      </c>
      <c r="E570" s="8" t="s">
        <v>1189</v>
      </c>
      <c r="F570" s="8" t="s">
        <v>8944</v>
      </c>
    </row>
    <row r="571" customHeight="1" spans="1:6">
      <c r="A571" s="6">
        <v>570</v>
      </c>
      <c r="B571" s="8" t="s">
        <v>8941</v>
      </c>
      <c r="C571" s="8" t="s">
        <v>8942</v>
      </c>
      <c r="D571" s="8" t="s">
        <v>8943</v>
      </c>
      <c r="E571" s="8" t="s">
        <v>1189</v>
      </c>
      <c r="F571" s="8" t="s">
        <v>8944</v>
      </c>
    </row>
    <row r="572" customHeight="1" spans="1:6">
      <c r="A572" s="6">
        <v>571</v>
      </c>
      <c r="B572" s="8" t="s">
        <v>8945</v>
      </c>
      <c r="C572" s="8" t="s">
        <v>8946</v>
      </c>
      <c r="D572" s="8" t="s">
        <v>8947</v>
      </c>
      <c r="E572" s="8" t="s">
        <v>1189</v>
      </c>
      <c r="F572" s="8" t="s">
        <v>8948</v>
      </c>
    </row>
    <row r="573" customHeight="1" spans="1:6">
      <c r="A573" s="6">
        <v>572</v>
      </c>
      <c r="B573" s="8" t="s">
        <v>8945</v>
      </c>
      <c r="C573" s="8" t="s">
        <v>8946</v>
      </c>
      <c r="D573" s="8" t="s">
        <v>8947</v>
      </c>
      <c r="E573" s="8" t="s">
        <v>1189</v>
      </c>
      <c r="F573" s="8" t="s">
        <v>8948</v>
      </c>
    </row>
    <row r="574" customHeight="1" spans="1:6">
      <c r="A574" s="6">
        <v>573</v>
      </c>
      <c r="B574" s="8" t="s">
        <v>8945</v>
      </c>
      <c r="C574" s="8" t="s">
        <v>8946</v>
      </c>
      <c r="D574" s="8" t="s">
        <v>8947</v>
      </c>
      <c r="E574" s="8" t="s">
        <v>1189</v>
      </c>
      <c r="F574" s="8" t="s">
        <v>8948</v>
      </c>
    </row>
    <row r="575" customHeight="1" spans="1:6">
      <c r="A575" s="6">
        <v>574</v>
      </c>
      <c r="B575" s="8" t="s">
        <v>8949</v>
      </c>
      <c r="C575" s="8" t="s">
        <v>8950</v>
      </c>
      <c r="D575" s="8" t="s">
        <v>8951</v>
      </c>
      <c r="E575" s="8" t="s">
        <v>1818</v>
      </c>
      <c r="F575" s="8" t="s">
        <v>8952</v>
      </c>
    </row>
    <row r="576" customHeight="1" spans="1:6">
      <c r="A576" s="6">
        <v>575</v>
      </c>
      <c r="B576" s="8" t="s">
        <v>8949</v>
      </c>
      <c r="C576" s="8" t="s">
        <v>8950</v>
      </c>
      <c r="D576" s="8" t="s">
        <v>8951</v>
      </c>
      <c r="E576" s="8" t="s">
        <v>1818</v>
      </c>
      <c r="F576" s="8" t="s">
        <v>8952</v>
      </c>
    </row>
    <row r="577" customHeight="1" spans="1:6">
      <c r="A577" s="6">
        <v>576</v>
      </c>
      <c r="B577" s="8" t="s">
        <v>8953</v>
      </c>
      <c r="C577" s="8" t="s">
        <v>8954</v>
      </c>
      <c r="D577" s="8" t="s">
        <v>8955</v>
      </c>
      <c r="E577" s="8" t="s">
        <v>3</v>
      </c>
      <c r="F577" s="8" t="s">
        <v>8956</v>
      </c>
    </row>
    <row r="578" customHeight="1" spans="1:6">
      <c r="A578" s="6">
        <v>577</v>
      </c>
      <c r="B578" s="8" t="s">
        <v>8953</v>
      </c>
      <c r="C578" s="8" t="s">
        <v>8954</v>
      </c>
      <c r="D578" s="8" t="s">
        <v>8955</v>
      </c>
      <c r="E578" s="8" t="s">
        <v>3</v>
      </c>
      <c r="F578" s="8" t="s">
        <v>8956</v>
      </c>
    </row>
    <row r="579" customHeight="1" spans="1:6">
      <c r="A579" s="6">
        <v>578</v>
      </c>
      <c r="B579" s="8" t="s">
        <v>8957</v>
      </c>
      <c r="C579" s="8" t="s">
        <v>8958</v>
      </c>
      <c r="D579" s="8" t="s">
        <v>8959</v>
      </c>
      <c r="E579" s="8" t="s">
        <v>5998</v>
      </c>
      <c r="F579" s="8" t="s">
        <v>8960</v>
      </c>
    </row>
    <row r="580" customHeight="1" spans="1:6">
      <c r="A580" s="6">
        <v>579</v>
      </c>
      <c r="B580" s="8" t="s">
        <v>8957</v>
      </c>
      <c r="C580" s="8" t="s">
        <v>8958</v>
      </c>
      <c r="D580" s="8" t="s">
        <v>8959</v>
      </c>
      <c r="E580" s="8" t="s">
        <v>5998</v>
      </c>
      <c r="F580" s="8" t="s">
        <v>8960</v>
      </c>
    </row>
    <row r="581" customHeight="1" spans="1:6">
      <c r="A581" s="6">
        <v>580</v>
      </c>
      <c r="B581" s="8" t="s">
        <v>8961</v>
      </c>
      <c r="C581" s="8" t="s">
        <v>8962</v>
      </c>
      <c r="D581" s="8" t="s">
        <v>8963</v>
      </c>
      <c r="E581" s="8" t="s">
        <v>1342</v>
      </c>
      <c r="F581" s="8" t="s">
        <v>8964</v>
      </c>
    </row>
    <row r="582" customHeight="1" spans="1:6">
      <c r="A582" s="6">
        <v>581</v>
      </c>
      <c r="B582" s="8" t="s">
        <v>8961</v>
      </c>
      <c r="C582" s="8" t="s">
        <v>8962</v>
      </c>
      <c r="D582" s="8" t="s">
        <v>8963</v>
      </c>
      <c r="E582" s="8" t="s">
        <v>1342</v>
      </c>
      <c r="F582" s="8" t="s">
        <v>8964</v>
      </c>
    </row>
    <row r="583" customHeight="1" spans="1:6">
      <c r="A583" s="6">
        <v>582</v>
      </c>
      <c r="B583" s="8" t="s">
        <v>8965</v>
      </c>
      <c r="C583" s="8" t="s">
        <v>8966</v>
      </c>
      <c r="D583" s="8" t="s">
        <v>8967</v>
      </c>
      <c r="E583" s="8" t="s">
        <v>1189</v>
      </c>
      <c r="F583" s="8" t="s">
        <v>8968</v>
      </c>
    </row>
    <row r="584" customHeight="1" spans="1:6">
      <c r="A584" s="6">
        <v>583</v>
      </c>
      <c r="B584" s="8" t="s">
        <v>8965</v>
      </c>
      <c r="C584" s="8" t="s">
        <v>8966</v>
      </c>
      <c r="D584" s="8" t="s">
        <v>8967</v>
      </c>
      <c r="E584" s="8" t="s">
        <v>1189</v>
      </c>
      <c r="F584" s="8" t="s">
        <v>8968</v>
      </c>
    </row>
    <row r="585" customHeight="1" spans="1:6">
      <c r="A585" s="6">
        <v>584</v>
      </c>
      <c r="B585" s="8" t="s">
        <v>8965</v>
      </c>
      <c r="C585" s="8" t="s">
        <v>8966</v>
      </c>
      <c r="D585" s="8" t="s">
        <v>8967</v>
      </c>
      <c r="E585" s="8" t="s">
        <v>1189</v>
      </c>
      <c r="F585" s="8" t="s">
        <v>8968</v>
      </c>
    </row>
    <row r="586" customHeight="1" spans="1:6">
      <c r="A586" s="6">
        <v>585</v>
      </c>
      <c r="B586" s="8" t="s">
        <v>8969</v>
      </c>
      <c r="C586" s="8" t="s">
        <v>8970</v>
      </c>
      <c r="D586" s="8" t="s">
        <v>8971</v>
      </c>
      <c r="E586" s="8" t="s">
        <v>1189</v>
      </c>
      <c r="F586" s="8" t="s">
        <v>8972</v>
      </c>
    </row>
    <row r="587" customHeight="1" spans="1:6">
      <c r="A587" s="6">
        <v>586</v>
      </c>
      <c r="B587" s="8" t="s">
        <v>8969</v>
      </c>
      <c r="C587" s="8" t="s">
        <v>8970</v>
      </c>
      <c r="D587" s="8" t="s">
        <v>8971</v>
      </c>
      <c r="E587" s="8" t="s">
        <v>1189</v>
      </c>
      <c r="F587" s="8" t="s">
        <v>8972</v>
      </c>
    </row>
    <row r="588" customHeight="1" spans="1:6">
      <c r="A588" s="6">
        <v>587</v>
      </c>
      <c r="B588" s="8" t="s">
        <v>8969</v>
      </c>
      <c r="C588" s="8" t="s">
        <v>8970</v>
      </c>
      <c r="D588" s="8" t="s">
        <v>8971</v>
      </c>
      <c r="E588" s="8" t="s">
        <v>1189</v>
      </c>
      <c r="F588" s="8" t="s">
        <v>8972</v>
      </c>
    </row>
    <row r="589" customHeight="1" spans="1:6">
      <c r="A589" s="6">
        <v>588</v>
      </c>
      <c r="B589" s="8" t="s">
        <v>8973</v>
      </c>
      <c r="C589" s="8" t="s">
        <v>8974</v>
      </c>
      <c r="D589" s="8" t="s">
        <v>8975</v>
      </c>
      <c r="E589" s="8" t="s">
        <v>1189</v>
      </c>
      <c r="F589" s="8" t="s">
        <v>8976</v>
      </c>
    </row>
    <row r="590" customHeight="1" spans="1:6">
      <c r="A590" s="6">
        <v>589</v>
      </c>
      <c r="B590" s="8" t="s">
        <v>8973</v>
      </c>
      <c r="C590" s="8" t="s">
        <v>8974</v>
      </c>
      <c r="D590" s="8" t="s">
        <v>8975</v>
      </c>
      <c r="E590" s="8" t="s">
        <v>1189</v>
      </c>
      <c r="F590" s="8" t="s">
        <v>8976</v>
      </c>
    </row>
    <row r="591" customHeight="1" spans="1:6">
      <c r="A591" s="6">
        <v>590</v>
      </c>
      <c r="B591" s="8" t="s">
        <v>8973</v>
      </c>
      <c r="C591" s="8" t="s">
        <v>8974</v>
      </c>
      <c r="D591" s="8" t="s">
        <v>8975</v>
      </c>
      <c r="E591" s="8" t="s">
        <v>1189</v>
      </c>
      <c r="F591" s="8" t="s">
        <v>8976</v>
      </c>
    </row>
    <row r="592" customHeight="1" spans="1:6">
      <c r="A592" s="6">
        <v>591</v>
      </c>
      <c r="B592" s="8" t="s">
        <v>8977</v>
      </c>
      <c r="C592" s="8" t="s">
        <v>8978</v>
      </c>
      <c r="D592" s="8" t="s">
        <v>8979</v>
      </c>
      <c r="E592" s="8" t="s">
        <v>8980</v>
      </c>
      <c r="F592" s="8" t="s">
        <v>8981</v>
      </c>
    </row>
    <row r="593" customHeight="1" spans="1:6">
      <c r="A593" s="6">
        <v>592</v>
      </c>
      <c r="B593" s="8" t="s">
        <v>8977</v>
      </c>
      <c r="C593" s="8" t="s">
        <v>8978</v>
      </c>
      <c r="D593" s="8" t="s">
        <v>8979</v>
      </c>
      <c r="E593" s="8" t="s">
        <v>8980</v>
      </c>
      <c r="F593" s="8" t="s">
        <v>8981</v>
      </c>
    </row>
    <row r="594" customHeight="1" spans="1:6">
      <c r="A594" s="6">
        <v>593</v>
      </c>
      <c r="B594" s="8" t="s">
        <v>8977</v>
      </c>
      <c r="C594" s="8" t="s">
        <v>8978</v>
      </c>
      <c r="D594" s="8" t="s">
        <v>8979</v>
      </c>
      <c r="E594" s="8" t="s">
        <v>8980</v>
      </c>
      <c r="F594" s="8" t="s">
        <v>8981</v>
      </c>
    </row>
    <row r="595" customHeight="1" spans="1:6">
      <c r="A595" s="6">
        <v>594</v>
      </c>
      <c r="B595" s="7" t="str">
        <f>"7-5439-0936-7"</f>
        <v>7-5439-0936-7</v>
      </c>
      <c r="C595" s="7" t="str">
        <f>"外经贸英语函电"</f>
        <v>外经贸英语函电</v>
      </c>
      <c r="D595" s="7" t="str">
        <f>"甘鸿主编"</f>
        <v>甘鸿主编</v>
      </c>
      <c r="E595" s="7" t="str">
        <f>"上海科学技术文献出版社"</f>
        <v>上海科学技术文献出版社</v>
      </c>
      <c r="F595" s="7" t="str">
        <f>"H315/810"</f>
        <v>H315/810</v>
      </c>
    </row>
    <row r="596" customHeight="1" spans="1:6">
      <c r="A596" s="6">
        <v>595</v>
      </c>
      <c r="B596" s="7" t="str">
        <f>"7-5439-0936-7"</f>
        <v>7-5439-0936-7</v>
      </c>
      <c r="C596" s="7" t="str">
        <f>"外经贸英语函电"</f>
        <v>外经贸英语函电</v>
      </c>
      <c r="D596" s="7" t="str">
        <f>"甘鸿主编"</f>
        <v>甘鸿主编</v>
      </c>
      <c r="E596" s="7" t="str">
        <f>"上海科学技术文献出版社"</f>
        <v>上海科学技术文献出版社</v>
      </c>
      <c r="F596" s="7" t="str">
        <f>"H315/810"</f>
        <v>H315/810</v>
      </c>
    </row>
    <row r="597" customHeight="1" spans="1:6">
      <c r="A597" s="6">
        <v>596</v>
      </c>
      <c r="B597" s="8" t="s">
        <v>8982</v>
      </c>
      <c r="C597" s="8" t="s">
        <v>8983</v>
      </c>
      <c r="D597" s="8" t="s">
        <v>8984</v>
      </c>
      <c r="E597" s="8" t="s">
        <v>1189</v>
      </c>
      <c r="F597" s="8" t="s">
        <v>8985</v>
      </c>
    </row>
    <row r="598" customHeight="1" spans="1:6">
      <c r="A598" s="6">
        <v>597</v>
      </c>
      <c r="B598" s="8" t="s">
        <v>8982</v>
      </c>
      <c r="C598" s="8" t="s">
        <v>8983</v>
      </c>
      <c r="D598" s="8" t="s">
        <v>8984</v>
      </c>
      <c r="E598" s="8" t="s">
        <v>1189</v>
      </c>
      <c r="F598" s="8" t="s">
        <v>8985</v>
      </c>
    </row>
    <row r="599" customHeight="1" spans="1:6">
      <c r="A599" s="6">
        <v>598</v>
      </c>
      <c r="B599" s="8" t="s">
        <v>8982</v>
      </c>
      <c r="C599" s="8" t="s">
        <v>8983</v>
      </c>
      <c r="D599" s="8" t="s">
        <v>8984</v>
      </c>
      <c r="E599" s="8" t="s">
        <v>1189</v>
      </c>
      <c r="F599" s="8" t="s">
        <v>8985</v>
      </c>
    </row>
    <row r="600" customHeight="1" spans="1:6">
      <c r="A600" s="6">
        <v>599</v>
      </c>
      <c r="B600" s="8" t="s">
        <v>8986</v>
      </c>
      <c r="C600" s="8" t="s">
        <v>8987</v>
      </c>
      <c r="D600" s="8" t="s">
        <v>8988</v>
      </c>
      <c r="E600" s="8" t="s">
        <v>5127</v>
      </c>
      <c r="F600" s="8" t="s">
        <v>8989</v>
      </c>
    </row>
    <row r="601" customHeight="1" spans="1:6">
      <c r="A601" s="6">
        <v>600</v>
      </c>
      <c r="B601" s="8" t="s">
        <v>8986</v>
      </c>
      <c r="C601" s="8" t="s">
        <v>8987</v>
      </c>
      <c r="D601" s="8" t="s">
        <v>8988</v>
      </c>
      <c r="E601" s="8" t="s">
        <v>5127</v>
      </c>
      <c r="F601" s="8" t="s">
        <v>8989</v>
      </c>
    </row>
    <row r="602" customHeight="1" spans="1:6">
      <c r="A602" s="6">
        <v>601</v>
      </c>
      <c r="B602" s="8" t="s">
        <v>8986</v>
      </c>
      <c r="C602" s="8" t="s">
        <v>8987</v>
      </c>
      <c r="D602" s="8" t="s">
        <v>8988</v>
      </c>
      <c r="E602" s="8" t="s">
        <v>5127</v>
      </c>
      <c r="F602" s="8" t="s">
        <v>8989</v>
      </c>
    </row>
    <row r="603" customHeight="1" spans="1:6">
      <c r="A603" s="6">
        <v>602</v>
      </c>
      <c r="B603" s="8" t="s">
        <v>8990</v>
      </c>
      <c r="C603" s="8" t="s">
        <v>8991</v>
      </c>
      <c r="D603" s="8" t="s">
        <v>8992</v>
      </c>
      <c r="E603" s="8" t="s">
        <v>8993</v>
      </c>
      <c r="F603" s="8" t="s">
        <v>8994</v>
      </c>
    </row>
    <row r="604" customHeight="1" spans="1:6">
      <c r="A604" s="6">
        <v>603</v>
      </c>
      <c r="B604" s="8" t="s">
        <v>8990</v>
      </c>
      <c r="C604" s="8" t="s">
        <v>8991</v>
      </c>
      <c r="D604" s="8" t="s">
        <v>8992</v>
      </c>
      <c r="E604" s="8" t="s">
        <v>8993</v>
      </c>
      <c r="F604" s="8" t="s">
        <v>8994</v>
      </c>
    </row>
    <row r="605" customHeight="1" spans="1:6">
      <c r="A605" s="6">
        <v>604</v>
      </c>
      <c r="B605" s="8" t="s">
        <v>8995</v>
      </c>
      <c r="C605" s="8" t="s">
        <v>8996</v>
      </c>
      <c r="D605" s="8" t="s">
        <v>8997</v>
      </c>
      <c r="E605" s="8" t="s">
        <v>23</v>
      </c>
      <c r="F605" s="8" t="s">
        <v>8998</v>
      </c>
    </row>
    <row r="606" customHeight="1" spans="1:6">
      <c r="A606" s="6">
        <v>605</v>
      </c>
      <c r="B606" s="8" t="s">
        <v>8995</v>
      </c>
      <c r="C606" s="8" t="s">
        <v>8996</v>
      </c>
      <c r="D606" s="8" t="s">
        <v>8997</v>
      </c>
      <c r="E606" s="8" t="s">
        <v>23</v>
      </c>
      <c r="F606" s="8" t="s">
        <v>8998</v>
      </c>
    </row>
    <row r="607" customHeight="1" spans="1:6">
      <c r="A607" s="6">
        <v>606</v>
      </c>
      <c r="B607" s="8" t="s">
        <v>8999</v>
      </c>
      <c r="C607" s="8" t="s">
        <v>9000</v>
      </c>
      <c r="D607" s="8" t="s">
        <v>9001</v>
      </c>
      <c r="E607" s="8" t="s">
        <v>670</v>
      </c>
      <c r="F607" s="8" t="s">
        <v>9002</v>
      </c>
    </row>
    <row r="608" customHeight="1" spans="1:6">
      <c r="A608" s="6">
        <v>607</v>
      </c>
      <c r="B608" s="8" t="s">
        <v>8999</v>
      </c>
      <c r="C608" s="8" t="s">
        <v>9000</v>
      </c>
      <c r="D608" s="8" t="s">
        <v>9001</v>
      </c>
      <c r="E608" s="8" t="s">
        <v>670</v>
      </c>
      <c r="F608" s="8" t="s">
        <v>9002</v>
      </c>
    </row>
    <row r="609" customHeight="1" spans="1:6">
      <c r="A609" s="6">
        <v>608</v>
      </c>
      <c r="B609" s="8" t="s">
        <v>8999</v>
      </c>
      <c r="C609" s="8" t="s">
        <v>9000</v>
      </c>
      <c r="D609" s="8" t="s">
        <v>9001</v>
      </c>
      <c r="E609" s="8" t="s">
        <v>670</v>
      </c>
      <c r="F609" s="8" t="s">
        <v>9002</v>
      </c>
    </row>
    <row r="610" customHeight="1" spans="1:6">
      <c r="A610" s="6">
        <v>609</v>
      </c>
      <c r="B610" s="8" t="s">
        <v>9003</v>
      </c>
      <c r="C610" s="8" t="s">
        <v>9004</v>
      </c>
      <c r="D610" s="8" t="s">
        <v>9005</v>
      </c>
      <c r="E610" s="8" t="s">
        <v>256</v>
      </c>
      <c r="F610" s="8" t="s">
        <v>9006</v>
      </c>
    </row>
    <row r="611" customHeight="1" spans="1:6">
      <c r="A611" s="6">
        <v>610</v>
      </c>
      <c r="B611" s="8" t="s">
        <v>9003</v>
      </c>
      <c r="C611" s="8" t="s">
        <v>9004</v>
      </c>
      <c r="D611" s="8" t="s">
        <v>9005</v>
      </c>
      <c r="E611" s="8" t="s">
        <v>256</v>
      </c>
      <c r="F611" s="8" t="s">
        <v>9006</v>
      </c>
    </row>
    <row r="612" customHeight="1" spans="1:6">
      <c r="A612" s="6">
        <v>611</v>
      </c>
      <c r="B612" s="8" t="s">
        <v>9003</v>
      </c>
      <c r="C612" s="8" t="s">
        <v>9004</v>
      </c>
      <c r="D612" s="8" t="s">
        <v>9005</v>
      </c>
      <c r="E612" s="8" t="s">
        <v>256</v>
      </c>
      <c r="F612" s="8" t="s">
        <v>9006</v>
      </c>
    </row>
    <row r="613" customHeight="1" spans="1:6">
      <c r="A613" s="6">
        <v>612</v>
      </c>
      <c r="B613" s="8" t="s">
        <v>9007</v>
      </c>
      <c r="C613" s="8" t="s">
        <v>9008</v>
      </c>
      <c r="D613" s="8" t="s">
        <v>9009</v>
      </c>
      <c r="E613" s="8" t="s">
        <v>256</v>
      </c>
      <c r="F613" s="8" t="s">
        <v>9010</v>
      </c>
    </row>
    <row r="614" customHeight="1" spans="1:6">
      <c r="A614" s="6">
        <v>613</v>
      </c>
      <c r="B614" s="8" t="s">
        <v>9007</v>
      </c>
      <c r="C614" s="8" t="s">
        <v>9008</v>
      </c>
      <c r="D614" s="8" t="s">
        <v>9009</v>
      </c>
      <c r="E614" s="8" t="s">
        <v>256</v>
      </c>
      <c r="F614" s="8" t="s">
        <v>9010</v>
      </c>
    </row>
    <row r="615" customHeight="1" spans="1:6">
      <c r="A615" s="6">
        <v>614</v>
      </c>
      <c r="B615" s="8" t="s">
        <v>9011</v>
      </c>
      <c r="C615" s="8" t="s">
        <v>9012</v>
      </c>
      <c r="D615" s="8" t="s">
        <v>9013</v>
      </c>
      <c r="E615" s="8" t="s">
        <v>270</v>
      </c>
      <c r="F615" s="8" t="s">
        <v>9014</v>
      </c>
    </row>
    <row r="616" customHeight="1" spans="1:6">
      <c r="A616" s="6">
        <v>615</v>
      </c>
      <c r="B616" s="8" t="s">
        <v>9011</v>
      </c>
      <c r="C616" s="8" t="s">
        <v>9012</v>
      </c>
      <c r="D616" s="8" t="s">
        <v>9013</v>
      </c>
      <c r="E616" s="8" t="s">
        <v>270</v>
      </c>
      <c r="F616" s="8" t="s">
        <v>9014</v>
      </c>
    </row>
    <row r="617" customHeight="1" spans="1:6">
      <c r="A617" s="6">
        <v>616</v>
      </c>
      <c r="B617" s="8" t="s">
        <v>9015</v>
      </c>
      <c r="C617" s="8" t="s">
        <v>9016</v>
      </c>
      <c r="D617" s="8" t="s">
        <v>9017</v>
      </c>
      <c r="E617" s="8" t="s">
        <v>571</v>
      </c>
      <c r="F617" s="8" t="s">
        <v>9018</v>
      </c>
    </row>
    <row r="618" customHeight="1" spans="1:6">
      <c r="A618" s="6">
        <v>617</v>
      </c>
      <c r="B618" s="8" t="s">
        <v>9015</v>
      </c>
      <c r="C618" s="8" t="s">
        <v>9016</v>
      </c>
      <c r="D618" s="8" t="s">
        <v>9017</v>
      </c>
      <c r="E618" s="8" t="s">
        <v>571</v>
      </c>
      <c r="F618" s="8" t="s">
        <v>9018</v>
      </c>
    </row>
    <row r="619" customHeight="1" spans="1:6">
      <c r="A619" s="6">
        <v>618</v>
      </c>
      <c r="B619" s="8" t="s">
        <v>9015</v>
      </c>
      <c r="C619" s="8" t="s">
        <v>9016</v>
      </c>
      <c r="D619" s="8" t="s">
        <v>9017</v>
      </c>
      <c r="E619" s="8" t="s">
        <v>571</v>
      </c>
      <c r="F619" s="8" t="s">
        <v>9018</v>
      </c>
    </row>
    <row r="620" customHeight="1" spans="1:6">
      <c r="A620" s="6">
        <v>619</v>
      </c>
      <c r="B620" s="8" t="s">
        <v>9019</v>
      </c>
      <c r="C620" s="8" t="s">
        <v>9020</v>
      </c>
      <c r="D620" s="8" t="s">
        <v>9021</v>
      </c>
      <c r="E620" s="8" t="s">
        <v>1189</v>
      </c>
      <c r="F620" s="8" t="s">
        <v>9022</v>
      </c>
    </row>
    <row r="621" customHeight="1" spans="1:6">
      <c r="A621" s="6">
        <v>620</v>
      </c>
      <c r="B621" s="8" t="s">
        <v>9019</v>
      </c>
      <c r="C621" s="8" t="s">
        <v>9020</v>
      </c>
      <c r="D621" s="8" t="s">
        <v>9021</v>
      </c>
      <c r="E621" s="8" t="s">
        <v>1189</v>
      </c>
      <c r="F621" s="8" t="s">
        <v>9022</v>
      </c>
    </row>
    <row r="622" customHeight="1" spans="1:6">
      <c r="A622" s="6">
        <v>621</v>
      </c>
      <c r="B622" s="8" t="s">
        <v>9019</v>
      </c>
      <c r="C622" s="8" t="s">
        <v>9020</v>
      </c>
      <c r="D622" s="8" t="s">
        <v>9021</v>
      </c>
      <c r="E622" s="8" t="s">
        <v>1189</v>
      </c>
      <c r="F622" s="8" t="s">
        <v>9022</v>
      </c>
    </row>
    <row r="623" customHeight="1" spans="1:6">
      <c r="A623" s="6">
        <v>622</v>
      </c>
      <c r="B623" s="8" t="s">
        <v>9023</v>
      </c>
      <c r="C623" s="8" t="s">
        <v>9024</v>
      </c>
      <c r="D623" s="8" t="s">
        <v>9025</v>
      </c>
      <c r="E623" s="8" t="s">
        <v>239</v>
      </c>
      <c r="F623" s="8" t="s">
        <v>9026</v>
      </c>
    </row>
    <row r="624" customHeight="1" spans="1:6">
      <c r="A624" s="6">
        <v>623</v>
      </c>
      <c r="B624" s="8" t="s">
        <v>9023</v>
      </c>
      <c r="C624" s="8" t="s">
        <v>9024</v>
      </c>
      <c r="D624" s="8" t="s">
        <v>9025</v>
      </c>
      <c r="E624" s="8" t="s">
        <v>239</v>
      </c>
      <c r="F624" s="8" t="s">
        <v>9026</v>
      </c>
    </row>
    <row r="625" customHeight="1" spans="1:6">
      <c r="A625" s="6">
        <v>624</v>
      </c>
      <c r="B625" s="8" t="s">
        <v>9027</v>
      </c>
      <c r="C625" s="8" t="s">
        <v>9028</v>
      </c>
      <c r="D625" s="8" t="s">
        <v>9029</v>
      </c>
      <c r="E625" s="8" t="s">
        <v>571</v>
      </c>
      <c r="F625" s="8" t="s">
        <v>9030</v>
      </c>
    </row>
    <row r="626" customHeight="1" spans="1:6">
      <c r="A626" s="6">
        <v>625</v>
      </c>
      <c r="B626" s="8" t="s">
        <v>9027</v>
      </c>
      <c r="C626" s="8" t="s">
        <v>9028</v>
      </c>
      <c r="D626" s="8" t="s">
        <v>9029</v>
      </c>
      <c r="E626" s="8" t="s">
        <v>571</v>
      </c>
      <c r="F626" s="8" t="s">
        <v>9030</v>
      </c>
    </row>
    <row r="627" customHeight="1" spans="1:6">
      <c r="A627" s="6">
        <v>626</v>
      </c>
      <c r="B627" s="8" t="s">
        <v>9027</v>
      </c>
      <c r="C627" s="8" t="s">
        <v>9028</v>
      </c>
      <c r="D627" s="8" t="s">
        <v>9029</v>
      </c>
      <c r="E627" s="8" t="s">
        <v>571</v>
      </c>
      <c r="F627" s="8" t="s">
        <v>9030</v>
      </c>
    </row>
    <row r="628" customHeight="1" spans="1:6">
      <c r="A628" s="6">
        <v>627</v>
      </c>
      <c r="B628" s="8" t="s">
        <v>9031</v>
      </c>
      <c r="C628" s="8" t="s">
        <v>9032</v>
      </c>
      <c r="D628" s="8" t="s">
        <v>9033</v>
      </c>
      <c r="E628" s="8" t="s">
        <v>1818</v>
      </c>
      <c r="F628" s="8" t="s">
        <v>9034</v>
      </c>
    </row>
    <row r="629" customHeight="1" spans="1:6">
      <c r="A629" s="6">
        <v>628</v>
      </c>
      <c r="B629" s="8" t="s">
        <v>9031</v>
      </c>
      <c r="C629" s="8" t="s">
        <v>9032</v>
      </c>
      <c r="D629" s="8" t="s">
        <v>9033</v>
      </c>
      <c r="E629" s="8" t="s">
        <v>1818</v>
      </c>
      <c r="F629" s="8" t="s">
        <v>9034</v>
      </c>
    </row>
    <row r="630" customHeight="1" spans="1:6">
      <c r="A630" s="6">
        <v>629</v>
      </c>
      <c r="B630" s="8" t="s">
        <v>9035</v>
      </c>
      <c r="C630" s="8" t="s">
        <v>9036</v>
      </c>
      <c r="D630" s="8" t="s">
        <v>9037</v>
      </c>
      <c r="E630" s="8" t="s">
        <v>1189</v>
      </c>
      <c r="F630" s="8" t="s">
        <v>9038</v>
      </c>
    </row>
    <row r="631" customHeight="1" spans="1:6">
      <c r="A631" s="6">
        <v>630</v>
      </c>
      <c r="B631" s="8" t="s">
        <v>9035</v>
      </c>
      <c r="C631" s="8" t="s">
        <v>9036</v>
      </c>
      <c r="D631" s="8" t="s">
        <v>9037</v>
      </c>
      <c r="E631" s="8" t="s">
        <v>1189</v>
      </c>
      <c r="F631" s="8" t="s">
        <v>9038</v>
      </c>
    </row>
    <row r="632" customHeight="1" spans="1:6">
      <c r="A632" s="6">
        <v>631</v>
      </c>
      <c r="B632" s="8" t="s">
        <v>9035</v>
      </c>
      <c r="C632" s="8" t="s">
        <v>9036</v>
      </c>
      <c r="D632" s="8" t="s">
        <v>9037</v>
      </c>
      <c r="E632" s="8" t="s">
        <v>1189</v>
      </c>
      <c r="F632" s="8" t="s">
        <v>9038</v>
      </c>
    </row>
    <row r="633" customHeight="1" spans="1:6">
      <c r="A633" s="6">
        <v>632</v>
      </c>
      <c r="B633" s="8" t="s">
        <v>9039</v>
      </c>
      <c r="C633" s="8" t="s">
        <v>9040</v>
      </c>
      <c r="D633" s="8" t="s">
        <v>9041</v>
      </c>
      <c r="E633" s="8" t="s">
        <v>239</v>
      </c>
      <c r="F633" s="8" t="s">
        <v>9042</v>
      </c>
    </row>
    <row r="634" customHeight="1" spans="1:6">
      <c r="A634" s="6">
        <v>633</v>
      </c>
      <c r="B634" s="8" t="s">
        <v>9039</v>
      </c>
      <c r="C634" s="8" t="s">
        <v>9040</v>
      </c>
      <c r="D634" s="8" t="s">
        <v>9041</v>
      </c>
      <c r="E634" s="8" t="s">
        <v>239</v>
      </c>
      <c r="F634" s="8" t="s">
        <v>9042</v>
      </c>
    </row>
    <row r="635" customHeight="1" spans="1:6">
      <c r="A635" s="6">
        <v>634</v>
      </c>
      <c r="B635" s="7" t="str">
        <f>"978-7-5221-1122-3"</f>
        <v>978-7-5221-1122-3</v>
      </c>
      <c r="C635" s="7" t="str">
        <f>"“互联网+”背景下高校英语教学创新研究"</f>
        <v>“互联网+”背景下高校英语教学创新研究</v>
      </c>
      <c r="D635" s="7" t="str">
        <f>"张迎春著"</f>
        <v>张迎春著</v>
      </c>
      <c r="E635" s="7" t="str">
        <f>"中国原子能出版社"</f>
        <v>中国原子能出版社</v>
      </c>
      <c r="F635" s="7" t="str">
        <f>"H319.3/295"</f>
        <v>H319.3/295</v>
      </c>
    </row>
    <row r="636" customHeight="1" spans="1:6">
      <c r="A636" s="6">
        <v>635</v>
      </c>
      <c r="B636" s="7" t="str">
        <f>"978-7-5221-1122-3"</f>
        <v>978-7-5221-1122-3</v>
      </c>
      <c r="C636" s="7" t="str">
        <f>"“互联网+”背景下高校英语教学创新研究"</f>
        <v>“互联网+”背景下高校英语教学创新研究</v>
      </c>
      <c r="D636" s="7" t="str">
        <f>"张迎春著"</f>
        <v>张迎春著</v>
      </c>
      <c r="E636" s="7" t="str">
        <f>"中国原子能出版社"</f>
        <v>中国原子能出版社</v>
      </c>
      <c r="F636" s="7" t="str">
        <f>"H319.3/295"</f>
        <v>H319.3/295</v>
      </c>
    </row>
    <row r="637" customHeight="1" spans="1:6">
      <c r="A637" s="6">
        <v>636</v>
      </c>
      <c r="B637" s="7" t="str">
        <f>"978-7-5068-8024-4"</f>
        <v>978-7-5068-8024-4</v>
      </c>
      <c r="C637" s="7" t="str">
        <f>"英语教育研究方法与论文写作的多维度阐释"</f>
        <v>英语教育研究方法与论文写作的多维度阐释</v>
      </c>
      <c r="D637" s="7" t="str">
        <f>"李小芳著"</f>
        <v>李小芳著</v>
      </c>
      <c r="E637" s="7" t="str">
        <f>"中国书籍出版社"</f>
        <v>中国书籍出版社</v>
      </c>
      <c r="F637" s="7" t="str">
        <f>"H319.3/296"</f>
        <v>H319.3/296</v>
      </c>
    </row>
    <row r="638" customHeight="1" spans="1:6">
      <c r="A638" s="6">
        <v>637</v>
      </c>
      <c r="B638" s="7" t="str">
        <f>"978-7-5068-8024-4"</f>
        <v>978-7-5068-8024-4</v>
      </c>
      <c r="C638" s="7" t="str">
        <f>"英语教育研究方法与论文写作的多维度阐释"</f>
        <v>英语教育研究方法与论文写作的多维度阐释</v>
      </c>
      <c r="D638" s="7" t="str">
        <f>"李小芳著"</f>
        <v>李小芳著</v>
      </c>
      <c r="E638" s="7" t="str">
        <f>"中国书籍出版社"</f>
        <v>中国书籍出版社</v>
      </c>
      <c r="F638" s="7" t="str">
        <f>"H319.3/296"</f>
        <v>H319.3/296</v>
      </c>
    </row>
    <row r="639" customHeight="1" spans="1:6">
      <c r="A639" s="6">
        <v>638</v>
      </c>
      <c r="B639" s="7" t="str">
        <f>"978-7-5208-1329-7"</f>
        <v>978-7-5208-1329-7</v>
      </c>
      <c r="C639" s="7" t="str">
        <f>"基于在线课程平台的高校英语混合式教学模式研究"</f>
        <v>基于在线课程平台的高校英语混合式教学模式研究</v>
      </c>
      <c r="D639" s="7" t="str">
        <f>"沈红著"</f>
        <v>沈红著</v>
      </c>
      <c r="E639" s="7" t="str">
        <f>"中国商业出版社"</f>
        <v>中国商业出版社</v>
      </c>
      <c r="F639" s="7" t="str">
        <f>"H319.3/297"</f>
        <v>H319.3/297</v>
      </c>
    </row>
    <row r="640" customHeight="1" spans="1:6">
      <c r="A640" s="6">
        <v>639</v>
      </c>
      <c r="B640" s="7" t="str">
        <f>"978-7-5208-1329-7"</f>
        <v>978-7-5208-1329-7</v>
      </c>
      <c r="C640" s="7" t="str">
        <f>"基于在线课程平台的高校英语混合式教学模式研究"</f>
        <v>基于在线课程平台的高校英语混合式教学模式研究</v>
      </c>
      <c r="D640" s="7" t="str">
        <f>"沈红著"</f>
        <v>沈红著</v>
      </c>
      <c r="E640" s="7" t="str">
        <f>"中国商业出版社"</f>
        <v>中国商业出版社</v>
      </c>
      <c r="F640" s="7" t="str">
        <f>"H319.3/297"</f>
        <v>H319.3/297</v>
      </c>
    </row>
    <row r="641" customHeight="1" spans="1:6">
      <c r="A641" s="6">
        <v>640</v>
      </c>
      <c r="B641" s="7" t="str">
        <f>"978-7-5731-0119-8"</f>
        <v>978-7-5731-0119-8</v>
      </c>
      <c r="C641" s="7" t="str">
        <f>"信息化背景下大学英语教学的变革与探索"</f>
        <v>信息化背景下大学英语教学的变革与探索</v>
      </c>
      <c r="D641" s="7" t="str">
        <f>"王凤玲著"</f>
        <v>王凤玲著</v>
      </c>
      <c r="E641" s="7" t="str">
        <f>"吉林出版集团股份有限公司"</f>
        <v>吉林出版集团股份有限公司</v>
      </c>
      <c r="F641" s="7" t="str">
        <f>"H319.3/298"</f>
        <v>H319.3/298</v>
      </c>
    </row>
    <row r="642" customHeight="1" spans="1:6">
      <c r="A642" s="6">
        <v>641</v>
      </c>
      <c r="B642" s="7" t="str">
        <f>"978-7-5731-0119-8"</f>
        <v>978-7-5731-0119-8</v>
      </c>
      <c r="C642" s="7" t="str">
        <f>"信息化背景下大学英语教学的变革与探索"</f>
        <v>信息化背景下大学英语教学的变革与探索</v>
      </c>
      <c r="D642" s="7" t="str">
        <f>"王凤玲著"</f>
        <v>王凤玲著</v>
      </c>
      <c r="E642" s="7" t="str">
        <f>"吉林出版集团股份有限公司"</f>
        <v>吉林出版集团股份有限公司</v>
      </c>
      <c r="F642" s="7" t="str">
        <f>"H319.3/298"</f>
        <v>H319.3/298</v>
      </c>
    </row>
    <row r="643" customHeight="1" spans="1:6">
      <c r="A643" s="6">
        <v>642</v>
      </c>
      <c r="B643" s="7" t="str">
        <f>"978-7-5108-9539-5"</f>
        <v>978-7-5108-9539-5</v>
      </c>
      <c r="C643" s="7" t="str">
        <f>"语言学视阈下的英语教学多维研究"</f>
        <v>语言学视阈下的英语教学多维研究</v>
      </c>
      <c r="D643" s="7" t="str">
        <f>"田现辉著"</f>
        <v>田现辉著</v>
      </c>
      <c r="E643" s="7" t="str">
        <f>"九州出版社"</f>
        <v>九州出版社</v>
      </c>
      <c r="F643" s="7" t="str">
        <f>"H319.3/299"</f>
        <v>H319.3/299</v>
      </c>
    </row>
    <row r="644" customHeight="1" spans="1:6">
      <c r="A644" s="6">
        <v>643</v>
      </c>
      <c r="B644" s="7" t="str">
        <f>"978-7-5108-9539-5"</f>
        <v>978-7-5108-9539-5</v>
      </c>
      <c r="C644" s="7" t="str">
        <f>"语言学视阈下的英语教学多维研究"</f>
        <v>语言学视阈下的英语教学多维研究</v>
      </c>
      <c r="D644" s="7" t="str">
        <f>"田现辉著"</f>
        <v>田现辉著</v>
      </c>
      <c r="E644" s="7" t="str">
        <f>"九州出版社"</f>
        <v>九州出版社</v>
      </c>
      <c r="F644" s="7" t="str">
        <f>"H319.3/299"</f>
        <v>H319.3/299</v>
      </c>
    </row>
    <row r="645" customHeight="1" spans="1:6">
      <c r="A645" s="6">
        <v>644</v>
      </c>
      <c r="B645" s="8" t="s">
        <v>9043</v>
      </c>
      <c r="C645" s="8" t="s">
        <v>9044</v>
      </c>
      <c r="D645" s="8" t="s">
        <v>9045</v>
      </c>
      <c r="E645" s="8" t="s">
        <v>1342</v>
      </c>
      <c r="F645" s="8" t="s">
        <v>9046</v>
      </c>
    </row>
    <row r="646" customHeight="1" spans="1:6">
      <c r="A646" s="6">
        <v>645</v>
      </c>
      <c r="B646" s="8" t="s">
        <v>9043</v>
      </c>
      <c r="C646" s="8" t="s">
        <v>9044</v>
      </c>
      <c r="D646" s="8" t="s">
        <v>9045</v>
      </c>
      <c r="E646" s="8" t="s">
        <v>1342</v>
      </c>
      <c r="F646" s="8" t="s">
        <v>9046</v>
      </c>
    </row>
    <row r="647" customHeight="1" spans="1:6">
      <c r="A647" s="6">
        <v>646</v>
      </c>
      <c r="B647" s="8" t="s">
        <v>9047</v>
      </c>
      <c r="C647" s="8" t="s">
        <v>9048</v>
      </c>
      <c r="D647" s="8" t="s">
        <v>9049</v>
      </c>
      <c r="E647" s="8" t="s">
        <v>1189</v>
      </c>
      <c r="F647" s="8" t="s">
        <v>9050</v>
      </c>
    </row>
    <row r="648" customHeight="1" spans="1:6">
      <c r="A648" s="6">
        <v>647</v>
      </c>
      <c r="B648" s="8" t="s">
        <v>9047</v>
      </c>
      <c r="C648" s="8" t="s">
        <v>9048</v>
      </c>
      <c r="D648" s="8" t="s">
        <v>9049</v>
      </c>
      <c r="E648" s="8" t="s">
        <v>1189</v>
      </c>
      <c r="F648" s="8" t="s">
        <v>9050</v>
      </c>
    </row>
    <row r="649" customHeight="1" spans="1:6">
      <c r="A649" s="6">
        <v>648</v>
      </c>
      <c r="B649" s="8" t="s">
        <v>9047</v>
      </c>
      <c r="C649" s="8" t="s">
        <v>9048</v>
      </c>
      <c r="D649" s="8" t="s">
        <v>9049</v>
      </c>
      <c r="E649" s="8" t="s">
        <v>1189</v>
      </c>
      <c r="F649" s="8" t="s">
        <v>9050</v>
      </c>
    </row>
    <row r="650" customHeight="1" spans="1:6">
      <c r="A650" s="6">
        <v>649</v>
      </c>
      <c r="B650" s="8" t="s">
        <v>9051</v>
      </c>
      <c r="C650" s="8" t="s">
        <v>9052</v>
      </c>
      <c r="D650" s="8" t="s">
        <v>9053</v>
      </c>
      <c r="E650" s="8" t="s">
        <v>385</v>
      </c>
      <c r="F650" s="8" t="s">
        <v>9054</v>
      </c>
    </row>
    <row r="651" customHeight="1" spans="1:6">
      <c r="A651" s="6">
        <v>650</v>
      </c>
      <c r="B651" s="8" t="s">
        <v>9051</v>
      </c>
      <c r="C651" s="8" t="s">
        <v>9052</v>
      </c>
      <c r="D651" s="8" t="s">
        <v>9053</v>
      </c>
      <c r="E651" s="8" t="s">
        <v>385</v>
      </c>
      <c r="F651" s="8" t="s">
        <v>9054</v>
      </c>
    </row>
    <row r="652" customHeight="1" spans="1:6">
      <c r="A652" s="6">
        <v>651</v>
      </c>
      <c r="B652" s="8" t="s">
        <v>9051</v>
      </c>
      <c r="C652" s="8" t="s">
        <v>9052</v>
      </c>
      <c r="D652" s="8" t="s">
        <v>9053</v>
      </c>
      <c r="E652" s="8" t="s">
        <v>385</v>
      </c>
      <c r="F652" s="8" t="s">
        <v>9054</v>
      </c>
    </row>
    <row r="653" customHeight="1" spans="1:6">
      <c r="A653" s="6">
        <v>652</v>
      </c>
      <c r="B653" s="8" t="s">
        <v>9055</v>
      </c>
      <c r="C653" s="8" t="s">
        <v>9056</v>
      </c>
      <c r="D653" s="8" t="s">
        <v>9057</v>
      </c>
      <c r="E653" s="8" t="s">
        <v>5806</v>
      </c>
      <c r="F653" s="8" t="s">
        <v>9058</v>
      </c>
    </row>
    <row r="654" customHeight="1" spans="1:6">
      <c r="A654" s="6">
        <v>653</v>
      </c>
      <c r="B654" s="8" t="s">
        <v>9055</v>
      </c>
      <c r="C654" s="8" t="s">
        <v>9056</v>
      </c>
      <c r="D654" s="8" t="s">
        <v>9057</v>
      </c>
      <c r="E654" s="8" t="s">
        <v>5806</v>
      </c>
      <c r="F654" s="8" t="s">
        <v>9058</v>
      </c>
    </row>
    <row r="655" customHeight="1" spans="1:6">
      <c r="A655" s="6">
        <v>654</v>
      </c>
      <c r="B655" s="8" t="s">
        <v>9055</v>
      </c>
      <c r="C655" s="8" t="s">
        <v>9056</v>
      </c>
      <c r="D655" s="8" t="s">
        <v>9057</v>
      </c>
      <c r="E655" s="8" t="s">
        <v>5806</v>
      </c>
      <c r="F655" s="8" t="s">
        <v>9058</v>
      </c>
    </row>
    <row r="656" customHeight="1" spans="1:6">
      <c r="A656" s="6">
        <v>655</v>
      </c>
      <c r="B656" s="8" t="s">
        <v>9059</v>
      </c>
      <c r="C656" s="8" t="s">
        <v>9060</v>
      </c>
      <c r="D656" s="8" t="s">
        <v>9061</v>
      </c>
      <c r="E656" s="8" t="s">
        <v>1189</v>
      </c>
      <c r="F656" s="8" t="s">
        <v>9062</v>
      </c>
    </row>
    <row r="657" customHeight="1" spans="1:6">
      <c r="A657" s="6">
        <v>656</v>
      </c>
      <c r="B657" s="8" t="s">
        <v>9059</v>
      </c>
      <c r="C657" s="8" t="s">
        <v>9060</v>
      </c>
      <c r="D657" s="8" t="s">
        <v>9061</v>
      </c>
      <c r="E657" s="8" t="s">
        <v>1189</v>
      </c>
      <c r="F657" s="8" t="s">
        <v>9062</v>
      </c>
    </row>
    <row r="658" customHeight="1" spans="1:6">
      <c r="A658" s="6">
        <v>657</v>
      </c>
      <c r="B658" s="8" t="s">
        <v>9059</v>
      </c>
      <c r="C658" s="8" t="s">
        <v>9060</v>
      </c>
      <c r="D658" s="8" t="s">
        <v>9061</v>
      </c>
      <c r="E658" s="8" t="s">
        <v>1189</v>
      </c>
      <c r="F658" s="8" t="s">
        <v>9062</v>
      </c>
    </row>
    <row r="659" customHeight="1" spans="1:6">
      <c r="A659" s="6">
        <v>658</v>
      </c>
      <c r="B659" s="8" t="s">
        <v>9063</v>
      </c>
      <c r="C659" s="8" t="s">
        <v>9064</v>
      </c>
      <c r="D659" s="8" t="s">
        <v>9065</v>
      </c>
      <c r="E659" s="8" t="s">
        <v>1189</v>
      </c>
      <c r="F659" s="8" t="s">
        <v>9066</v>
      </c>
    </row>
    <row r="660" customHeight="1" spans="1:6">
      <c r="A660" s="6">
        <v>659</v>
      </c>
      <c r="B660" s="8" t="s">
        <v>9063</v>
      </c>
      <c r="C660" s="8" t="s">
        <v>9064</v>
      </c>
      <c r="D660" s="8" t="s">
        <v>9065</v>
      </c>
      <c r="E660" s="8" t="s">
        <v>1189</v>
      </c>
      <c r="F660" s="8" t="s">
        <v>9066</v>
      </c>
    </row>
    <row r="661" customHeight="1" spans="1:6">
      <c r="A661" s="6">
        <v>660</v>
      </c>
      <c r="B661" s="8" t="s">
        <v>9063</v>
      </c>
      <c r="C661" s="8" t="s">
        <v>9064</v>
      </c>
      <c r="D661" s="8" t="s">
        <v>9065</v>
      </c>
      <c r="E661" s="8" t="s">
        <v>1189</v>
      </c>
      <c r="F661" s="8" t="s">
        <v>9066</v>
      </c>
    </row>
    <row r="662" customHeight="1" spans="1:6">
      <c r="A662" s="6">
        <v>661</v>
      </c>
      <c r="B662" s="8" t="s">
        <v>9067</v>
      </c>
      <c r="C662" s="8" t="s">
        <v>9068</v>
      </c>
      <c r="D662" s="8" t="s">
        <v>9069</v>
      </c>
      <c r="E662" s="8" t="s">
        <v>2267</v>
      </c>
      <c r="F662" s="8" t="s">
        <v>9070</v>
      </c>
    </row>
    <row r="663" customHeight="1" spans="1:6">
      <c r="A663" s="6">
        <v>662</v>
      </c>
      <c r="B663" s="8" t="s">
        <v>9067</v>
      </c>
      <c r="C663" s="8" t="s">
        <v>9068</v>
      </c>
      <c r="D663" s="8" t="s">
        <v>9069</v>
      </c>
      <c r="E663" s="8" t="s">
        <v>2267</v>
      </c>
      <c r="F663" s="8" t="s">
        <v>9070</v>
      </c>
    </row>
    <row r="664" customHeight="1" spans="1:6">
      <c r="A664" s="6">
        <v>663</v>
      </c>
      <c r="B664" s="8" t="s">
        <v>9067</v>
      </c>
      <c r="C664" s="8" t="s">
        <v>9068</v>
      </c>
      <c r="D664" s="8" t="s">
        <v>9069</v>
      </c>
      <c r="E664" s="8" t="s">
        <v>2267</v>
      </c>
      <c r="F664" s="8" t="s">
        <v>9070</v>
      </c>
    </row>
    <row r="665" customHeight="1" spans="1:6">
      <c r="A665" s="6">
        <v>664</v>
      </c>
      <c r="B665" s="8" t="s">
        <v>9071</v>
      </c>
      <c r="C665" s="8" t="s">
        <v>9072</v>
      </c>
      <c r="D665" s="8" t="s">
        <v>9073</v>
      </c>
      <c r="E665" s="8" t="s">
        <v>1189</v>
      </c>
      <c r="F665" s="8" t="s">
        <v>9074</v>
      </c>
    </row>
    <row r="666" customHeight="1" spans="1:6">
      <c r="A666" s="6">
        <v>665</v>
      </c>
      <c r="B666" s="8" t="s">
        <v>9071</v>
      </c>
      <c r="C666" s="8" t="s">
        <v>9072</v>
      </c>
      <c r="D666" s="8" t="s">
        <v>9073</v>
      </c>
      <c r="E666" s="8" t="s">
        <v>1189</v>
      </c>
      <c r="F666" s="8" t="s">
        <v>9074</v>
      </c>
    </row>
    <row r="667" customHeight="1" spans="1:6">
      <c r="A667" s="6">
        <v>666</v>
      </c>
      <c r="B667" s="8" t="s">
        <v>9071</v>
      </c>
      <c r="C667" s="8" t="s">
        <v>9072</v>
      </c>
      <c r="D667" s="8" t="s">
        <v>9073</v>
      </c>
      <c r="E667" s="8" t="s">
        <v>1189</v>
      </c>
      <c r="F667" s="8" t="s">
        <v>9074</v>
      </c>
    </row>
    <row r="668" customHeight="1" spans="1:6">
      <c r="A668" s="6">
        <v>667</v>
      </c>
      <c r="B668" s="8" t="s">
        <v>9075</v>
      </c>
      <c r="C668" s="8" t="s">
        <v>9076</v>
      </c>
      <c r="D668" s="8" t="s">
        <v>9077</v>
      </c>
      <c r="E668" s="8" t="s">
        <v>239</v>
      </c>
      <c r="F668" s="8" t="s">
        <v>9078</v>
      </c>
    </row>
    <row r="669" customHeight="1" spans="1:6">
      <c r="A669" s="6">
        <v>668</v>
      </c>
      <c r="B669" s="8" t="s">
        <v>9075</v>
      </c>
      <c r="C669" s="8" t="s">
        <v>9076</v>
      </c>
      <c r="D669" s="8" t="s">
        <v>9077</v>
      </c>
      <c r="E669" s="8" t="s">
        <v>239</v>
      </c>
      <c r="F669" s="8" t="s">
        <v>9078</v>
      </c>
    </row>
    <row r="670" customHeight="1" spans="1:6">
      <c r="A670" s="6">
        <v>669</v>
      </c>
      <c r="B670" s="8" t="s">
        <v>9075</v>
      </c>
      <c r="C670" s="8" t="s">
        <v>9076</v>
      </c>
      <c r="D670" s="8" t="s">
        <v>9077</v>
      </c>
      <c r="E670" s="8" t="s">
        <v>239</v>
      </c>
      <c r="F670" s="8" t="s">
        <v>9078</v>
      </c>
    </row>
    <row r="671" customHeight="1" spans="1:6">
      <c r="A671" s="6">
        <v>670</v>
      </c>
      <c r="B671" s="8" t="s">
        <v>9079</v>
      </c>
      <c r="C671" s="8" t="s">
        <v>9080</v>
      </c>
      <c r="D671" s="8" t="s">
        <v>9081</v>
      </c>
      <c r="E671" s="8" t="s">
        <v>571</v>
      </c>
      <c r="F671" s="8" t="s">
        <v>9082</v>
      </c>
    </row>
    <row r="672" customHeight="1" spans="1:6">
      <c r="A672" s="6">
        <v>671</v>
      </c>
      <c r="B672" s="8" t="s">
        <v>9079</v>
      </c>
      <c r="C672" s="8" t="s">
        <v>9080</v>
      </c>
      <c r="D672" s="8" t="s">
        <v>9081</v>
      </c>
      <c r="E672" s="8" t="s">
        <v>571</v>
      </c>
      <c r="F672" s="8" t="s">
        <v>9082</v>
      </c>
    </row>
    <row r="673" customHeight="1" spans="1:6">
      <c r="A673" s="6">
        <v>672</v>
      </c>
      <c r="B673" s="8" t="s">
        <v>9079</v>
      </c>
      <c r="C673" s="8" t="s">
        <v>9080</v>
      </c>
      <c r="D673" s="8" t="s">
        <v>9081</v>
      </c>
      <c r="E673" s="8" t="s">
        <v>571</v>
      </c>
      <c r="F673" s="8" t="s">
        <v>9082</v>
      </c>
    </row>
    <row r="674" customHeight="1" spans="1:6">
      <c r="A674" s="6">
        <v>673</v>
      </c>
      <c r="B674" s="8" t="s">
        <v>9083</v>
      </c>
      <c r="C674" s="8" t="s">
        <v>9084</v>
      </c>
      <c r="D674" s="8" t="s">
        <v>9085</v>
      </c>
      <c r="E674" s="8" t="s">
        <v>854</v>
      </c>
      <c r="F674" s="8" t="s">
        <v>9086</v>
      </c>
    </row>
    <row r="675" customHeight="1" spans="1:6">
      <c r="A675" s="6">
        <v>674</v>
      </c>
      <c r="B675" s="8" t="s">
        <v>9083</v>
      </c>
      <c r="C675" s="8" t="s">
        <v>9084</v>
      </c>
      <c r="D675" s="8" t="s">
        <v>9085</v>
      </c>
      <c r="E675" s="8" t="s">
        <v>854</v>
      </c>
      <c r="F675" s="8" t="s">
        <v>9086</v>
      </c>
    </row>
    <row r="676" customHeight="1" spans="1:6">
      <c r="A676" s="6">
        <v>675</v>
      </c>
      <c r="B676" s="8" t="s">
        <v>9087</v>
      </c>
      <c r="C676" s="8" t="s">
        <v>9088</v>
      </c>
      <c r="D676" s="8" t="s">
        <v>9089</v>
      </c>
      <c r="E676" s="8" t="s">
        <v>375</v>
      </c>
      <c r="F676" s="8" t="s">
        <v>9090</v>
      </c>
    </row>
    <row r="677" customHeight="1" spans="1:6">
      <c r="A677" s="6">
        <v>676</v>
      </c>
      <c r="B677" s="8" t="s">
        <v>9087</v>
      </c>
      <c r="C677" s="8" t="s">
        <v>9088</v>
      </c>
      <c r="D677" s="8" t="s">
        <v>9089</v>
      </c>
      <c r="E677" s="8" t="s">
        <v>375</v>
      </c>
      <c r="F677" s="8" t="s">
        <v>9090</v>
      </c>
    </row>
    <row r="678" customHeight="1" spans="1:6">
      <c r="A678" s="6">
        <v>677</v>
      </c>
      <c r="B678" s="8" t="s">
        <v>9091</v>
      </c>
      <c r="C678" s="8" t="s">
        <v>9092</v>
      </c>
      <c r="D678" s="8" t="s">
        <v>9093</v>
      </c>
      <c r="E678" s="8" t="s">
        <v>571</v>
      </c>
      <c r="F678" s="8" t="s">
        <v>9094</v>
      </c>
    </row>
    <row r="679" customHeight="1" spans="1:6">
      <c r="A679" s="6">
        <v>678</v>
      </c>
      <c r="B679" s="8" t="s">
        <v>9091</v>
      </c>
      <c r="C679" s="8" t="s">
        <v>9092</v>
      </c>
      <c r="D679" s="8" t="s">
        <v>9093</v>
      </c>
      <c r="E679" s="8" t="s">
        <v>571</v>
      </c>
      <c r="F679" s="8" t="s">
        <v>9094</v>
      </c>
    </row>
    <row r="680" customHeight="1" spans="1:6">
      <c r="A680" s="6">
        <v>679</v>
      </c>
      <c r="B680" s="8" t="s">
        <v>9091</v>
      </c>
      <c r="C680" s="8" t="s">
        <v>9092</v>
      </c>
      <c r="D680" s="8" t="s">
        <v>9093</v>
      </c>
      <c r="E680" s="8" t="s">
        <v>571</v>
      </c>
      <c r="F680" s="8" t="s">
        <v>9094</v>
      </c>
    </row>
    <row r="681" customHeight="1" spans="1:6">
      <c r="A681" s="6">
        <v>680</v>
      </c>
      <c r="B681" s="8" t="s">
        <v>9095</v>
      </c>
      <c r="C681" s="8" t="s">
        <v>9096</v>
      </c>
      <c r="D681" s="8" t="s">
        <v>9097</v>
      </c>
      <c r="E681" s="8" t="s">
        <v>571</v>
      </c>
      <c r="F681" s="8" t="s">
        <v>9098</v>
      </c>
    </row>
    <row r="682" customHeight="1" spans="1:6">
      <c r="A682" s="6">
        <v>681</v>
      </c>
      <c r="B682" s="8" t="s">
        <v>9095</v>
      </c>
      <c r="C682" s="8" t="s">
        <v>9096</v>
      </c>
      <c r="D682" s="8" t="s">
        <v>9097</v>
      </c>
      <c r="E682" s="8" t="s">
        <v>571</v>
      </c>
      <c r="F682" s="8" t="s">
        <v>9098</v>
      </c>
    </row>
    <row r="683" customHeight="1" spans="1:6">
      <c r="A683" s="6">
        <v>682</v>
      </c>
      <c r="B683" s="8" t="s">
        <v>9095</v>
      </c>
      <c r="C683" s="8" t="s">
        <v>9096</v>
      </c>
      <c r="D683" s="8" t="s">
        <v>9097</v>
      </c>
      <c r="E683" s="8" t="s">
        <v>571</v>
      </c>
      <c r="F683" s="8" t="s">
        <v>9098</v>
      </c>
    </row>
    <row r="684" customHeight="1" spans="1:6">
      <c r="A684" s="6">
        <v>683</v>
      </c>
      <c r="B684" s="8" t="s">
        <v>9099</v>
      </c>
      <c r="C684" s="8" t="s">
        <v>9100</v>
      </c>
      <c r="D684" s="8" t="s">
        <v>9101</v>
      </c>
      <c r="E684" s="8" t="s">
        <v>571</v>
      </c>
      <c r="F684" s="8" t="s">
        <v>9102</v>
      </c>
    </row>
    <row r="685" customHeight="1" spans="1:6">
      <c r="A685" s="6">
        <v>684</v>
      </c>
      <c r="B685" s="8" t="s">
        <v>9099</v>
      </c>
      <c r="C685" s="8" t="s">
        <v>9100</v>
      </c>
      <c r="D685" s="8" t="s">
        <v>9101</v>
      </c>
      <c r="E685" s="8" t="s">
        <v>571</v>
      </c>
      <c r="F685" s="8" t="s">
        <v>9102</v>
      </c>
    </row>
    <row r="686" customHeight="1" spans="1:6">
      <c r="A686" s="6">
        <v>685</v>
      </c>
      <c r="B686" s="8" t="s">
        <v>9099</v>
      </c>
      <c r="C686" s="8" t="s">
        <v>9100</v>
      </c>
      <c r="D686" s="8" t="s">
        <v>9101</v>
      </c>
      <c r="E686" s="8" t="s">
        <v>571</v>
      </c>
      <c r="F686" s="8" t="s">
        <v>9102</v>
      </c>
    </row>
    <row r="687" customHeight="1" spans="1:6">
      <c r="A687" s="6">
        <v>686</v>
      </c>
      <c r="B687" s="8" t="s">
        <v>9103</v>
      </c>
      <c r="C687" s="8" t="s">
        <v>9104</v>
      </c>
      <c r="D687" s="8" t="s">
        <v>9105</v>
      </c>
      <c r="E687" s="8" t="s">
        <v>571</v>
      </c>
      <c r="F687" s="8" t="s">
        <v>9106</v>
      </c>
    </row>
    <row r="688" customHeight="1" spans="1:6">
      <c r="A688" s="6">
        <v>687</v>
      </c>
      <c r="B688" s="8" t="s">
        <v>9103</v>
      </c>
      <c r="C688" s="8" t="s">
        <v>9104</v>
      </c>
      <c r="D688" s="8" t="s">
        <v>9105</v>
      </c>
      <c r="E688" s="8" t="s">
        <v>571</v>
      </c>
      <c r="F688" s="8" t="s">
        <v>9106</v>
      </c>
    </row>
    <row r="689" customHeight="1" spans="1:6">
      <c r="A689" s="6">
        <v>688</v>
      </c>
      <c r="B689" s="8" t="s">
        <v>9103</v>
      </c>
      <c r="C689" s="8" t="s">
        <v>9104</v>
      </c>
      <c r="D689" s="8" t="s">
        <v>9105</v>
      </c>
      <c r="E689" s="8" t="s">
        <v>571</v>
      </c>
      <c r="F689" s="8" t="s">
        <v>9106</v>
      </c>
    </row>
    <row r="690" customHeight="1" spans="1:6">
      <c r="A690" s="6">
        <v>689</v>
      </c>
      <c r="B690" s="8" t="s">
        <v>9107</v>
      </c>
      <c r="C690" s="8" t="s">
        <v>9108</v>
      </c>
      <c r="D690" s="8" t="s">
        <v>9109</v>
      </c>
      <c r="E690" s="8" t="s">
        <v>571</v>
      </c>
      <c r="F690" s="8" t="s">
        <v>9110</v>
      </c>
    </row>
    <row r="691" customHeight="1" spans="1:6">
      <c r="A691" s="6">
        <v>690</v>
      </c>
      <c r="B691" s="8" t="s">
        <v>9107</v>
      </c>
      <c r="C691" s="8" t="s">
        <v>9108</v>
      </c>
      <c r="D691" s="8" t="s">
        <v>9109</v>
      </c>
      <c r="E691" s="8" t="s">
        <v>571</v>
      </c>
      <c r="F691" s="8" t="s">
        <v>9110</v>
      </c>
    </row>
    <row r="692" customHeight="1" spans="1:6">
      <c r="A692" s="6">
        <v>691</v>
      </c>
      <c r="B692" s="8" t="s">
        <v>9107</v>
      </c>
      <c r="C692" s="8" t="s">
        <v>9108</v>
      </c>
      <c r="D692" s="8" t="s">
        <v>9109</v>
      </c>
      <c r="E692" s="8" t="s">
        <v>571</v>
      </c>
      <c r="F692" s="8" t="s">
        <v>9110</v>
      </c>
    </row>
    <row r="693" customHeight="1" spans="1:6">
      <c r="A693" s="6">
        <v>692</v>
      </c>
      <c r="B693" s="8" t="s">
        <v>9111</v>
      </c>
      <c r="C693" s="8" t="s">
        <v>9112</v>
      </c>
      <c r="D693" s="8" t="s">
        <v>9113</v>
      </c>
      <c r="E693" s="8" t="s">
        <v>9114</v>
      </c>
      <c r="F693" s="8" t="s">
        <v>9115</v>
      </c>
    </row>
    <row r="694" customHeight="1" spans="1:6">
      <c r="A694" s="6">
        <v>693</v>
      </c>
      <c r="B694" s="8" t="s">
        <v>9111</v>
      </c>
      <c r="C694" s="8" t="s">
        <v>9112</v>
      </c>
      <c r="D694" s="8" t="s">
        <v>9113</v>
      </c>
      <c r="E694" s="8" t="s">
        <v>9114</v>
      </c>
      <c r="F694" s="8" t="s">
        <v>9115</v>
      </c>
    </row>
    <row r="695" customHeight="1" spans="1:6">
      <c r="A695" s="6">
        <v>694</v>
      </c>
      <c r="B695" s="8" t="s">
        <v>9111</v>
      </c>
      <c r="C695" s="8" t="s">
        <v>9112</v>
      </c>
      <c r="D695" s="8" t="s">
        <v>9113</v>
      </c>
      <c r="E695" s="8" t="s">
        <v>9114</v>
      </c>
      <c r="F695" s="8" t="s">
        <v>9115</v>
      </c>
    </row>
    <row r="696" customHeight="1" spans="1:6">
      <c r="A696" s="6">
        <v>695</v>
      </c>
      <c r="B696" s="8" t="s">
        <v>9116</v>
      </c>
      <c r="C696" s="8" t="s">
        <v>9117</v>
      </c>
      <c r="D696" s="8" t="s">
        <v>9118</v>
      </c>
      <c r="E696" s="8" t="s">
        <v>1189</v>
      </c>
      <c r="F696" s="8" t="s">
        <v>9119</v>
      </c>
    </row>
    <row r="697" customHeight="1" spans="1:6">
      <c r="A697" s="6">
        <v>696</v>
      </c>
      <c r="B697" s="8" t="s">
        <v>9116</v>
      </c>
      <c r="C697" s="8" t="s">
        <v>9117</v>
      </c>
      <c r="D697" s="8" t="s">
        <v>9118</v>
      </c>
      <c r="E697" s="8" t="s">
        <v>1189</v>
      </c>
      <c r="F697" s="8" t="s">
        <v>9119</v>
      </c>
    </row>
    <row r="698" customHeight="1" spans="1:6">
      <c r="A698" s="6">
        <v>697</v>
      </c>
      <c r="B698" s="8" t="s">
        <v>9116</v>
      </c>
      <c r="C698" s="8" t="s">
        <v>9117</v>
      </c>
      <c r="D698" s="8" t="s">
        <v>9118</v>
      </c>
      <c r="E698" s="8" t="s">
        <v>1189</v>
      </c>
      <c r="F698" s="8" t="s">
        <v>9119</v>
      </c>
    </row>
    <row r="699" customHeight="1" spans="1:6">
      <c r="A699" s="6">
        <v>698</v>
      </c>
      <c r="B699" s="8" t="s">
        <v>9120</v>
      </c>
      <c r="C699" s="8" t="s">
        <v>9121</v>
      </c>
      <c r="D699" s="8" t="s">
        <v>9122</v>
      </c>
      <c r="E699" s="8" t="s">
        <v>1818</v>
      </c>
      <c r="F699" s="8" t="s">
        <v>9123</v>
      </c>
    </row>
    <row r="700" customHeight="1" spans="1:6">
      <c r="A700" s="6">
        <v>699</v>
      </c>
      <c r="B700" s="8" t="s">
        <v>9120</v>
      </c>
      <c r="C700" s="8" t="s">
        <v>9121</v>
      </c>
      <c r="D700" s="8" t="s">
        <v>9122</v>
      </c>
      <c r="E700" s="8" t="s">
        <v>1818</v>
      </c>
      <c r="F700" s="8" t="s">
        <v>9123</v>
      </c>
    </row>
    <row r="701" customHeight="1" spans="1:6">
      <c r="A701" s="6">
        <v>700</v>
      </c>
      <c r="B701" s="8" t="s">
        <v>9124</v>
      </c>
      <c r="C701" s="8" t="s">
        <v>9125</v>
      </c>
      <c r="D701" s="8" t="s">
        <v>9126</v>
      </c>
      <c r="E701" s="8" t="s">
        <v>239</v>
      </c>
      <c r="F701" s="8" t="s">
        <v>9127</v>
      </c>
    </row>
    <row r="702" customHeight="1" spans="1:6">
      <c r="A702" s="6">
        <v>701</v>
      </c>
      <c r="B702" s="8" t="s">
        <v>9124</v>
      </c>
      <c r="C702" s="8" t="s">
        <v>9125</v>
      </c>
      <c r="D702" s="8" t="s">
        <v>9126</v>
      </c>
      <c r="E702" s="8" t="s">
        <v>239</v>
      </c>
      <c r="F702" s="8" t="s">
        <v>9127</v>
      </c>
    </row>
    <row r="703" customHeight="1" spans="1:6">
      <c r="A703" s="6">
        <v>702</v>
      </c>
      <c r="B703" s="8" t="s">
        <v>9128</v>
      </c>
      <c r="C703" s="8" t="s">
        <v>9129</v>
      </c>
      <c r="D703" s="8" t="s">
        <v>9130</v>
      </c>
      <c r="E703" s="8" t="s">
        <v>1189</v>
      </c>
      <c r="F703" s="8" t="s">
        <v>9131</v>
      </c>
    </row>
    <row r="704" customHeight="1" spans="1:6">
      <c r="A704" s="6">
        <v>703</v>
      </c>
      <c r="B704" s="8" t="s">
        <v>9128</v>
      </c>
      <c r="C704" s="8" t="s">
        <v>9129</v>
      </c>
      <c r="D704" s="8" t="s">
        <v>9130</v>
      </c>
      <c r="E704" s="8" t="s">
        <v>1189</v>
      </c>
      <c r="F704" s="8" t="s">
        <v>9131</v>
      </c>
    </row>
    <row r="705" customHeight="1" spans="1:6">
      <c r="A705" s="6">
        <v>704</v>
      </c>
      <c r="B705" s="8" t="s">
        <v>9128</v>
      </c>
      <c r="C705" s="8" t="s">
        <v>9129</v>
      </c>
      <c r="D705" s="8" t="s">
        <v>9130</v>
      </c>
      <c r="E705" s="8" t="s">
        <v>1189</v>
      </c>
      <c r="F705" s="8" t="s">
        <v>9131</v>
      </c>
    </row>
    <row r="706" customHeight="1" spans="1:6">
      <c r="A706" s="6">
        <v>705</v>
      </c>
      <c r="B706" s="8" t="s">
        <v>9132</v>
      </c>
      <c r="C706" s="8" t="s">
        <v>9133</v>
      </c>
      <c r="D706" s="8" t="s">
        <v>9134</v>
      </c>
      <c r="E706" s="8" t="s">
        <v>1189</v>
      </c>
      <c r="F706" s="8" t="s">
        <v>9135</v>
      </c>
    </row>
    <row r="707" customHeight="1" spans="1:6">
      <c r="A707" s="6">
        <v>706</v>
      </c>
      <c r="B707" s="8" t="s">
        <v>9132</v>
      </c>
      <c r="C707" s="8" t="s">
        <v>9133</v>
      </c>
      <c r="D707" s="8" t="s">
        <v>9134</v>
      </c>
      <c r="E707" s="8" t="s">
        <v>1189</v>
      </c>
      <c r="F707" s="8" t="s">
        <v>9135</v>
      </c>
    </row>
    <row r="708" customHeight="1" spans="1:6">
      <c r="A708" s="6">
        <v>707</v>
      </c>
      <c r="B708" s="8" t="s">
        <v>9132</v>
      </c>
      <c r="C708" s="8" t="s">
        <v>9133</v>
      </c>
      <c r="D708" s="8" t="s">
        <v>9134</v>
      </c>
      <c r="E708" s="8" t="s">
        <v>1189</v>
      </c>
      <c r="F708" s="8" t="s">
        <v>9135</v>
      </c>
    </row>
    <row r="709" customHeight="1" spans="1:6">
      <c r="A709" s="6">
        <v>708</v>
      </c>
      <c r="B709" s="8" t="s">
        <v>9136</v>
      </c>
      <c r="C709" s="8" t="s">
        <v>9137</v>
      </c>
      <c r="D709" s="8" t="s">
        <v>9138</v>
      </c>
      <c r="E709" s="8" t="s">
        <v>571</v>
      </c>
      <c r="F709" s="8" t="s">
        <v>9139</v>
      </c>
    </row>
    <row r="710" customHeight="1" spans="1:6">
      <c r="A710" s="6">
        <v>709</v>
      </c>
      <c r="B710" s="8" t="s">
        <v>9136</v>
      </c>
      <c r="C710" s="8" t="s">
        <v>9137</v>
      </c>
      <c r="D710" s="8" t="s">
        <v>9138</v>
      </c>
      <c r="E710" s="8" t="s">
        <v>571</v>
      </c>
      <c r="F710" s="8" t="s">
        <v>9139</v>
      </c>
    </row>
    <row r="711" customHeight="1" spans="1:6">
      <c r="A711" s="6">
        <v>710</v>
      </c>
      <c r="B711" s="8" t="s">
        <v>9140</v>
      </c>
      <c r="C711" s="8" t="s">
        <v>9141</v>
      </c>
      <c r="D711" s="8" t="s">
        <v>9142</v>
      </c>
      <c r="E711" s="8" t="s">
        <v>239</v>
      </c>
      <c r="F711" s="8" t="s">
        <v>9143</v>
      </c>
    </row>
    <row r="712" customHeight="1" spans="1:6">
      <c r="A712" s="6">
        <v>711</v>
      </c>
      <c r="B712" s="8" t="s">
        <v>9140</v>
      </c>
      <c r="C712" s="8" t="s">
        <v>9141</v>
      </c>
      <c r="D712" s="8" t="s">
        <v>9142</v>
      </c>
      <c r="E712" s="8" t="s">
        <v>239</v>
      </c>
      <c r="F712" s="8" t="s">
        <v>9143</v>
      </c>
    </row>
    <row r="713" customHeight="1" spans="1:6">
      <c r="A713" s="6">
        <v>712</v>
      </c>
      <c r="B713" s="8" t="s">
        <v>9140</v>
      </c>
      <c r="C713" s="8" t="s">
        <v>9141</v>
      </c>
      <c r="D713" s="8" t="s">
        <v>9142</v>
      </c>
      <c r="E713" s="8" t="s">
        <v>239</v>
      </c>
      <c r="F713" s="8" t="s">
        <v>9143</v>
      </c>
    </row>
    <row r="714" customHeight="1" spans="1:6">
      <c r="A714" s="6">
        <v>713</v>
      </c>
      <c r="B714" s="8" t="s">
        <v>9144</v>
      </c>
      <c r="C714" s="8" t="s">
        <v>9145</v>
      </c>
      <c r="D714" s="8" t="s">
        <v>9146</v>
      </c>
      <c r="E714" s="8" t="s">
        <v>375</v>
      </c>
      <c r="F714" s="8" t="s">
        <v>9147</v>
      </c>
    </row>
    <row r="715" customHeight="1" spans="1:6">
      <c r="A715" s="6">
        <v>714</v>
      </c>
      <c r="B715" s="8" t="s">
        <v>9144</v>
      </c>
      <c r="C715" s="8" t="s">
        <v>9145</v>
      </c>
      <c r="D715" s="8" t="s">
        <v>9146</v>
      </c>
      <c r="E715" s="8" t="s">
        <v>375</v>
      </c>
      <c r="F715" s="8" t="s">
        <v>9147</v>
      </c>
    </row>
    <row r="716" customHeight="1" spans="1:6">
      <c r="A716" s="6">
        <v>715</v>
      </c>
      <c r="B716" s="8" t="s">
        <v>9144</v>
      </c>
      <c r="C716" s="8" t="s">
        <v>9145</v>
      </c>
      <c r="D716" s="8" t="s">
        <v>9146</v>
      </c>
      <c r="E716" s="8" t="s">
        <v>375</v>
      </c>
      <c r="F716" s="8" t="s">
        <v>9147</v>
      </c>
    </row>
    <row r="717" customHeight="1" spans="1:6">
      <c r="A717" s="6">
        <v>716</v>
      </c>
      <c r="B717" s="8" t="s">
        <v>9148</v>
      </c>
      <c r="C717" s="8" t="s">
        <v>9149</v>
      </c>
      <c r="D717" s="8" t="s">
        <v>9150</v>
      </c>
      <c r="E717" s="8" t="s">
        <v>696</v>
      </c>
      <c r="F717" s="8" t="s">
        <v>9151</v>
      </c>
    </row>
    <row r="718" customHeight="1" spans="1:6">
      <c r="A718" s="6">
        <v>717</v>
      </c>
      <c r="B718" s="8" t="s">
        <v>9148</v>
      </c>
      <c r="C718" s="8" t="s">
        <v>9149</v>
      </c>
      <c r="D718" s="8" t="s">
        <v>9150</v>
      </c>
      <c r="E718" s="8" t="s">
        <v>696</v>
      </c>
      <c r="F718" s="8" t="s">
        <v>9151</v>
      </c>
    </row>
    <row r="719" customHeight="1" spans="1:6">
      <c r="A719" s="6">
        <v>718</v>
      </c>
      <c r="B719" s="8" t="s">
        <v>9148</v>
      </c>
      <c r="C719" s="8" t="s">
        <v>9149</v>
      </c>
      <c r="D719" s="8" t="s">
        <v>9150</v>
      </c>
      <c r="E719" s="8" t="s">
        <v>696</v>
      </c>
      <c r="F719" s="8" t="s">
        <v>9151</v>
      </c>
    </row>
    <row r="720" customHeight="1" spans="1:6">
      <c r="A720" s="6">
        <v>719</v>
      </c>
      <c r="B720" s="8" t="s">
        <v>9152</v>
      </c>
      <c r="C720" s="8" t="s">
        <v>9153</v>
      </c>
      <c r="D720" s="8" t="s">
        <v>9154</v>
      </c>
      <c r="E720" s="8" t="s">
        <v>1189</v>
      </c>
      <c r="F720" s="8" t="s">
        <v>9155</v>
      </c>
    </row>
    <row r="721" customHeight="1" spans="1:6">
      <c r="A721" s="6">
        <v>720</v>
      </c>
      <c r="B721" s="8" t="s">
        <v>9152</v>
      </c>
      <c r="C721" s="8" t="s">
        <v>9153</v>
      </c>
      <c r="D721" s="8" t="s">
        <v>9154</v>
      </c>
      <c r="E721" s="8" t="s">
        <v>1189</v>
      </c>
      <c r="F721" s="8" t="s">
        <v>9155</v>
      </c>
    </row>
    <row r="722" customHeight="1" spans="1:6">
      <c r="A722" s="6">
        <v>721</v>
      </c>
      <c r="B722" s="8" t="s">
        <v>9152</v>
      </c>
      <c r="C722" s="8" t="s">
        <v>9153</v>
      </c>
      <c r="D722" s="8" t="s">
        <v>9154</v>
      </c>
      <c r="E722" s="8" t="s">
        <v>1189</v>
      </c>
      <c r="F722" s="8" t="s">
        <v>9155</v>
      </c>
    </row>
    <row r="723" customHeight="1" spans="1:6">
      <c r="A723" s="6">
        <v>722</v>
      </c>
      <c r="B723" s="8" t="s">
        <v>9156</v>
      </c>
      <c r="C723" s="8" t="s">
        <v>9157</v>
      </c>
      <c r="D723" s="8" t="s">
        <v>9158</v>
      </c>
      <c r="E723" s="8" t="s">
        <v>1189</v>
      </c>
      <c r="F723" s="8" t="s">
        <v>9159</v>
      </c>
    </row>
    <row r="724" customHeight="1" spans="1:6">
      <c r="A724" s="6">
        <v>723</v>
      </c>
      <c r="B724" s="8" t="s">
        <v>9156</v>
      </c>
      <c r="C724" s="8" t="s">
        <v>9157</v>
      </c>
      <c r="D724" s="8" t="s">
        <v>9158</v>
      </c>
      <c r="E724" s="8" t="s">
        <v>1189</v>
      </c>
      <c r="F724" s="8" t="s">
        <v>9159</v>
      </c>
    </row>
    <row r="725" customHeight="1" spans="1:6">
      <c r="A725" s="6">
        <v>724</v>
      </c>
      <c r="B725" s="8" t="s">
        <v>9156</v>
      </c>
      <c r="C725" s="8" t="s">
        <v>9157</v>
      </c>
      <c r="D725" s="8" t="s">
        <v>9158</v>
      </c>
      <c r="E725" s="8" t="s">
        <v>1189</v>
      </c>
      <c r="F725" s="8" t="s">
        <v>9159</v>
      </c>
    </row>
    <row r="726" customHeight="1" spans="1:6">
      <c r="A726" s="6">
        <v>725</v>
      </c>
      <c r="B726" s="8" t="s">
        <v>9160</v>
      </c>
      <c r="C726" s="8" t="s">
        <v>9161</v>
      </c>
      <c r="D726" s="8" t="s">
        <v>9162</v>
      </c>
      <c r="E726" s="8" t="s">
        <v>1189</v>
      </c>
      <c r="F726" s="8" t="s">
        <v>9163</v>
      </c>
    </row>
    <row r="727" customHeight="1" spans="1:6">
      <c r="A727" s="6">
        <v>726</v>
      </c>
      <c r="B727" s="8" t="s">
        <v>9160</v>
      </c>
      <c r="C727" s="8" t="s">
        <v>9161</v>
      </c>
      <c r="D727" s="8" t="s">
        <v>9162</v>
      </c>
      <c r="E727" s="8" t="s">
        <v>1189</v>
      </c>
      <c r="F727" s="8" t="s">
        <v>9163</v>
      </c>
    </row>
    <row r="728" customHeight="1" spans="1:6">
      <c r="A728" s="6">
        <v>727</v>
      </c>
      <c r="B728" s="8" t="s">
        <v>9160</v>
      </c>
      <c r="C728" s="8" t="s">
        <v>9161</v>
      </c>
      <c r="D728" s="8" t="s">
        <v>9162</v>
      </c>
      <c r="E728" s="8" t="s">
        <v>1189</v>
      </c>
      <c r="F728" s="8" t="s">
        <v>9163</v>
      </c>
    </row>
    <row r="729" customHeight="1" spans="1:6">
      <c r="A729" s="6">
        <v>728</v>
      </c>
      <c r="B729" s="8" t="s">
        <v>9164</v>
      </c>
      <c r="C729" s="8" t="s">
        <v>9165</v>
      </c>
      <c r="D729" s="8" t="s">
        <v>9166</v>
      </c>
      <c r="E729" s="8" t="s">
        <v>571</v>
      </c>
      <c r="F729" s="8" t="s">
        <v>9167</v>
      </c>
    </row>
    <row r="730" customHeight="1" spans="1:6">
      <c r="A730" s="6">
        <v>729</v>
      </c>
      <c r="B730" s="8" t="s">
        <v>9164</v>
      </c>
      <c r="C730" s="8" t="s">
        <v>9165</v>
      </c>
      <c r="D730" s="8" t="s">
        <v>9166</v>
      </c>
      <c r="E730" s="8" t="s">
        <v>571</v>
      </c>
      <c r="F730" s="8" t="s">
        <v>9167</v>
      </c>
    </row>
    <row r="731" customHeight="1" spans="1:6">
      <c r="A731" s="6">
        <v>730</v>
      </c>
      <c r="B731" s="8" t="s">
        <v>9164</v>
      </c>
      <c r="C731" s="8" t="s">
        <v>9165</v>
      </c>
      <c r="D731" s="8" t="s">
        <v>9166</v>
      </c>
      <c r="E731" s="8" t="s">
        <v>571</v>
      </c>
      <c r="F731" s="8" t="s">
        <v>9167</v>
      </c>
    </row>
    <row r="732" customHeight="1" spans="1:6">
      <c r="A732" s="6">
        <v>731</v>
      </c>
      <c r="B732" s="8" t="s">
        <v>9168</v>
      </c>
      <c r="C732" s="8" t="s">
        <v>9169</v>
      </c>
      <c r="D732" s="8" t="s">
        <v>9170</v>
      </c>
      <c r="E732" s="8" t="s">
        <v>9171</v>
      </c>
      <c r="F732" s="8" t="s">
        <v>9172</v>
      </c>
    </row>
    <row r="733" customHeight="1" spans="1:6">
      <c r="A733" s="6">
        <v>732</v>
      </c>
      <c r="B733" s="8" t="s">
        <v>9168</v>
      </c>
      <c r="C733" s="8" t="s">
        <v>9169</v>
      </c>
      <c r="D733" s="8" t="s">
        <v>9170</v>
      </c>
      <c r="E733" s="8" t="s">
        <v>9171</v>
      </c>
      <c r="F733" s="8" t="s">
        <v>9172</v>
      </c>
    </row>
    <row r="734" customHeight="1" spans="1:6">
      <c r="A734" s="6">
        <v>733</v>
      </c>
      <c r="B734" s="8" t="s">
        <v>9168</v>
      </c>
      <c r="C734" s="8" t="s">
        <v>9169</v>
      </c>
      <c r="D734" s="8" t="s">
        <v>9170</v>
      </c>
      <c r="E734" s="8" t="s">
        <v>9171</v>
      </c>
      <c r="F734" s="8" t="s">
        <v>9172</v>
      </c>
    </row>
    <row r="735" customHeight="1" spans="1:6">
      <c r="A735" s="6">
        <v>734</v>
      </c>
      <c r="B735" s="8" t="s">
        <v>9173</v>
      </c>
      <c r="C735" s="8" t="s">
        <v>9174</v>
      </c>
      <c r="D735" s="8" t="s">
        <v>9175</v>
      </c>
      <c r="E735" s="8" t="s">
        <v>1189</v>
      </c>
      <c r="F735" s="8" t="s">
        <v>9176</v>
      </c>
    </row>
    <row r="736" customHeight="1" spans="1:6">
      <c r="A736" s="6">
        <v>735</v>
      </c>
      <c r="B736" s="8" t="s">
        <v>9173</v>
      </c>
      <c r="C736" s="8" t="s">
        <v>9174</v>
      </c>
      <c r="D736" s="8" t="s">
        <v>9175</v>
      </c>
      <c r="E736" s="8" t="s">
        <v>1189</v>
      </c>
      <c r="F736" s="8" t="s">
        <v>9176</v>
      </c>
    </row>
    <row r="737" customHeight="1" spans="1:6">
      <c r="A737" s="6">
        <v>736</v>
      </c>
      <c r="B737" s="8" t="s">
        <v>9173</v>
      </c>
      <c r="C737" s="8" t="s">
        <v>9174</v>
      </c>
      <c r="D737" s="8" t="s">
        <v>9175</v>
      </c>
      <c r="E737" s="8" t="s">
        <v>1189</v>
      </c>
      <c r="F737" s="8" t="s">
        <v>9176</v>
      </c>
    </row>
    <row r="738" customHeight="1" spans="1:6">
      <c r="A738" s="6">
        <v>737</v>
      </c>
      <c r="B738" s="8" t="s">
        <v>9177</v>
      </c>
      <c r="C738" s="8" t="s">
        <v>9178</v>
      </c>
      <c r="D738" s="8" t="s">
        <v>9179</v>
      </c>
      <c r="E738" s="8" t="s">
        <v>2267</v>
      </c>
      <c r="F738" s="8" t="s">
        <v>9180</v>
      </c>
    </row>
    <row r="739" customHeight="1" spans="1:6">
      <c r="A739" s="6">
        <v>738</v>
      </c>
      <c r="B739" s="8" t="s">
        <v>9177</v>
      </c>
      <c r="C739" s="8" t="s">
        <v>9178</v>
      </c>
      <c r="D739" s="8" t="s">
        <v>9179</v>
      </c>
      <c r="E739" s="8" t="s">
        <v>2267</v>
      </c>
      <c r="F739" s="8" t="s">
        <v>9180</v>
      </c>
    </row>
    <row r="740" customHeight="1" spans="1:6">
      <c r="A740" s="6">
        <v>739</v>
      </c>
      <c r="B740" s="8" t="s">
        <v>9181</v>
      </c>
      <c r="C740" s="8" t="s">
        <v>9182</v>
      </c>
      <c r="D740" s="8" t="s">
        <v>9183</v>
      </c>
      <c r="E740" s="8" t="s">
        <v>571</v>
      </c>
      <c r="F740" s="8" t="s">
        <v>9184</v>
      </c>
    </row>
    <row r="741" customHeight="1" spans="1:6">
      <c r="A741" s="6">
        <v>740</v>
      </c>
      <c r="B741" s="8" t="s">
        <v>9181</v>
      </c>
      <c r="C741" s="8" t="s">
        <v>9182</v>
      </c>
      <c r="D741" s="8" t="s">
        <v>9183</v>
      </c>
      <c r="E741" s="8" t="s">
        <v>571</v>
      </c>
      <c r="F741" s="8" t="s">
        <v>9184</v>
      </c>
    </row>
    <row r="742" customHeight="1" spans="1:6">
      <c r="A742" s="6">
        <v>741</v>
      </c>
      <c r="B742" s="8" t="s">
        <v>9185</v>
      </c>
      <c r="C742" s="8" t="s">
        <v>9186</v>
      </c>
      <c r="D742" s="8" t="s">
        <v>9187</v>
      </c>
      <c r="E742" s="8" t="s">
        <v>571</v>
      </c>
      <c r="F742" s="8" t="s">
        <v>9188</v>
      </c>
    </row>
    <row r="743" customHeight="1" spans="1:6">
      <c r="A743" s="6">
        <v>742</v>
      </c>
      <c r="B743" s="8" t="s">
        <v>9185</v>
      </c>
      <c r="C743" s="8" t="s">
        <v>9186</v>
      </c>
      <c r="D743" s="8" t="s">
        <v>9187</v>
      </c>
      <c r="E743" s="8" t="s">
        <v>571</v>
      </c>
      <c r="F743" s="8" t="s">
        <v>9188</v>
      </c>
    </row>
    <row r="744" customHeight="1" spans="1:6">
      <c r="A744" s="6">
        <v>743</v>
      </c>
      <c r="B744" s="8" t="s">
        <v>9185</v>
      </c>
      <c r="C744" s="8" t="s">
        <v>9186</v>
      </c>
      <c r="D744" s="8" t="s">
        <v>9187</v>
      </c>
      <c r="E744" s="8" t="s">
        <v>571</v>
      </c>
      <c r="F744" s="8" t="s">
        <v>9188</v>
      </c>
    </row>
    <row r="745" customHeight="1" spans="1:6">
      <c r="A745" s="6">
        <v>744</v>
      </c>
      <c r="B745" s="8" t="s">
        <v>9189</v>
      </c>
      <c r="C745" s="8" t="s">
        <v>9190</v>
      </c>
      <c r="D745" s="8" t="s">
        <v>9191</v>
      </c>
      <c r="E745" s="8" t="s">
        <v>385</v>
      </c>
      <c r="F745" s="8" t="s">
        <v>9192</v>
      </c>
    </row>
    <row r="746" customHeight="1" spans="1:6">
      <c r="A746" s="6">
        <v>745</v>
      </c>
      <c r="B746" s="8" t="s">
        <v>9189</v>
      </c>
      <c r="C746" s="8" t="s">
        <v>9190</v>
      </c>
      <c r="D746" s="8" t="s">
        <v>9191</v>
      </c>
      <c r="E746" s="8" t="s">
        <v>385</v>
      </c>
      <c r="F746" s="8" t="s">
        <v>9192</v>
      </c>
    </row>
    <row r="747" customHeight="1" spans="1:6">
      <c r="A747" s="6">
        <v>746</v>
      </c>
      <c r="B747" s="8" t="s">
        <v>9189</v>
      </c>
      <c r="C747" s="8" t="s">
        <v>9190</v>
      </c>
      <c r="D747" s="8" t="s">
        <v>9191</v>
      </c>
      <c r="E747" s="8" t="s">
        <v>385</v>
      </c>
      <c r="F747" s="8" t="s">
        <v>9192</v>
      </c>
    </row>
    <row r="748" customHeight="1" spans="1:6">
      <c r="A748" s="6">
        <v>747</v>
      </c>
      <c r="B748" s="8" t="s">
        <v>9193</v>
      </c>
      <c r="C748" s="8" t="s">
        <v>9194</v>
      </c>
      <c r="D748" s="8" t="s">
        <v>9195</v>
      </c>
      <c r="E748" s="8" t="s">
        <v>385</v>
      </c>
      <c r="F748" s="8" t="s">
        <v>9196</v>
      </c>
    </row>
    <row r="749" customHeight="1" spans="1:6">
      <c r="A749" s="6">
        <v>748</v>
      </c>
      <c r="B749" s="8" t="s">
        <v>9193</v>
      </c>
      <c r="C749" s="8" t="s">
        <v>9194</v>
      </c>
      <c r="D749" s="8" t="s">
        <v>9195</v>
      </c>
      <c r="E749" s="8" t="s">
        <v>385</v>
      </c>
      <c r="F749" s="8" t="s">
        <v>9196</v>
      </c>
    </row>
    <row r="750" customHeight="1" spans="1:6">
      <c r="A750" s="6">
        <v>749</v>
      </c>
      <c r="B750" s="8" t="s">
        <v>9197</v>
      </c>
      <c r="C750" s="8" t="s">
        <v>9198</v>
      </c>
      <c r="D750" s="8" t="s">
        <v>9199</v>
      </c>
      <c r="E750" s="8" t="s">
        <v>1818</v>
      </c>
      <c r="F750" s="8" t="s">
        <v>9200</v>
      </c>
    </row>
    <row r="751" customHeight="1" spans="1:6">
      <c r="A751" s="6">
        <v>750</v>
      </c>
      <c r="B751" s="8" t="s">
        <v>9197</v>
      </c>
      <c r="C751" s="8" t="s">
        <v>9198</v>
      </c>
      <c r="D751" s="8" t="s">
        <v>9199</v>
      </c>
      <c r="E751" s="8" t="s">
        <v>1818</v>
      </c>
      <c r="F751" s="8" t="s">
        <v>9200</v>
      </c>
    </row>
    <row r="752" customHeight="1" spans="1:6">
      <c r="A752" s="6">
        <v>751</v>
      </c>
      <c r="B752" s="8" t="s">
        <v>9197</v>
      </c>
      <c r="C752" s="8" t="s">
        <v>9198</v>
      </c>
      <c r="D752" s="8" t="s">
        <v>9199</v>
      </c>
      <c r="E752" s="8" t="s">
        <v>1818</v>
      </c>
      <c r="F752" s="8" t="s">
        <v>9200</v>
      </c>
    </row>
    <row r="753" customHeight="1" spans="1:6">
      <c r="A753" s="6">
        <v>752</v>
      </c>
      <c r="B753" s="8" t="s">
        <v>9201</v>
      </c>
      <c r="C753" s="8" t="s">
        <v>9202</v>
      </c>
      <c r="D753" s="8" t="s">
        <v>9203</v>
      </c>
      <c r="E753" s="8" t="s">
        <v>380</v>
      </c>
      <c r="F753" s="8" t="s">
        <v>9204</v>
      </c>
    </row>
    <row r="754" customHeight="1" spans="1:6">
      <c r="A754" s="6">
        <v>753</v>
      </c>
      <c r="B754" s="8" t="s">
        <v>9201</v>
      </c>
      <c r="C754" s="8" t="s">
        <v>9202</v>
      </c>
      <c r="D754" s="8" t="s">
        <v>9203</v>
      </c>
      <c r="E754" s="8" t="s">
        <v>380</v>
      </c>
      <c r="F754" s="8" t="s">
        <v>9204</v>
      </c>
    </row>
    <row r="755" customHeight="1" spans="1:6">
      <c r="A755" s="6">
        <v>754</v>
      </c>
      <c r="B755" s="8" t="s">
        <v>9205</v>
      </c>
      <c r="C755" s="8" t="s">
        <v>9206</v>
      </c>
      <c r="D755" s="8" t="s">
        <v>9207</v>
      </c>
      <c r="E755" s="8" t="s">
        <v>571</v>
      </c>
      <c r="F755" s="8" t="s">
        <v>9208</v>
      </c>
    </row>
    <row r="756" customHeight="1" spans="1:6">
      <c r="A756" s="6">
        <v>755</v>
      </c>
      <c r="B756" s="8" t="s">
        <v>9205</v>
      </c>
      <c r="C756" s="8" t="s">
        <v>9206</v>
      </c>
      <c r="D756" s="8" t="s">
        <v>9207</v>
      </c>
      <c r="E756" s="8" t="s">
        <v>571</v>
      </c>
      <c r="F756" s="8" t="s">
        <v>9208</v>
      </c>
    </row>
    <row r="757" customHeight="1" spans="1:6">
      <c r="A757" s="6">
        <v>756</v>
      </c>
      <c r="B757" s="8" t="s">
        <v>9205</v>
      </c>
      <c r="C757" s="8" t="s">
        <v>9206</v>
      </c>
      <c r="D757" s="8" t="s">
        <v>9207</v>
      </c>
      <c r="E757" s="8" t="s">
        <v>571</v>
      </c>
      <c r="F757" s="8" t="s">
        <v>9208</v>
      </c>
    </row>
    <row r="758" customHeight="1" spans="1:6">
      <c r="A758" s="6">
        <v>757</v>
      </c>
      <c r="B758" s="8" t="s">
        <v>9209</v>
      </c>
      <c r="C758" s="8" t="s">
        <v>9210</v>
      </c>
      <c r="D758" s="8" t="s">
        <v>9211</v>
      </c>
      <c r="E758" s="8" t="s">
        <v>1189</v>
      </c>
      <c r="F758" s="8" t="s">
        <v>9212</v>
      </c>
    </row>
    <row r="759" customHeight="1" spans="1:6">
      <c r="A759" s="6">
        <v>758</v>
      </c>
      <c r="B759" s="8" t="s">
        <v>9209</v>
      </c>
      <c r="C759" s="8" t="s">
        <v>9210</v>
      </c>
      <c r="D759" s="8" t="s">
        <v>9211</v>
      </c>
      <c r="E759" s="8" t="s">
        <v>1189</v>
      </c>
      <c r="F759" s="8" t="s">
        <v>9212</v>
      </c>
    </row>
    <row r="760" customHeight="1" spans="1:6">
      <c r="A760" s="6">
        <v>759</v>
      </c>
      <c r="B760" s="8" t="s">
        <v>9209</v>
      </c>
      <c r="C760" s="8" t="s">
        <v>9210</v>
      </c>
      <c r="D760" s="8" t="s">
        <v>9211</v>
      </c>
      <c r="E760" s="8" t="s">
        <v>1189</v>
      </c>
      <c r="F760" s="8" t="s">
        <v>9212</v>
      </c>
    </row>
    <row r="761" customHeight="1" spans="1:6">
      <c r="A761" s="6">
        <v>760</v>
      </c>
      <c r="B761" s="8" t="s">
        <v>9213</v>
      </c>
      <c r="C761" s="8" t="s">
        <v>9214</v>
      </c>
      <c r="D761" s="8" t="s">
        <v>9215</v>
      </c>
      <c r="E761" s="8" t="s">
        <v>311</v>
      </c>
      <c r="F761" s="8" t="s">
        <v>9216</v>
      </c>
    </row>
    <row r="762" customHeight="1" spans="1:6">
      <c r="A762" s="6">
        <v>761</v>
      </c>
      <c r="B762" s="8" t="s">
        <v>9213</v>
      </c>
      <c r="C762" s="8" t="s">
        <v>9214</v>
      </c>
      <c r="D762" s="8" t="s">
        <v>9215</v>
      </c>
      <c r="E762" s="8" t="s">
        <v>311</v>
      </c>
      <c r="F762" s="8" t="s">
        <v>9216</v>
      </c>
    </row>
    <row r="763" customHeight="1" spans="1:6">
      <c r="A763" s="6">
        <v>762</v>
      </c>
      <c r="B763" s="8" t="s">
        <v>9217</v>
      </c>
      <c r="C763" s="8" t="s">
        <v>9218</v>
      </c>
      <c r="D763" s="8" t="s">
        <v>9219</v>
      </c>
      <c r="E763" s="8" t="s">
        <v>239</v>
      </c>
      <c r="F763" s="8" t="s">
        <v>9220</v>
      </c>
    </row>
    <row r="764" customHeight="1" spans="1:6">
      <c r="A764" s="6">
        <v>763</v>
      </c>
      <c r="B764" s="8" t="s">
        <v>9217</v>
      </c>
      <c r="C764" s="8" t="s">
        <v>9218</v>
      </c>
      <c r="D764" s="8" t="s">
        <v>9219</v>
      </c>
      <c r="E764" s="8" t="s">
        <v>239</v>
      </c>
      <c r="F764" s="8" t="s">
        <v>9220</v>
      </c>
    </row>
    <row r="765" customHeight="1" spans="1:6">
      <c r="A765" s="6">
        <v>764</v>
      </c>
      <c r="B765" s="8" t="s">
        <v>9221</v>
      </c>
      <c r="C765" s="8" t="s">
        <v>9222</v>
      </c>
      <c r="D765" s="8" t="s">
        <v>9223</v>
      </c>
      <c r="E765" s="8" t="s">
        <v>1189</v>
      </c>
      <c r="F765" s="8" t="s">
        <v>9224</v>
      </c>
    </row>
    <row r="766" customHeight="1" spans="1:6">
      <c r="A766" s="6">
        <v>765</v>
      </c>
      <c r="B766" s="8" t="s">
        <v>9221</v>
      </c>
      <c r="C766" s="8" t="s">
        <v>9222</v>
      </c>
      <c r="D766" s="8" t="s">
        <v>9223</v>
      </c>
      <c r="E766" s="8" t="s">
        <v>1189</v>
      </c>
      <c r="F766" s="8" t="s">
        <v>9224</v>
      </c>
    </row>
    <row r="767" customHeight="1" spans="1:6">
      <c r="A767" s="6">
        <v>766</v>
      </c>
      <c r="B767" s="8" t="s">
        <v>9221</v>
      </c>
      <c r="C767" s="8" t="s">
        <v>9222</v>
      </c>
      <c r="D767" s="8" t="s">
        <v>9223</v>
      </c>
      <c r="E767" s="8" t="s">
        <v>1189</v>
      </c>
      <c r="F767" s="8" t="s">
        <v>9224</v>
      </c>
    </row>
    <row r="768" customHeight="1" spans="1:6">
      <c r="A768" s="6">
        <v>767</v>
      </c>
      <c r="B768" s="8" t="s">
        <v>9225</v>
      </c>
      <c r="C768" s="8" t="s">
        <v>9226</v>
      </c>
      <c r="D768" s="8" t="s">
        <v>9227</v>
      </c>
      <c r="E768" s="8" t="s">
        <v>360</v>
      </c>
      <c r="F768" s="8" t="s">
        <v>9228</v>
      </c>
    </row>
    <row r="769" customHeight="1" spans="1:6">
      <c r="A769" s="6">
        <v>768</v>
      </c>
      <c r="B769" s="8" t="s">
        <v>9225</v>
      </c>
      <c r="C769" s="8" t="s">
        <v>9226</v>
      </c>
      <c r="D769" s="8" t="s">
        <v>9227</v>
      </c>
      <c r="E769" s="8" t="s">
        <v>360</v>
      </c>
      <c r="F769" s="8" t="s">
        <v>9228</v>
      </c>
    </row>
    <row r="770" customHeight="1" spans="1:6">
      <c r="A770" s="6">
        <v>769</v>
      </c>
      <c r="B770" s="8" t="s">
        <v>9229</v>
      </c>
      <c r="C770" s="8" t="s">
        <v>9230</v>
      </c>
      <c r="D770" s="8" t="s">
        <v>9231</v>
      </c>
      <c r="E770" s="8" t="s">
        <v>375</v>
      </c>
      <c r="F770" s="8" t="s">
        <v>9232</v>
      </c>
    </row>
    <row r="771" customHeight="1" spans="1:6">
      <c r="A771" s="6">
        <v>770</v>
      </c>
      <c r="B771" s="8" t="s">
        <v>9229</v>
      </c>
      <c r="C771" s="8" t="s">
        <v>9230</v>
      </c>
      <c r="D771" s="8" t="s">
        <v>9231</v>
      </c>
      <c r="E771" s="8" t="s">
        <v>375</v>
      </c>
      <c r="F771" s="8" t="s">
        <v>9232</v>
      </c>
    </row>
    <row r="772" customHeight="1" spans="1:6">
      <c r="A772" s="6">
        <v>771</v>
      </c>
      <c r="B772" s="8" t="s">
        <v>9229</v>
      </c>
      <c r="C772" s="8" t="s">
        <v>9230</v>
      </c>
      <c r="D772" s="8" t="s">
        <v>9231</v>
      </c>
      <c r="E772" s="8" t="s">
        <v>375</v>
      </c>
      <c r="F772" s="8" t="s">
        <v>9232</v>
      </c>
    </row>
    <row r="773" customHeight="1" spans="1:6">
      <c r="A773" s="6">
        <v>772</v>
      </c>
      <c r="B773" s="8" t="s">
        <v>9233</v>
      </c>
      <c r="C773" s="8" t="s">
        <v>9234</v>
      </c>
      <c r="D773" s="8" t="s">
        <v>9235</v>
      </c>
      <c r="E773" s="8" t="s">
        <v>571</v>
      </c>
      <c r="F773" s="8" t="s">
        <v>9236</v>
      </c>
    </row>
    <row r="774" customHeight="1" spans="1:6">
      <c r="A774" s="6">
        <v>773</v>
      </c>
      <c r="B774" s="8" t="s">
        <v>9233</v>
      </c>
      <c r="C774" s="8" t="s">
        <v>9234</v>
      </c>
      <c r="D774" s="8" t="s">
        <v>9235</v>
      </c>
      <c r="E774" s="8" t="s">
        <v>571</v>
      </c>
      <c r="F774" s="8" t="s">
        <v>9236</v>
      </c>
    </row>
    <row r="775" customHeight="1" spans="1:6">
      <c r="A775" s="6">
        <v>774</v>
      </c>
      <c r="B775" s="8" t="s">
        <v>9233</v>
      </c>
      <c r="C775" s="8" t="s">
        <v>9234</v>
      </c>
      <c r="D775" s="8" t="s">
        <v>9235</v>
      </c>
      <c r="E775" s="8" t="s">
        <v>571</v>
      </c>
      <c r="F775" s="8" t="s">
        <v>9236</v>
      </c>
    </row>
    <row r="776" customHeight="1" spans="1:6">
      <c r="A776" s="6">
        <v>775</v>
      </c>
      <c r="B776" s="8" t="s">
        <v>9237</v>
      </c>
      <c r="C776" s="8" t="s">
        <v>9238</v>
      </c>
      <c r="D776" s="8" t="s">
        <v>9239</v>
      </c>
      <c r="E776" s="8" t="s">
        <v>1189</v>
      </c>
      <c r="F776" s="8" t="s">
        <v>9240</v>
      </c>
    </row>
    <row r="777" customHeight="1" spans="1:6">
      <c r="A777" s="6">
        <v>776</v>
      </c>
      <c r="B777" s="8" t="s">
        <v>9237</v>
      </c>
      <c r="C777" s="8" t="s">
        <v>9238</v>
      </c>
      <c r="D777" s="8" t="s">
        <v>9239</v>
      </c>
      <c r="E777" s="8" t="s">
        <v>1189</v>
      </c>
      <c r="F777" s="8" t="s">
        <v>9240</v>
      </c>
    </row>
    <row r="778" customHeight="1" spans="1:6">
      <c r="A778" s="6">
        <v>777</v>
      </c>
      <c r="B778" s="8" t="s">
        <v>9241</v>
      </c>
      <c r="C778" s="8" t="s">
        <v>9242</v>
      </c>
      <c r="D778" s="8" t="s">
        <v>7684</v>
      </c>
      <c r="E778" s="8" t="s">
        <v>2566</v>
      </c>
      <c r="F778" s="8" t="s">
        <v>9243</v>
      </c>
    </row>
    <row r="779" customHeight="1" spans="1:6">
      <c r="A779" s="6">
        <v>778</v>
      </c>
      <c r="B779" s="8" t="s">
        <v>9241</v>
      </c>
      <c r="C779" s="8" t="s">
        <v>9242</v>
      </c>
      <c r="D779" s="8" t="s">
        <v>7684</v>
      </c>
      <c r="E779" s="8" t="s">
        <v>2566</v>
      </c>
      <c r="F779" s="8" t="s">
        <v>9243</v>
      </c>
    </row>
    <row r="780" customHeight="1" spans="1:6">
      <c r="A780" s="6">
        <v>779</v>
      </c>
      <c r="B780" s="8" t="s">
        <v>9244</v>
      </c>
      <c r="C780" s="8" t="s">
        <v>9245</v>
      </c>
      <c r="D780" s="8" t="s">
        <v>9246</v>
      </c>
      <c r="E780" s="8" t="s">
        <v>239</v>
      </c>
      <c r="F780" s="8" t="s">
        <v>9247</v>
      </c>
    </row>
    <row r="781" customHeight="1" spans="1:6">
      <c r="A781" s="6">
        <v>780</v>
      </c>
      <c r="B781" s="8" t="s">
        <v>9244</v>
      </c>
      <c r="C781" s="8" t="s">
        <v>9245</v>
      </c>
      <c r="D781" s="8" t="s">
        <v>9246</v>
      </c>
      <c r="E781" s="8" t="s">
        <v>239</v>
      </c>
      <c r="F781" s="8" t="s">
        <v>9247</v>
      </c>
    </row>
    <row r="782" customHeight="1" spans="1:6">
      <c r="A782" s="6">
        <v>781</v>
      </c>
      <c r="B782" s="8" t="s">
        <v>9248</v>
      </c>
      <c r="C782" s="8" t="s">
        <v>9249</v>
      </c>
      <c r="D782" s="8" t="s">
        <v>9250</v>
      </c>
      <c r="E782" s="8" t="s">
        <v>2267</v>
      </c>
      <c r="F782" s="8" t="s">
        <v>9251</v>
      </c>
    </row>
    <row r="783" customHeight="1" spans="1:6">
      <c r="A783" s="6">
        <v>782</v>
      </c>
      <c r="B783" s="8" t="s">
        <v>9248</v>
      </c>
      <c r="C783" s="8" t="s">
        <v>9249</v>
      </c>
      <c r="D783" s="8" t="s">
        <v>9250</v>
      </c>
      <c r="E783" s="8" t="s">
        <v>2267</v>
      </c>
      <c r="F783" s="8" t="s">
        <v>9251</v>
      </c>
    </row>
    <row r="784" customHeight="1" spans="1:6">
      <c r="A784" s="6">
        <v>783</v>
      </c>
      <c r="B784" s="8" t="s">
        <v>9248</v>
      </c>
      <c r="C784" s="8" t="s">
        <v>9249</v>
      </c>
      <c r="D784" s="8" t="s">
        <v>9250</v>
      </c>
      <c r="E784" s="8" t="s">
        <v>2267</v>
      </c>
      <c r="F784" s="8" t="s">
        <v>9251</v>
      </c>
    </row>
    <row r="785" customHeight="1" spans="1:6">
      <c r="A785" s="6">
        <v>784</v>
      </c>
      <c r="B785" s="8" t="s">
        <v>9252</v>
      </c>
      <c r="C785" s="8" t="s">
        <v>9253</v>
      </c>
      <c r="D785" s="8" t="s">
        <v>9254</v>
      </c>
      <c r="E785" s="8" t="s">
        <v>360</v>
      </c>
      <c r="F785" s="8" t="s">
        <v>9255</v>
      </c>
    </row>
    <row r="786" customHeight="1" spans="1:6">
      <c r="A786" s="6">
        <v>785</v>
      </c>
      <c r="B786" s="8" t="s">
        <v>9252</v>
      </c>
      <c r="C786" s="8" t="s">
        <v>9253</v>
      </c>
      <c r="D786" s="8" t="s">
        <v>9254</v>
      </c>
      <c r="E786" s="8" t="s">
        <v>360</v>
      </c>
      <c r="F786" s="8" t="s">
        <v>9255</v>
      </c>
    </row>
    <row r="787" customHeight="1" spans="1:6">
      <c r="A787" s="6">
        <v>786</v>
      </c>
      <c r="B787" s="8" t="s">
        <v>9252</v>
      </c>
      <c r="C787" s="8" t="s">
        <v>9253</v>
      </c>
      <c r="D787" s="8" t="s">
        <v>9254</v>
      </c>
      <c r="E787" s="8" t="s">
        <v>360</v>
      </c>
      <c r="F787" s="8" t="s">
        <v>9255</v>
      </c>
    </row>
    <row r="788" customHeight="1" spans="1:6">
      <c r="A788" s="6">
        <v>787</v>
      </c>
      <c r="B788" s="8" t="s">
        <v>9256</v>
      </c>
      <c r="C788" s="8" t="s">
        <v>9257</v>
      </c>
      <c r="D788" s="8" t="s">
        <v>9258</v>
      </c>
      <c r="E788" s="8" t="s">
        <v>239</v>
      </c>
      <c r="F788" s="8" t="s">
        <v>9259</v>
      </c>
    </row>
    <row r="789" customHeight="1" spans="1:6">
      <c r="A789" s="6">
        <v>788</v>
      </c>
      <c r="B789" s="8" t="s">
        <v>9256</v>
      </c>
      <c r="C789" s="8" t="s">
        <v>9257</v>
      </c>
      <c r="D789" s="8" t="s">
        <v>9258</v>
      </c>
      <c r="E789" s="8" t="s">
        <v>239</v>
      </c>
      <c r="F789" s="8" t="s">
        <v>9259</v>
      </c>
    </row>
    <row r="790" customHeight="1" spans="1:6">
      <c r="A790" s="6">
        <v>789</v>
      </c>
      <c r="B790" s="8" t="s">
        <v>9260</v>
      </c>
      <c r="C790" s="8" t="s">
        <v>9261</v>
      </c>
      <c r="D790" s="8" t="s">
        <v>9262</v>
      </c>
      <c r="E790" s="8" t="s">
        <v>1189</v>
      </c>
      <c r="F790" s="8" t="s">
        <v>9263</v>
      </c>
    </row>
    <row r="791" customHeight="1" spans="1:6">
      <c r="A791" s="6">
        <v>790</v>
      </c>
      <c r="B791" s="8" t="s">
        <v>9260</v>
      </c>
      <c r="C791" s="8" t="s">
        <v>9261</v>
      </c>
      <c r="D791" s="8" t="s">
        <v>9262</v>
      </c>
      <c r="E791" s="8" t="s">
        <v>1189</v>
      </c>
      <c r="F791" s="8" t="s">
        <v>9263</v>
      </c>
    </row>
    <row r="792" customHeight="1" spans="1:6">
      <c r="A792" s="6">
        <v>791</v>
      </c>
      <c r="B792" s="8" t="s">
        <v>9260</v>
      </c>
      <c r="C792" s="8" t="s">
        <v>9261</v>
      </c>
      <c r="D792" s="8" t="s">
        <v>9262</v>
      </c>
      <c r="E792" s="8" t="s">
        <v>1189</v>
      </c>
      <c r="F792" s="8" t="s">
        <v>9263</v>
      </c>
    </row>
    <row r="793" customHeight="1" spans="1:6">
      <c r="A793" s="6">
        <v>792</v>
      </c>
      <c r="B793" s="8" t="s">
        <v>9264</v>
      </c>
      <c r="C793" s="8" t="s">
        <v>9265</v>
      </c>
      <c r="D793" s="8" t="s">
        <v>9266</v>
      </c>
      <c r="E793" s="8" t="s">
        <v>899</v>
      </c>
      <c r="F793" s="8" t="s">
        <v>9267</v>
      </c>
    </row>
    <row r="794" customHeight="1" spans="1:6">
      <c r="A794" s="6">
        <v>793</v>
      </c>
      <c r="B794" s="8" t="s">
        <v>9264</v>
      </c>
      <c r="C794" s="8" t="s">
        <v>9265</v>
      </c>
      <c r="D794" s="8" t="s">
        <v>9266</v>
      </c>
      <c r="E794" s="8" t="s">
        <v>899</v>
      </c>
      <c r="F794" s="8" t="s">
        <v>9267</v>
      </c>
    </row>
    <row r="795" customHeight="1" spans="1:6">
      <c r="A795" s="6">
        <v>794</v>
      </c>
      <c r="B795" s="8" t="s">
        <v>9264</v>
      </c>
      <c r="C795" s="8" t="s">
        <v>9265</v>
      </c>
      <c r="D795" s="8" t="s">
        <v>9266</v>
      </c>
      <c r="E795" s="8" t="s">
        <v>899</v>
      </c>
      <c r="F795" s="8" t="s">
        <v>9267</v>
      </c>
    </row>
    <row r="796" customHeight="1" spans="1:6">
      <c r="A796" s="6">
        <v>795</v>
      </c>
      <c r="B796" s="8" t="s">
        <v>9268</v>
      </c>
      <c r="C796" s="8" t="s">
        <v>9269</v>
      </c>
      <c r="D796" s="8" t="s">
        <v>9270</v>
      </c>
      <c r="E796" s="8" t="s">
        <v>1189</v>
      </c>
      <c r="F796" s="8" t="s">
        <v>9271</v>
      </c>
    </row>
    <row r="797" customHeight="1" spans="1:6">
      <c r="A797" s="6">
        <v>796</v>
      </c>
      <c r="B797" s="8" t="s">
        <v>9268</v>
      </c>
      <c r="C797" s="8" t="s">
        <v>9269</v>
      </c>
      <c r="D797" s="8" t="s">
        <v>9270</v>
      </c>
      <c r="E797" s="8" t="s">
        <v>1189</v>
      </c>
      <c r="F797" s="8" t="s">
        <v>9271</v>
      </c>
    </row>
    <row r="798" customHeight="1" spans="1:6">
      <c r="A798" s="6">
        <v>797</v>
      </c>
      <c r="B798" s="8" t="s">
        <v>9268</v>
      </c>
      <c r="C798" s="8" t="s">
        <v>9269</v>
      </c>
      <c r="D798" s="8" t="s">
        <v>9270</v>
      </c>
      <c r="E798" s="8" t="s">
        <v>1189</v>
      </c>
      <c r="F798" s="8" t="s">
        <v>9271</v>
      </c>
    </row>
    <row r="799" customHeight="1" spans="1:6">
      <c r="A799" s="6">
        <v>798</v>
      </c>
      <c r="B799" s="8" t="s">
        <v>9272</v>
      </c>
      <c r="C799" s="8" t="s">
        <v>9273</v>
      </c>
      <c r="D799" s="8" t="s">
        <v>9274</v>
      </c>
      <c r="E799" s="8" t="s">
        <v>1189</v>
      </c>
      <c r="F799" s="8" t="s">
        <v>9275</v>
      </c>
    </row>
    <row r="800" customHeight="1" spans="1:6">
      <c r="A800" s="6">
        <v>799</v>
      </c>
      <c r="B800" s="8" t="s">
        <v>9272</v>
      </c>
      <c r="C800" s="8" t="s">
        <v>9273</v>
      </c>
      <c r="D800" s="8" t="s">
        <v>9274</v>
      </c>
      <c r="E800" s="8" t="s">
        <v>1189</v>
      </c>
      <c r="F800" s="8" t="s">
        <v>9275</v>
      </c>
    </row>
    <row r="801" customHeight="1" spans="1:6">
      <c r="A801" s="6">
        <v>800</v>
      </c>
      <c r="B801" s="8" t="s">
        <v>9272</v>
      </c>
      <c r="C801" s="8" t="s">
        <v>9273</v>
      </c>
      <c r="D801" s="8" t="s">
        <v>9274</v>
      </c>
      <c r="E801" s="8" t="s">
        <v>1189</v>
      </c>
      <c r="F801" s="8" t="s">
        <v>9275</v>
      </c>
    </row>
    <row r="802" customHeight="1" spans="1:6">
      <c r="A802" s="6">
        <v>801</v>
      </c>
      <c r="B802" s="8" t="s">
        <v>9276</v>
      </c>
      <c r="C802" s="8" t="s">
        <v>9277</v>
      </c>
      <c r="D802" s="8" t="s">
        <v>9278</v>
      </c>
      <c r="E802" s="8" t="s">
        <v>360</v>
      </c>
      <c r="F802" s="8" t="s">
        <v>9279</v>
      </c>
    </row>
    <row r="803" customHeight="1" spans="1:6">
      <c r="A803" s="6">
        <v>802</v>
      </c>
      <c r="B803" s="8" t="s">
        <v>9276</v>
      </c>
      <c r="C803" s="8" t="s">
        <v>9277</v>
      </c>
      <c r="D803" s="8" t="s">
        <v>9278</v>
      </c>
      <c r="E803" s="8" t="s">
        <v>360</v>
      </c>
      <c r="F803" s="8" t="s">
        <v>9279</v>
      </c>
    </row>
    <row r="804" customHeight="1" spans="1:6">
      <c r="A804" s="6">
        <v>803</v>
      </c>
      <c r="B804" s="8" t="s">
        <v>9280</v>
      </c>
      <c r="C804" s="8" t="s">
        <v>9281</v>
      </c>
      <c r="D804" s="8" t="s">
        <v>9282</v>
      </c>
      <c r="E804" s="8" t="s">
        <v>239</v>
      </c>
      <c r="F804" s="8" t="s">
        <v>9283</v>
      </c>
    </row>
    <row r="805" customHeight="1" spans="1:6">
      <c r="A805" s="6">
        <v>804</v>
      </c>
      <c r="B805" s="8" t="s">
        <v>9280</v>
      </c>
      <c r="C805" s="8" t="s">
        <v>9281</v>
      </c>
      <c r="D805" s="8" t="s">
        <v>9282</v>
      </c>
      <c r="E805" s="8" t="s">
        <v>239</v>
      </c>
      <c r="F805" s="8" t="s">
        <v>9283</v>
      </c>
    </row>
    <row r="806" customHeight="1" spans="1:6">
      <c r="A806" s="6">
        <v>805</v>
      </c>
      <c r="B806" s="8" t="s">
        <v>9284</v>
      </c>
      <c r="C806" s="8" t="s">
        <v>9285</v>
      </c>
      <c r="D806" s="8" t="s">
        <v>9286</v>
      </c>
      <c r="E806" s="8" t="s">
        <v>890</v>
      </c>
      <c r="F806" s="8" t="s">
        <v>9287</v>
      </c>
    </row>
    <row r="807" customHeight="1" spans="1:6">
      <c r="A807" s="6">
        <v>806</v>
      </c>
      <c r="B807" s="8" t="s">
        <v>9284</v>
      </c>
      <c r="C807" s="8" t="s">
        <v>9285</v>
      </c>
      <c r="D807" s="8" t="s">
        <v>9286</v>
      </c>
      <c r="E807" s="8" t="s">
        <v>890</v>
      </c>
      <c r="F807" s="8" t="s">
        <v>9287</v>
      </c>
    </row>
    <row r="808" customHeight="1" spans="1:6">
      <c r="A808" s="6">
        <v>807</v>
      </c>
      <c r="B808" s="8" t="s">
        <v>9284</v>
      </c>
      <c r="C808" s="8" t="s">
        <v>9285</v>
      </c>
      <c r="D808" s="8" t="s">
        <v>9286</v>
      </c>
      <c r="E808" s="8" t="s">
        <v>890</v>
      </c>
      <c r="F808" s="8" t="s">
        <v>9287</v>
      </c>
    </row>
    <row r="809" customHeight="1" spans="1:6">
      <c r="A809" s="6">
        <v>808</v>
      </c>
      <c r="B809" s="8" t="s">
        <v>9288</v>
      </c>
      <c r="C809" s="8" t="s">
        <v>9289</v>
      </c>
      <c r="D809" s="8" t="s">
        <v>9290</v>
      </c>
      <c r="E809" s="8" t="s">
        <v>2267</v>
      </c>
      <c r="F809" s="8" t="s">
        <v>9291</v>
      </c>
    </row>
    <row r="810" customHeight="1" spans="1:6">
      <c r="A810" s="6">
        <v>809</v>
      </c>
      <c r="B810" s="8" t="s">
        <v>9288</v>
      </c>
      <c r="C810" s="8" t="s">
        <v>9289</v>
      </c>
      <c r="D810" s="8" t="s">
        <v>9290</v>
      </c>
      <c r="E810" s="8" t="s">
        <v>2267</v>
      </c>
      <c r="F810" s="8" t="s">
        <v>9291</v>
      </c>
    </row>
    <row r="811" customHeight="1" spans="1:6">
      <c r="A811" s="6">
        <v>810</v>
      </c>
      <c r="B811" s="8" t="s">
        <v>9292</v>
      </c>
      <c r="C811" s="8" t="s">
        <v>9293</v>
      </c>
      <c r="D811" s="8" t="s">
        <v>9294</v>
      </c>
      <c r="E811" s="8" t="s">
        <v>415</v>
      </c>
      <c r="F811" s="8" t="s">
        <v>9295</v>
      </c>
    </row>
    <row r="812" customHeight="1" spans="1:6">
      <c r="A812" s="6">
        <v>811</v>
      </c>
      <c r="B812" s="8" t="s">
        <v>9292</v>
      </c>
      <c r="C812" s="8" t="s">
        <v>9293</v>
      </c>
      <c r="D812" s="8" t="s">
        <v>9294</v>
      </c>
      <c r="E812" s="8" t="s">
        <v>415</v>
      </c>
      <c r="F812" s="8" t="s">
        <v>9295</v>
      </c>
    </row>
    <row r="813" customHeight="1" spans="1:6">
      <c r="A813" s="6">
        <v>812</v>
      </c>
      <c r="B813" s="8" t="s">
        <v>9296</v>
      </c>
      <c r="C813" s="8" t="s">
        <v>9297</v>
      </c>
      <c r="D813" s="8" t="s">
        <v>9298</v>
      </c>
      <c r="E813" s="8" t="s">
        <v>415</v>
      </c>
      <c r="F813" s="8" t="s">
        <v>9299</v>
      </c>
    </row>
    <row r="814" customHeight="1" spans="1:6">
      <c r="A814" s="6">
        <v>813</v>
      </c>
      <c r="B814" s="8" t="s">
        <v>9296</v>
      </c>
      <c r="C814" s="8" t="s">
        <v>9297</v>
      </c>
      <c r="D814" s="8" t="s">
        <v>9298</v>
      </c>
      <c r="E814" s="8" t="s">
        <v>415</v>
      </c>
      <c r="F814" s="8" t="s">
        <v>9299</v>
      </c>
    </row>
    <row r="815" customHeight="1" spans="1:6">
      <c r="A815" s="6">
        <v>814</v>
      </c>
      <c r="B815" s="8" t="s">
        <v>9300</v>
      </c>
      <c r="C815" s="8" t="s">
        <v>9301</v>
      </c>
      <c r="D815" s="8" t="s">
        <v>9302</v>
      </c>
      <c r="E815" s="8" t="s">
        <v>415</v>
      </c>
      <c r="F815" s="8" t="s">
        <v>9303</v>
      </c>
    </row>
    <row r="816" customHeight="1" spans="1:6">
      <c r="A816" s="6">
        <v>815</v>
      </c>
      <c r="B816" s="8" t="s">
        <v>9300</v>
      </c>
      <c r="C816" s="8" t="s">
        <v>9301</v>
      </c>
      <c r="D816" s="8" t="s">
        <v>9302</v>
      </c>
      <c r="E816" s="8" t="s">
        <v>415</v>
      </c>
      <c r="F816" s="8" t="s">
        <v>9303</v>
      </c>
    </row>
    <row r="817" customHeight="1" spans="1:6">
      <c r="A817" s="6">
        <v>816</v>
      </c>
      <c r="B817" s="8" t="s">
        <v>9304</v>
      </c>
      <c r="C817" s="8" t="s">
        <v>9305</v>
      </c>
      <c r="D817" s="8" t="s">
        <v>9306</v>
      </c>
      <c r="E817" s="8" t="s">
        <v>1818</v>
      </c>
      <c r="F817" s="8" t="s">
        <v>9307</v>
      </c>
    </row>
    <row r="818" customHeight="1" spans="1:6">
      <c r="A818" s="6">
        <v>817</v>
      </c>
      <c r="B818" s="8" t="s">
        <v>9304</v>
      </c>
      <c r="C818" s="8" t="s">
        <v>9305</v>
      </c>
      <c r="D818" s="8" t="s">
        <v>9306</v>
      </c>
      <c r="E818" s="8" t="s">
        <v>1818</v>
      </c>
      <c r="F818" s="8" t="s">
        <v>9307</v>
      </c>
    </row>
    <row r="819" customHeight="1" spans="1:6">
      <c r="A819" s="6">
        <v>818</v>
      </c>
      <c r="B819" s="8" t="s">
        <v>9308</v>
      </c>
      <c r="C819" s="8" t="s">
        <v>9309</v>
      </c>
      <c r="D819" s="8" t="s">
        <v>9310</v>
      </c>
      <c r="E819" s="8" t="s">
        <v>1818</v>
      </c>
      <c r="F819" s="8" t="s">
        <v>9311</v>
      </c>
    </row>
    <row r="820" customHeight="1" spans="1:6">
      <c r="A820" s="6">
        <v>819</v>
      </c>
      <c r="B820" s="8" t="s">
        <v>9308</v>
      </c>
      <c r="C820" s="8" t="s">
        <v>9309</v>
      </c>
      <c r="D820" s="8" t="s">
        <v>9310</v>
      </c>
      <c r="E820" s="8" t="s">
        <v>1818</v>
      </c>
      <c r="F820" s="8" t="s">
        <v>9311</v>
      </c>
    </row>
    <row r="821" customHeight="1" spans="1:6">
      <c r="A821" s="6">
        <v>820</v>
      </c>
      <c r="B821" s="8" t="s">
        <v>9312</v>
      </c>
      <c r="C821" s="8" t="s">
        <v>9313</v>
      </c>
      <c r="D821" s="8" t="s">
        <v>9314</v>
      </c>
      <c r="E821" s="8" t="s">
        <v>239</v>
      </c>
      <c r="F821" s="8" t="s">
        <v>9315</v>
      </c>
    </row>
    <row r="822" customHeight="1" spans="1:6">
      <c r="A822" s="6">
        <v>821</v>
      </c>
      <c r="B822" s="8" t="s">
        <v>9312</v>
      </c>
      <c r="C822" s="8" t="s">
        <v>9313</v>
      </c>
      <c r="D822" s="8" t="s">
        <v>9314</v>
      </c>
      <c r="E822" s="8" t="s">
        <v>239</v>
      </c>
      <c r="F822" s="8" t="s">
        <v>9315</v>
      </c>
    </row>
    <row r="823" customHeight="1" spans="1:6">
      <c r="A823" s="6">
        <v>822</v>
      </c>
      <c r="B823" s="8" t="s">
        <v>9316</v>
      </c>
      <c r="C823" s="8" t="s">
        <v>9317</v>
      </c>
      <c r="D823" s="8" t="s">
        <v>9318</v>
      </c>
      <c r="E823" s="8" t="s">
        <v>2459</v>
      </c>
      <c r="F823" s="8" t="s">
        <v>9319</v>
      </c>
    </row>
    <row r="824" customHeight="1" spans="1:6">
      <c r="A824" s="6">
        <v>823</v>
      </c>
      <c r="B824" s="8" t="s">
        <v>9316</v>
      </c>
      <c r="C824" s="8" t="s">
        <v>9317</v>
      </c>
      <c r="D824" s="8" t="s">
        <v>9318</v>
      </c>
      <c r="E824" s="8" t="s">
        <v>2459</v>
      </c>
      <c r="F824" s="8" t="s">
        <v>9319</v>
      </c>
    </row>
    <row r="825" customHeight="1" spans="1:6">
      <c r="A825" s="6">
        <v>824</v>
      </c>
      <c r="B825" s="8" t="s">
        <v>9320</v>
      </c>
      <c r="C825" s="8" t="s">
        <v>9321</v>
      </c>
      <c r="D825" s="8" t="s">
        <v>9322</v>
      </c>
      <c r="E825" s="8" t="s">
        <v>2566</v>
      </c>
      <c r="F825" s="8" t="s">
        <v>9323</v>
      </c>
    </row>
    <row r="826" customHeight="1" spans="1:6">
      <c r="A826" s="6">
        <v>825</v>
      </c>
      <c r="B826" s="8" t="s">
        <v>9320</v>
      </c>
      <c r="C826" s="8" t="s">
        <v>9321</v>
      </c>
      <c r="D826" s="8" t="s">
        <v>9322</v>
      </c>
      <c r="E826" s="8" t="s">
        <v>2566</v>
      </c>
      <c r="F826" s="8" t="s">
        <v>9323</v>
      </c>
    </row>
    <row r="827" customHeight="1" spans="1:6">
      <c r="A827" s="6">
        <v>826</v>
      </c>
      <c r="B827" s="8" t="s">
        <v>9320</v>
      </c>
      <c r="C827" s="8" t="s">
        <v>9321</v>
      </c>
      <c r="D827" s="8" t="s">
        <v>9322</v>
      </c>
      <c r="E827" s="8" t="s">
        <v>2566</v>
      </c>
      <c r="F827" s="8" t="s">
        <v>9323</v>
      </c>
    </row>
    <row r="828" customHeight="1" spans="1:6">
      <c r="A828" s="6">
        <v>827</v>
      </c>
      <c r="B828" s="8" t="s">
        <v>9324</v>
      </c>
      <c r="C828" s="8" t="s">
        <v>9325</v>
      </c>
      <c r="D828" s="8" t="s">
        <v>9326</v>
      </c>
      <c r="E828" s="8" t="s">
        <v>1189</v>
      </c>
      <c r="F828" s="8" t="s">
        <v>9327</v>
      </c>
    </row>
    <row r="829" customHeight="1" spans="1:6">
      <c r="A829" s="6">
        <v>828</v>
      </c>
      <c r="B829" s="8" t="s">
        <v>9324</v>
      </c>
      <c r="C829" s="8" t="s">
        <v>9325</v>
      </c>
      <c r="D829" s="8" t="s">
        <v>9326</v>
      </c>
      <c r="E829" s="8" t="s">
        <v>1189</v>
      </c>
      <c r="F829" s="8" t="s">
        <v>9327</v>
      </c>
    </row>
    <row r="830" customHeight="1" spans="1:6">
      <c r="A830" s="6">
        <v>829</v>
      </c>
      <c r="B830" s="8" t="s">
        <v>9324</v>
      </c>
      <c r="C830" s="8" t="s">
        <v>9325</v>
      </c>
      <c r="D830" s="8" t="s">
        <v>9326</v>
      </c>
      <c r="E830" s="8" t="s">
        <v>1189</v>
      </c>
      <c r="F830" s="8" t="s">
        <v>9327</v>
      </c>
    </row>
    <row r="831" customHeight="1" spans="1:6">
      <c r="A831" s="6">
        <v>830</v>
      </c>
      <c r="B831" s="8" t="s">
        <v>9328</v>
      </c>
      <c r="C831" s="8" t="s">
        <v>9329</v>
      </c>
      <c r="D831" s="8" t="s">
        <v>9330</v>
      </c>
      <c r="E831" s="8" t="s">
        <v>239</v>
      </c>
      <c r="F831" s="8" t="s">
        <v>9331</v>
      </c>
    </row>
    <row r="832" customHeight="1" spans="1:6">
      <c r="A832" s="6">
        <v>831</v>
      </c>
      <c r="B832" s="8" t="s">
        <v>9328</v>
      </c>
      <c r="C832" s="8" t="s">
        <v>9329</v>
      </c>
      <c r="D832" s="8" t="s">
        <v>9330</v>
      </c>
      <c r="E832" s="8" t="s">
        <v>239</v>
      </c>
      <c r="F832" s="8" t="s">
        <v>9331</v>
      </c>
    </row>
    <row r="833" customHeight="1" spans="1:6">
      <c r="A833" s="6">
        <v>832</v>
      </c>
      <c r="B833" s="8" t="s">
        <v>9332</v>
      </c>
      <c r="C833" s="8" t="s">
        <v>9333</v>
      </c>
      <c r="D833" s="8" t="s">
        <v>9334</v>
      </c>
      <c r="E833" s="8" t="s">
        <v>665</v>
      </c>
      <c r="F833" s="8" t="s">
        <v>9335</v>
      </c>
    </row>
    <row r="834" customHeight="1" spans="1:6">
      <c r="A834" s="6">
        <v>833</v>
      </c>
      <c r="B834" s="8" t="s">
        <v>9332</v>
      </c>
      <c r="C834" s="8" t="s">
        <v>9333</v>
      </c>
      <c r="D834" s="8" t="s">
        <v>9334</v>
      </c>
      <c r="E834" s="8" t="s">
        <v>665</v>
      </c>
      <c r="F834" s="8" t="s">
        <v>9335</v>
      </c>
    </row>
    <row r="835" customHeight="1" spans="1:6">
      <c r="A835" s="6">
        <v>834</v>
      </c>
      <c r="B835" s="8" t="s">
        <v>9332</v>
      </c>
      <c r="C835" s="8" t="s">
        <v>9333</v>
      </c>
      <c r="D835" s="8" t="s">
        <v>9334</v>
      </c>
      <c r="E835" s="8" t="s">
        <v>665</v>
      </c>
      <c r="F835" s="8" t="s">
        <v>9335</v>
      </c>
    </row>
    <row r="836" customHeight="1" spans="1:6">
      <c r="A836" s="6">
        <v>835</v>
      </c>
      <c r="B836" s="8" t="s">
        <v>9336</v>
      </c>
      <c r="C836" s="8" t="s">
        <v>9337</v>
      </c>
      <c r="D836" s="8" t="s">
        <v>9338</v>
      </c>
      <c r="E836" s="8" t="s">
        <v>239</v>
      </c>
      <c r="F836" s="8" t="s">
        <v>9339</v>
      </c>
    </row>
    <row r="837" customHeight="1" spans="1:6">
      <c r="A837" s="6">
        <v>836</v>
      </c>
      <c r="B837" s="8" t="s">
        <v>9336</v>
      </c>
      <c r="C837" s="8" t="s">
        <v>9337</v>
      </c>
      <c r="D837" s="8" t="s">
        <v>9338</v>
      </c>
      <c r="E837" s="8" t="s">
        <v>239</v>
      </c>
      <c r="F837" s="8" t="s">
        <v>9339</v>
      </c>
    </row>
    <row r="838" customHeight="1" spans="1:6">
      <c r="A838" s="6">
        <v>837</v>
      </c>
      <c r="B838" s="8" t="s">
        <v>9336</v>
      </c>
      <c r="C838" s="8" t="s">
        <v>9337</v>
      </c>
      <c r="D838" s="8" t="s">
        <v>9338</v>
      </c>
      <c r="E838" s="8" t="s">
        <v>239</v>
      </c>
      <c r="F838" s="8" t="s">
        <v>9339</v>
      </c>
    </row>
    <row r="839" customHeight="1" spans="1:6">
      <c r="A839" s="6">
        <v>838</v>
      </c>
      <c r="B839" s="8" t="s">
        <v>9340</v>
      </c>
      <c r="C839" s="8" t="s">
        <v>9341</v>
      </c>
      <c r="D839" s="8" t="s">
        <v>9342</v>
      </c>
      <c r="E839" s="8" t="s">
        <v>1818</v>
      </c>
      <c r="F839" s="8" t="s">
        <v>9343</v>
      </c>
    </row>
    <row r="840" customHeight="1" spans="1:6">
      <c r="A840" s="6">
        <v>839</v>
      </c>
      <c r="B840" s="8" t="s">
        <v>9340</v>
      </c>
      <c r="C840" s="8" t="s">
        <v>9341</v>
      </c>
      <c r="D840" s="8" t="s">
        <v>9342</v>
      </c>
      <c r="E840" s="8" t="s">
        <v>1818</v>
      </c>
      <c r="F840" s="8" t="s">
        <v>9343</v>
      </c>
    </row>
    <row r="841" customHeight="1" spans="1:6">
      <c r="A841" s="6">
        <v>840</v>
      </c>
      <c r="B841" s="8" t="s">
        <v>9344</v>
      </c>
      <c r="C841" s="8" t="s">
        <v>9345</v>
      </c>
      <c r="D841" s="8" t="s">
        <v>9346</v>
      </c>
      <c r="E841" s="8" t="s">
        <v>1818</v>
      </c>
      <c r="F841" s="8" t="s">
        <v>9347</v>
      </c>
    </row>
    <row r="842" customHeight="1" spans="1:6">
      <c r="A842" s="6">
        <v>841</v>
      </c>
      <c r="B842" s="8" t="s">
        <v>9344</v>
      </c>
      <c r="C842" s="8" t="s">
        <v>9345</v>
      </c>
      <c r="D842" s="8" t="s">
        <v>9346</v>
      </c>
      <c r="E842" s="8" t="s">
        <v>1818</v>
      </c>
      <c r="F842" s="8" t="s">
        <v>9347</v>
      </c>
    </row>
    <row r="843" customHeight="1" spans="1:6">
      <c r="A843" s="6">
        <v>842</v>
      </c>
      <c r="B843" s="8" t="s">
        <v>9348</v>
      </c>
      <c r="C843" s="8" t="s">
        <v>9349</v>
      </c>
      <c r="D843" s="8" t="s">
        <v>9350</v>
      </c>
      <c r="E843" s="8" t="s">
        <v>571</v>
      </c>
      <c r="F843" s="8" t="s">
        <v>9351</v>
      </c>
    </row>
    <row r="844" customHeight="1" spans="1:6">
      <c r="A844" s="6">
        <v>843</v>
      </c>
      <c r="B844" s="8" t="s">
        <v>9348</v>
      </c>
      <c r="C844" s="8" t="s">
        <v>9349</v>
      </c>
      <c r="D844" s="8" t="s">
        <v>9350</v>
      </c>
      <c r="E844" s="8" t="s">
        <v>571</v>
      </c>
      <c r="F844" s="8" t="s">
        <v>9351</v>
      </c>
    </row>
    <row r="845" customHeight="1" spans="1:6">
      <c r="A845" s="6">
        <v>844</v>
      </c>
      <c r="B845" s="8" t="s">
        <v>9348</v>
      </c>
      <c r="C845" s="8" t="s">
        <v>9349</v>
      </c>
      <c r="D845" s="8" t="s">
        <v>9350</v>
      </c>
      <c r="E845" s="8" t="s">
        <v>571</v>
      </c>
      <c r="F845" s="8" t="s">
        <v>9351</v>
      </c>
    </row>
    <row r="846" customHeight="1" spans="1:6">
      <c r="A846" s="6">
        <v>845</v>
      </c>
      <c r="B846" s="8" t="s">
        <v>9352</v>
      </c>
      <c r="C846" s="8" t="s">
        <v>9353</v>
      </c>
      <c r="D846" s="8" t="s">
        <v>9354</v>
      </c>
      <c r="E846" s="8" t="s">
        <v>2267</v>
      </c>
      <c r="F846" s="8" t="s">
        <v>9355</v>
      </c>
    </row>
    <row r="847" customHeight="1" spans="1:6">
      <c r="A847" s="6">
        <v>846</v>
      </c>
      <c r="B847" s="8" t="s">
        <v>9352</v>
      </c>
      <c r="C847" s="8" t="s">
        <v>9353</v>
      </c>
      <c r="D847" s="8" t="s">
        <v>9354</v>
      </c>
      <c r="E847" s="8" t="s">
        <v>2267</v>
      </c>
      <c r="F847" s="8" t="s">
        <v>9355</v>
      </c>
    </row>
    <row r="848" customHeight="1" spans="1:6">
      <c r="A848" s="6">
        <v>847</v>
      </c>
      <c r="B848" s="8" t="s">
        <v>9352</v>
      </c>
      <c r="C848" s="8" t="s">
        <v>9353</v>
      </c>
      <c r="D848" s="8" t="s">
        <v>9354</v>
      </c>
      <c r="E848" s="8" t="s">
        <v>2267</v>
      </c>
      <c r="F848" s="8" t="s">
        <v>9355</v>
      </c>
    </row>
    <row r="849" customHeight="1" spans="1:6">
      <c r="A849" s="6">
        <v>848</v>
      </c>
      <c r="B849" s="8" t="s">
        <v>9356</v>
      </c>
      <c r="C849" s="8" t="s">
        <v>9357</v>
      </c>
      <c r="D849" s="8" t="s">
        <v>9358</v>
      </c>
      <c r="E849" s="8" t="s">
        <v>1189</v>
      </c>
      <c r="F849" s="8" t="s">
        <v>9359</v>
      </c>
    </row>
    <row r="850" customHeight="1" spans="1:6">
      <c r="A850" s="6">
        <v>849</v>
      </c>
      <c r="B850" s="8" t="s">
        <v>9356</v>
      </c>
      <c r="C850" s="8" t="s">
        <v>9357</v>
      </c>
      <c r="D850" s="8" t="s">
        <v>9358</v>
      </c>
      <c r="E850" s="8" t="s">
        <v>1189</v>
      </c>
      <c r="F850" s="8" t="s">
        <v>9359</v>
      </c>
    </row>
    <row r="851" customHeight="1" spans="1:6">
      <c r="A851" s="6">
        <v>850</v>
      </c>
      <c r="B851" s="8" t="s">
        <v>9356</v>
      </c>
      <c r="C851" s="8" t="s">
        <v>9357</v>
      </c>
      <c r="D851" s="8" t="s">
        <v>9358</v>
      </c>
      <c r="E851" s="8" t="s">
        <v>1189</v>
      </c>
      <c r="F851" s="8" t="s">
        <v>9359</v>
      </c>
    </row>
    <row r="852" customHeight="1" spans="1:6">
      <c r="A852" s="6">
        <v>851</v>
      </c>
      <c r="B852" s="8" t="s">
        <v>9360</v>
      </c>
      <c r="C852" s="8" t="s">
        <v>9361</v>
      </c>
      <c r="D852" s="8" t="s">
        <v>9362</v>
      </c>
      <c r="E852" s="8" t="s">
        <v>665</v>
      </c>
      <c r="F852" s="8" t="s">
        <v>9363</v>
      </c>
    </row>
    <row r="853" customHeight="1" spans="1:6">
      <c r="A853" s="6">
        <v>852</v>
      </c>
      <c r="B853" s="8" t="s">
        <v>9360</v>
      </c>
      <c r="C853" s="8" t="s">
        <v>9361</v>
      </c>
      <c r="D853" s="8" t="s">
        <v>9362</v>
      </c>
      <c r="E853" s="8" t="s">
        <v>665</v>
      </c>
      <c r="F853" s="8" t="s">
        <v>9363</v>
      </c>
    </row>
    <row r="854" customHeight="1" spans="1:6">
      <c r="A854" s="6">
        <v>853</v>
      </c>
      <c r="B854" s="8" t="s">
        <v>9360</v>
      </c>
      <c r="C854" s="8" t="s">
        <v>9361</v>
      </c>
      <c r="D854" s="8" t="s">
        <v>9362</v>
      </c>
      <c r="E854" s="8" t="s">
        <v>665</v>
      </c>
      <c r="F854" s="8" t="s">
        <v>9363</v>
      </c>
    </row>
    <row r="855" customHeight="1" spans="1:6">
      <c r="A855" s="6">
        <v>854</v>
      </c>
      <c r="B855" s="8" t="s">
        <v>9364</v>
      </c>
      <c r="C855" s="8" t="s">
        <v>9365</v>
      </c>
      <c r="D855" s="8" t="s">
        <v>9366</v>
      </c>
      <c r="E855" s="8" t="s">
        <v>4125</v>
      </c>
      <c r="F855" s="8" t="s">
        <v>9367</v>
      </c>
    </row>
    <row r="856" customHeight="1" spans="1:6">
      <c r="A856" s="6">
        <v>855</v>
      </c>
      <c r="B856" s="8" t="s">
        <v>9364</v>
      </c>
      <c r="C856" s="8" t="s">
        <v>9365</v>
      </c>
      <c r="D856" s="8" t="s">
        <v>9366</v>
      </c>
      <c r="E856" s="8" t="s">
        <v>4125</v>
      </c>
      <c r="F856" s="8" t="s">
        <v>9367</v>
      </c>
    </row>
    <row r="857" customHeight="1" spans="1:6">
      <c r="A857" s="6">
        <v>856</v>
      </c>
      <c r="B857" s="8" t="s">
        <v>9368</v>
      </c>
      <c r="C857" s="8" t="s">
        <v>9369</v>
      </c>
      <c r="D857" s="8" t="s">
        <v>9370</v>
      </c>
      <c r="E857" s="8" t="s">
        <v>2267</v>
      </c>
      <c r="F857" s="8" t="s">
        <v>9371</v>
      </c>
    </row>
    <row r="858" customHeight="1" spans="1:6">
      <c r="A858" s="6">
        <v>857</v>
      </c>
      <c r="B858" s="8" t="s">
        <v>9368</v>
      </c>
      <c r="C858" s="8" t="s">
        <v>9369</v>
      </c>
      <c r="D858" s="8" t="s">
        <v>9370</v>
      </c>
      <c r="E858" s="8" t="s">
        <v>2267</v>
      </c>
      <c r="F858" s="8" t="s">
        <v>9371</v>
      </c>
    </row>
    <row r="859" customHeight="1" spans="1:6">
      <c r="A859" s="6">
        <v>858</v>
      </c>
      <c r="B859" s="8" t="s">
        <v>9368</v>
      </c>
      <c r="C859" s="8" t="s">
        <v>9369</v>
      </c>
      <c r="D859" s="8" t="s">
        <v>9370</v>
      </c>
      <c r="E859" s="8" t="s">
        <v>2267</v>
      </c>
      <c r="F859" s="8" t="s">
        <v>9371</v>
      </c>
    </row>
    <row r="860" customHeight="1" spans="1:6">
      <c r="A860" s="6">
        <v>859</v>
      </c>
      <c r="B860" s="8" t="s">
        <v>9372</v>
      </c>
      <c r="C860" s="8" t="s">
        <v>9373</v>
      </c>
      <c r="D860" s="8" t="s">
        <v>9374</v>
      </c>
      <c r="E860" s="8" t="s">
        <v>239</v>
      </c>
      <c r="F860" s="8" t="s">
        <v>9375</v>
      </c>
    </row>
    <row r="861" customHeight="1" spans="1:6">
      <c r="A861" s="6">
        <v>860</v>
      </c>
      <c r="B861" s="8" t="s">
        <v>9372</v>
      </c>
      <c r="C861" s="8" t="s">
        <v>9373</v>
      </c>
      <c r="D861" s="8" t="s">
        <v>9374</v>
      </c>
      <c r="E861" s="8" t="s">
        <v>239</v>
      </c>
      <c r="F861" s="8" t="s">
        <v>9375</v>
      </c>
    </row>
    <row r="862" customHeight="1" spans="1:6">
      <c r="A862" s="6">
        <v>861</v>
      </c>
      <c r="B862" s="8" t="s">
        <v>9376</v>
      </c>
      <c r="C862" s="8" t="s">
        <v>9377</v>
      </c>
      <c r="D862" s="8" t="s">
        <v>9378</v>
      </c>
      <c r="E862" s="8" t="s">
        <v>239</v>
      </c>
      <c r="F862" s="8" t="s">
        <v>9379</v>
      </c>
    </row>
    <row r="863" customHeight="1" spans="1:6">
      <c r="A863" s="6">
        <v>862</v>
      </c>
      <c r="B863" s="8" t="s">
        <v>9376</v>
      </c>
      <c r="C863" s="8" t="s">
        <v>9377</v>
      </c>
      <c r="D863" s="8" t="s">
        <v>9378</v>
      </c>
      <c r="E863" s="8" t="s">
        <v>239</v>
      </c>
      <c r="F863" s="8" t="s">
        <v>9379</v>
      </c>
    </row>
    <row r="864" customHeight="1" spans="1:6">
      <c r="A864" s="6">
        <v>863</v>
      </c>
      <c r="B864" s="8" t="s">
        <v>9380</v>
      </c>
      <c r="C864" s="8" t="s">
        <v>9381</v>
      </c>
      <c r="D864" s="8" t="s">
        <v>9382</v>
      </c>
      <c r="E864" s="8" t="s">
        <v>1189</v>
      </c>
      <c r="F864" s="8" t="s">
        <v>9383</v>
      </c>
    </row>
    <row r="865" customHeight="1" spans="1:6">
      <c r="A865" s="6">
        <v>864</v>
      </c>
      <c r="B865" s="8" t="s">
        <v>9380</v>
      </c>
      <c r="C865" s="8" t="s">
        <v>9381</v>
      </c>
      <c r="D865" s="8" t="s">
        <v>9382</v>
      </c>
      <c r="E865" s="8" t="s">
        <v>1189</v>
      </c>
      <c r="F865" s="8" t="s">
        <v>9383</v>
      </c>
    </row>
    <row r="866" customHeight="1" spans="1:6">
      <c r="A866" s="6">
        <v>865</v>
      </c>
      <c r="B866" s="8" t="s">
        <v>9380</v>
      </c>
      <c r="C866" s="8" t="s">
        <v>9381</v>
      </c>
      <c r="D866" s="8" t="s">
        <v>9382</v>
      </c>
      <c r="E866" s="8" t="s">
        <v>1189</v>
      </c>
      <c r="F866" s="8" t="s">
        <v>9383</v>
      </c>
    </row>
    <row r="867" customHeight="1" spans="1:6">
      <c r="A867" s="6">
        <v>866</v>
      </c>
      <c r="B867" s="8" t="s">
        <v>9384</v>
      </c>
      <c r="C867" s="8" t="s">
        <v>9385</v>
      </c>
      <c r="D867" s="8" t="s">
        <v>9386</v>
      </c>
      <c r="E867" s="8" t="s">
        <v>1189</v>
      </c>
      <c r="F867" s="8" t="s">
        <v>9387</v>
      </c>
    </row>
    <row r="868" customHeight="1" spans="1:6">
      <c r="A868" s="6">
        <v>867</v>
      </c>
      <c r="B868" s="8" t="s">
        <v>9384</v>
      </c>
      <c r="C868" s="8" t="s">
        <v>9385</v>
      </c>
      <c r="D868" s="8" t="s">
        <v>9386</v>
      </c>
      <c r="E868" s="8" t="s">
        <v>1189</v>
      </c>
      <c r="F868" s="8" t="s">
        <v>9387</v>
      </c>
    </row>
    <row r="869" customHeight="1" spans="1:6">
      <c r="A869" s="6">
        <v>868</v>
      </c>
      <c r="B869" s="8" t="s">
        <v>9384</v>
      </c>
      <c r="C869" s="8" t="s">
        <v>9385</v>
      </c>
      <c r="D869" s="8" t="s">
        <v>9386</v>
      </c>
      <c r="E869" s="8" t="s">
        <v>1189</v>
      </c>
      <c r="F869" s="8" t="s">
        <v>9387</v>
      </c>
    </row>
    <row r="870" customHeight="1" spans="1:6">
      <c r="A870" s="6">
        <v>869</v>
      </c>
      <c r="B870" s="8" t="s">
        <v>9388</v>
      </c>
      <c r="C870" s="8" t="s">
        <v>9389</v>
      </c>
      <c r="D870" s="8" t="s">
        <v>9390</v>
      </c>
      <c r="E870" s="8" t="s">
        <v>261</v>
      </c>
      <c r="F870" s="8" t="s">
        <v>9391</v>
      </c>
    </row>
    <row r="871" customHeight="1" spans="1:6">
      <c r="A871" s="6">
        <v>870</v>
      </c>
      <c r="B871" s="8" t="s">
        <v>9388</v>
      </c>
      <c r="C871" s="8" t="s">
        <v>9389</v>
      </c>
      <c r="D871" s="8" t="s">
        <v>9390</v>
      </c>
      <c r="E871" s="8" t="s">
        <v>261</v>
      </c>
      <c r="F871" s="8" t="s">
        <v>9391</v>
      </c>
    </row>
    <row r="872" customHeight="1" spans="1:6">
      <c r="A872" s="6">
        <v>871</v>
      </c>
      <c r="B872" s="8" t="s">
        <v>9388</v>
      </c>
      <c r="C872" s="8" t="s">
        <v>9389</v>
      </c>
      <c r="D872" s="8" t="s">
        <v>9390</v>
      </c>
      <c r="E872" s="8" t="s">
        <v>261</v>
      </c>
      <c r="F872" s="8" t="s">
        <v>9391</v>
      </c>
    </row>
    <row r="873" customHeight="1" spans="1:6">
      <c r="A873" s="6">
        <v>872</v>
      </c>
      <c r="B873" s="8" t="s">
        <v>9392</v>
      </c>
      <c r="C873" s="8" t="s">
        <v>9393</v>
      </c>
      <c r="D873" s="8" t="s">
        <v>9394</v>
      </c>
      <c r="E873" s="8" t="s">
        <v>899</v>
      </c>
      <c r="F873" s="8" t="s">
        <v>9395</v>
      </c>
    </row>
    <row r="874" customHeight="1" spans="1:6">
      <c r="A874" s="6">
        <v>873</v>
      </c>
      <c r="B874" s="8" t="s">
        <v>9392</v>
      </c>
      <c r="C874" s="8" t="s">
        <v>9393</v>
      </c>
      <c r="D874" s="8" t="s">
        <v>9394</v>
      </c>
      <c r="E874" s="8" t="s">
        <v>899</v>
      </c>
      <c r="F874" s="8" t="s">
        <v>9395</v>
      </c>
    </row>
    <row r="875" customHeight="1" spans="1:6">
      <c r="A875" s="6">
        <v>874</v>
      </c>
      <c r="B875" s="8" t="s">
        <v>9392</v>
      </c>
      <c r="C875" s="8" t="s">
        <v>9393</v>
      </c>
      <c r="D875" s="8" t="s">
        <v>9394</v>
      </c>
      <c r="E875" s="8" t="s">
        <v>899</v>
      </c>
      <c r="F875" s="8" t="s">
        <v>9395</v>
      </c>
    </row>
    <row r="876" customHeight="1" spans="1:6">
      <c r="A876" s="6">
        <v>875</v>
      </c>
      <c r="B876" s="8" t="s">
        <v>9396</v>
      </c>
      <c r="C876" s="8" t="s">
        <v>9397</v>
      </c>
      <c r="D876" s="8" t="s">
        <v>9398</v>
      </c>
      <c r="E876" s="8" t="s">
        <v>2267</v>
      </c>
      <c r="F876" s="8" t="s">
        <v>9399</v>
      </c>
    </row>
    <row r="877" customHeight="1" spans="1:6">
      <c r="A877" s="6">
        <v>876</v>
      </c>
      <c r="B877" s="8" t="s">
        <v>9396</v>
      </c>
      <c r="C877" s="8" t="s">
        <v>9397</v>
      </c>
      <c r="D877" s="8" t="s">
        <v>9398</v>
      </c>
      <c r="E877" s="8" t="s">
        <v>2267</v>
      </c>
      <c r="F877" s="8" t="s">
        <v>9399</v>
      </c>
    </row>
    <row r="878" customHeight="1" spans="1:6">
      <c r="A878" s="6">
        <v>877</v>
      </c>
      <c r="B878" s="8" t="s">
        <v>9396</v>
      </c>
      <c r="C878" s="8" t="s">
        <v>9397</v>
      </c>
      <c r="D878" s="8" t="s">
        <v>9398</v>
      </c>
      <c r="E878" s="8" t="s">
        <v>2267</v>
      </c>
      <c r="F878" s="8" t="s">
        <v>9399</v>
      </c>
    </row>
    <row r="879" customHeight="1" spans="1:6">
      <c r="A879" s="6">
        <v>878</v>
      </c>
      <c r="B879" s="8" t="s">
        <v>9400</v>
      </c>
      <c r="C879" s="8" t="s">
        <v>9401</v>
      </c>
      <c r="D879" s="8" t="s">
        <v>9402</v>
      </c>
      <c r="E879" s="8" t="s">
        <v>1818</v>
      </c>
      <c r="F879" s="8" t="s">
        <v>9403</v>
      </c>
    </row>
    <row r="880" customHeight="1" spans="1:6">
      <c r="A880" s="6">
        <v>879</v>
      </c>
      <c r="B880" s="8" t="s">
        <v>9400</v>
      </c>
      <c r="C880" s="8" t="s">
        <v>9401</v>
      </c>
      <c r="D880" s="8" t="s">
        <v>9402</v>
      </c>
      <c r="E880" s="8" t="s">
        <v>1818</v>
      </c>
      <c r="F880" s="8" t="s">
        <v>9403</v>
      </c>
    </row>
    <row r="881" customHeight="1" spans="1:6">
      <c r="A881" s="6">
        <v>880</v>
      </c>
      <c r="B881" s="8" t="s">
        <v>9404</v>
      </c>
      <c r="C881" s="8" t="s">
        <v>9405</v>
      </c>
      <c r="D881" s="8" t="s">
        <v>9406</v>
      </c>
      <c r="E881" s="8" t="s">
        <v>1818</v>
      </c>
      <c r="F881" s="8" t="s">
        <v>9407</v>
      </c>
    </row>
    <row r="882" customHeight="1" spans="1:6">
      <c r="A882" s="6">
        <v>881</v>
      </c>
      <c r="B882" s="8" t="s">
        <v>9404</v>
      </c>
      <c r="C882" s="8" t="s">
        <v>9405</v>
      </c>
      <c r="D882" s="8" t="s">
        <v>9406</v>
      </c>
      <c r="E882" s="8" t="s">
        <v>1818</v>
      </c>
      <c r="F882" s="8" t="s">
        <v>9407</v>
      </c>
    </row>
    <row r="883" customHeight="1" spans="1:6">
      <c r="A883" s="6">
        <v>882</v>
      </c>
      <c r="B883" s="8" t="s">
        <v>9408</v>
      </c>
      <c r="C883" s="8" t="s">
        <v>9409</v>
      </c>
      <c r="D883" s="8" t="s">
        <v>9410</v>
      </c>
      <c r="E883" s="8" t="s">
        <v>1818</v>
      </c>
      <c r="F883" s="8" t="s">
        <v>9411</v>
      </c>
    </row>
    <row r="884" customHeight="1" spans="1:6">
      <c r="A884" s="6">
        <v>883</v>
      </c>
      <c r="B884" s="8" t="s">
        <v>9408</v>
      </c>
      <c r="C884" s="8" t="s">
        <v>9409</v>
      </c>
      <c r="D884" s="8" t="s">
        <v>9410</v>
      </c>
      <c r="E884" s="8" t="s">
        <v>1818</v>
      </c>
      <c r="F884" s="8" t="s">
        <v>9411</v>
      </c>
    </row>
    <row r="885" customHeight="1" spans="1:6">
      <c r="A885" s="6">
        <v>884</v>
      </c>
      <c r="B885" s="8" t="s">
        <v>9412</v>
      </c>
      <c r="C885" s="8" t="s">
        <v>9413</v>
      </c>
      <c r="D885" s="8" t="s">
        <v>9414</v>
      </c>
      <c r="E885" s="8" t="s">
        <v>9114</v>
      </c>
      <c r="F885" s="8" t="s">
        <v>9415</v>
      </c>
    </row>
    <row r="886" customHeight="1" spans="1:6">
      <c r="A886" s="6">
        <v>885</v>
      </c>
      <c r="B886" s="8" t="s">
        <v>9412</v>
      </c>
      <c r="C886" s="8" t="s">
        <v>9413</v>
      </c>
      <c r="D886" s="8" t="s">
        <v>9414</v>
      </c>
      <c r="E886" s="8" t="s">
        <v>9114</v>
      </c>
      <c r="F886" s="8" t="s">
        <v>9415</v>
      </c>
    </row>
    <row r="887" customHeight="1" spans="1:6">
      <c r="A887" s="6">
        <v>886</v>
      </c>
      <c r="B887" s="8" t="s">
        <v>9416</v>
      </c>
      <c r="C887" s="8" t="s">
        <v>9417</v>
      </c>
      <c r="D887" s="8" t="s">
        <v>9418</v>
      </c>
      <c r="E887" s="8" t="s">
        <v>425</v>
      </c>
      <c r="F887" s="8" t="s">
        <v>9419</v>
      </c>
    </row>
    <row r="888" customHeight="1" spans="1:6">
      <c r="A888" s="6">
        <v>887</v>
      </c>
      <c r="B888" s="8" t="s">
        <v>9416</v>
      </c>
      <c r="C888" s="8" t="s">
        <v>9417</v>
      </c>
      <c r="D888" s="8" t="s">
        <v>9418</v>
      </c>
      <c r="E888" s="8" t="s">
        <v>425</v>
      </c>
      <c r="F888" s="8" t="s">
        <v>9419</v>
      </c>
    </row>
    <row r="889" customHeight="1" spans="1:6">
      <c r="A889" s="6">
        <v>888</v>
      </c>
      <c r="B889" s="8" t="s">
        <v>9416</v>
      </c>
      <c r="C889" s="8" t="s">
        <v>9417</v>
      </c>
      <c r="D889" s="8" t="s">
        <v>9418</v>
      </c>
      <c r="E889" s="8" t="s">
        <v>425</v>
      </c>
      <c r="F889" s="8" t="s">
        <v>9419</v>
      </c>
    </row>
    <row r="890" customHeight="1" spans="1:6">
      <c r="A890" s="6">
        <v>889</v>
      </c>
      <c r="B890" s="8" t="s">
        <v>9420</v>
      </c>
      <c r="C890" s="8" t="s">
        <v>9421</v>
      </c>
      <c r="D890" s="8" t="s">
        <v>9422</v>
      </c>
      <c r="E890" s="8" t="s">
        <v>485</v>
      </c>
      <c r="F890" s="8" t="s">
        <v>9423</v>
      </c>
    </row>
    <row r="891" customHeight="1" spans="1:6">
      <c r="A891" s="6">
        <v>890</v>
      </c>
      <c r="B891" s="8" t="s">
        <v>9420</v>
      </c>
      <c r="C891" s="8" t="s">
        <v>9421</v>
      </c>
      <c r="D891" s="8" t="s">
        <v>9422</v>
      </c>
      <c r="E891" s="8" t="s">
        <v>485</v>
      </c>
      <c r="F891" s="8" t="s">
        <v>9423</v>
      </c>
    </row>
    <row r="892" customHeight="1" spans="1:6">
      <c r="A892" s="6">
        <v>891</v>
      </c>
      <c r="B892" s="7" t="str">
        <f>"978-7-5685-2907-5"</f>
        <v>978-7-5685-2907-5</v>
      </c>
      <c r="C892" s="7" t="str">
        <f>"英语专业8级写作：写作高分攻略 80篇优质范文"</f>
        <v>英语专业8级写作：写作高分攻略 80篇优质范文</v>
      </c>
      <c r="D892" s="7" t="str">
        <f>"主编尚智慧"</f>
        <v>主编尚智慧</v>
      </c>
      <c r="E892" s="7" t="str">
        <f>"大连理工大学出版社"</f>
        <v>大连理工大学出版社</v>
      </c>
      <c r="F892" s="7" t="str">
        <f>"H319.36/80"</f>
        <v>H319.36/80</v>
      </c>
    </row>
    <row r="893" customHeight="1" spans="1:6">
      <c r="A893" s="6">
        <v>892</v>
      </c>
      <c r="B893" s="7" t="str">
        <f>"978-7-5685-2907-5"</f>
        <v>978-7-5685-2907-5</v>
      </c>
      <c r="C893" s="7" t="str">
        <f>"英语专业8级写作：写作高分攻略 80篇优质范文"</f>
        <v>英语专业8级写作：写作高分攻略 80篇优质范文</v>
      </c>
      <c r="D893" s="7" t="str">
        <f>"主编尚智慧"</f>
        <v>主编尚智慧</v>
      </c>
      <c r="E893" s="7" t="str">
        <f>"大连理工大学出版社"</f>
        <v>大连理工大学出版社</v>
      </c>
      <c r="F893" s="7" t="str">
        <f>"H319.36/80"</f>
        <v>H319.36/80</v>
      </c>
    </row>
    <row r="894" customHeight="1" spans="1:6">
      <c r="A894" s="6">
        <v>893</v>
      </c>
      <c r="B894" s="8" t="s">
        <v>9424</v>
      </c>
      <c r="C894" s="8" t="s">
        <v>9425</v>
      </c>
      <c r="D894" s="8" t="s">
        <v>9426</v>
      </c>
      <c r="E894" s="8" t="s">
        <v>239</v>
      </c>
      <c r="F894" s="8" t="s">
        <v>9427</v>
      </c>
    </row>
    <row r="895" customHeight="1" spans="1:6">
      <c r="A895" s="6">
        <v>894</v>
      </c>
      <c r="B895" s="8" t="s">
        <v>9424</v>
      </c>
      <c r="C895" s="8" t="s">
        <v>9425</v>
      </c>
      <c r="D895" s="8" t="s">
        <v>9426</v>
      </c>
      <c r="E895" s="8" t="s">
        <v>239</v>
      </c>
      <c r="F895" s="8" t="s">
        <v>9427</v>
      </c>
    </row>
    <row r="896" customHeight="1" spans="1:6">
      <c r="A896" s="6">
        <v>895</v>
      </c>
      <c r="B896" s="8" t="s">
        <v>9428</v>
      </c>
      <c r="C896" s="8" t="s">
        <v>9429</v>
      </c>
      <c r="D896" s="8" t="s">
        <v>9430</v>
      </c>
      <c r="E896" s="8" t="s">
        <v>283</v>
      </c>
      <c r="F896" s="8" t="s">
        <v>9431</v>
      </c>
    </row>
    <row r="897" customHeight="1" spans="1:6">
      <c r="A897" s="6">
        <v>896</v>
      </c>
      <c r="B897" s="8" t="s">
        <v>9428</v>
      </c>
      <c r="C897" s="8" t="s">
        <v>9429</v>
      </c>
      <c r="D897" s="8" t="s">
        <v>9430</v>
      </c>
      <c r="E897" s="8" t="s">
        <v>283</v>
      </c>
      <c r="F897" s="8" t="s">
        <v>9431</v>
      </c>
    </row>
    <row r="898" customHeight="1" spans="1:6">
      <c r="A898" s="6">
        <v>897</v>
      </c>
      <c r="B898" s="8" t="s">
        <v>9428</v>
      </c>
      <c r="C898" s="8" t="s">
        <v>9429</v>
      </c>
      <c r="D898" s="8" t="s">
        <v>9430</v>
      </c>
      <c r="E898" s="8" t="s">
        <v>283</v>
      </c>
      <c r="F898" s="8" t="s">
        <v>9431</v>
      </c>
    </row>
    <row r="899" customHeight="1" spans="1:6">
      <c r="A899" s="6">
        <v>898</v>
      </c>
      <c r="B899" s="8" t="s">
        <v>9432</v>
      </c>
      <c r="C899" s="8" t="s">
        <v>9433</v>
      </c>
      <c r="D899" s="8" t="s">
        <v>9434</v>
      </c>
      <c r="E899" s="8" t="s">
        <v>239</v>
      </c>
      <c r="F899" s="8" t="s">
        <v>9435</v>
      </c>
    </row>
    <row r="900" customHeight="1" spans="1:6">
      <c r="A900" s="6">
        <v>899</v>
      </c>
      <c r="B900" s="8" t="s">
        <v>9432</v>
      </c>
      <c r="C900" s="8" t="s">
        <v>9433</v>
      </c>
      <c r="D900" s="8" t="s">
        <v>9434</v>
      </c>
      <c r="E900" s="8" t="s">
        <v>239</v>
      </c>
      <c r="F900" s="8" t="s">
        <v>9435</v>
      </c>
    </row>
    <row r="901" customHeight="1" spans="1:6">
      <c r="A901" s="6">
        <v>900</v>
      </c>
      <c r="B901" s="8" t="s">
        <v>9432</v>
      </c>
      <c r="C901" s="8" t="s">
        <v>9433</v>
      </c>
      <c r="D901" s="8" t="s">
        <v>9434</v>
      </c>
      <c r="E901" s="8" t="s">
        <v>239</v>
      </c>
      <c r="F901" s="8" t="s">
        <v>9435</v>
      </c>
    </row>
    <row r="902" customHeight="1" spans="1:6">
      <c r="A902" s="6">
        <v>901</v>
      </c>
      <c r="B902" s="8" t="s">
        <v>9436</v>
      </c>
      <c r="C902" s="8" t="s">
        <v>9437</v>
      </c>
      <c r="D902" s="8" t="s">
        <v>9438</v>
      </c>
      <c r="E902" s="8" t="s">
        <v>1189</v>
      </c>
      <c r="F902" s="8" t="s">
        <v>9439</v>
      </c>
    </row>
    <row r="903" customHeight="1" spans="1:6">
      <c r="A903" s="6">
        <v>902</v>
      </c>
      <c r="B903" s="8" t="s">
        <v>9436</v>
      </c>
      <c r="C903" s="8" t="s">
        <v>9437</v>
      </c>
      <c r="D903" s="8" t="s">
        <v>9438</v>
      </c>
      <c r="E903" s="8" t="s">
        <v>1189</v>
      </c>
      <c r="F903" s="8" t="s">
        <v>9439</v>
      </c>
    </row>
    <row r="904" customHeight="1" spans="1:6">
      <c r="A904" s="6">
        <v>903</v>
      </c>
      <c r="B904" s="8" t="s">
        <v>9436</v>
      </c>
      <c r="C904" s="8" t="s">
        <v>9437</v>
      </c>
      <c r="D904" s="8" t="s">
        <v>9438</v>
      </c>
      <c r="E904" s="8" t="s">
        <v>1189</v>
      </c>
      <c r="F904" s="8" t="s">
        <v>9439</v>
      </c>
    </row>
    <row r="905" customHeight="1" spans="1:6">
      <c r="A905" s="6">
        <v>904</v>
      </c>
      <c r="B905" s="8" t="s">
        <v>9440</v>
      </c>
      <c r="C905" s="8" t="s">
        <v>9441</v>
      </c>
      <c r="D905" s="8" t="s">
        <v>9442</v>
      </c>
      <c r="E905" s="8" t="s">
        <v>197</v>
      </c>
      <c r="F905" s="8" t="s">
        <v>9443</v>
      </c>
    </row>
    <row r="906" customHeight="1" spans="1:6">
      <c r="A906" s="6">
        <v>905</v>
      </c>
      <c r="B906" s="8" t="s">
        <v>9440</v>
      </c>
      <c r="C906" s="8" t="s">
        <v>9441</v>
      </c>
      <c r="D906" s="8" t="s">
        <v>9442</v>
      </c>
      <c r="E906" s="8" t="s">
        <v>197</v>
      </c>
      <c r="F906" s="8" t="s">
        <v>9443</v>
      </c>
    </row>
    <row r="907" customHeight="1" spans="1:6">
      <c r="A907" s="6">
        <v>906</v>
      </c>
      <c r="B907" s="7" t="str">
        <f t="shared" ref="B907:B909" si="20">"978-7-111-67796-3"</f>
        <v>978-7-111-67796-3</v>
      </c>
      <c r="C907" s="7" t="str">
        <f t="shared" ref="C907:C909" si="21">"雅思阅读真题核心词汇"</f>
        <v>雅思阅读真题核心词汇</v>
      </c>
      <c r="D907" s="7" t="str">
        <f t="shared" ref="D907:D909" si="22">"胡蕊编著"</f>
        <v>胡蕊编著</v>
      </c>
      <c r="E907" s="7" t="str">
        <f t="shared" ref="E907:E909" si="23">"机械工业出版社"</f>
        <v>机械工业出版社</v>
      </c>
      <c r="F907" s="7" t="str">
        <f t="shared" ref="F907:F909" si="24">"H319.37/160/W"</f>
        <v>H319.37/160/W</v>
      </c>
    </row>
    <row r="908" customHeight="1" spans="1:6">
      <c r="A908" s="6">
        <v>907</v>
      </c>
      <c r="B908" s="7" t="str">
        <f t="shared" si="20"/>
        <v>978-7-111-67796-3</v>
      </c>
      <c r="C908" s="7" t="str">
        <f t="shared" si="21"/>
        <v>雅思阅读真题核心词汇</v>
      </c>
      <c r="D908" s="7" t="str">
        <f t="shared" si="22"/>
        <v>胡蕊编著</v>
      </c>
      <c r="E908" s="7" t="str">
        <f t="shared" si="23"/>
        <v>机械工业出版社</v>
      </c>
      <c r="F908" s="7" t="str">
        <f t="shared" si="24"/>
        <v>H319.37/160/W</v>
      </c>
    </row>
    <row r="909" customHeight="1" spans="1:6">
      <c r="A909" s="6">
        <v>908</v>
      </c>
      <c r="B909" s="7" t="str">
        <f t="shared" si="20"/>
        <v>978-7-111-67796-3</v>
      </c>
      <c r="C909" s="7" t="str">
        <f t="shared" si="21"/>
        <v>雅思阅读真题核心词汇</v>
      </c>
      <c r="D909" s="7" t="str">
        <f t="shared" si="22"/>
        <v>胡蕊编著</v>
      </c>
      <c r="E909" s="7" t="str">
        <f t="shared" si="23"/>
        <v>机械工业出版社</v>
      </c>
      <c r="F909" s="7" t="str">
        <f t="shared" si="24"/>
        <v>H319.37/160/W</v>
      </c>
    </row>
    <row r="910" customHeight="1" spans="1:6">
      <c r="A910" s="6">
        <v>909</v>
      </c>
      <c r="B910" s="7" t="str">
        <f>"978-7-5685-2905-1"</f>
        <v>978-7-5685-2905-1</v>
      </c>
      <c r="C910" s="7" t="str">
        <f>"英语专业8级阅读：6大主题专项训练 6天模拟冲刺训练"</f>
        <v>英语专业8级阅读：6大主题专项训练 6天模拟冲刺训练</v>
      </c>
      <c r="D910" s="7" t="str">
        <f>"主编李慧杰， 张艳莉"</f>
        <v>主编李慧杰， 张艳莉</v>
      </c>
      <c r="E910" s="7" t="str">
        <f t="shared" ref="E910:E913" si="25">"大连理工大学出版社"</f>
        <v>大连理工大学出版社</v>
      </c>
      <c r="F910" s="7" t="str">
        <f>"H319.37/161"</f>
        <v>H319.37/161</v>
      </c>
    </row>
    <row r="911" customHeight="1" spans="1:6">
      <c r="A911" s="6">
        <v>910</v>
      </c>
      <c r="B911" s="7" t="str">
        <f>"978-7-5685-2905-1"</f>
        <v>978-7-5685-2905-1</v>
      </c>
      <c r="C911" s="7" t="str">
        <f>"英语专业8级阅读：6大主题专项训练 6天模拟冲刺训练"</f>
        <v>英语专业8级阅读：6大主题专项训练 6天模拟冲刺训练</v>
      </c>
      <c r="D911" s="7" t="str">
        <f>"主编李慧杰， 张艳莉"</f>
        <v>主编李慧杰， 张艳莉</v>
      </c>
      <c r="E911" s="7" t="str">
        <f t="shared" si="25"/>
        <v>大连理工大学出版社</v>
      </c>
      <c r="F911" s="7" t="str">
        <f>"H319.37/161"</f>
        <v>H319.37/161</v>
      </c>
    </row>
    <row r="912" customHeight="1" spans="1:6">
      <c r="A912" s="6">
        <v>911</v>
      </c>
      <c r="B912" s="7" t="str">
        <f>"978-7-5685-2910-5"</f>
        <v>978-7-5685-2910-5</v>
      </c>
      <c r="C912" s="7" t="str">
        <f>"英语专业4级阅读：6大主题专项训练 7天模拟冲刺训练"</f>
        <v>英语专业4级阅读：6大主题专项训练 7天模拟冲刺训练</v>
      </c>
      <c r="D912" s="7" t="str">
        <f>"主编姚珂， 迟若冰"</f>
        <v>主编姚珂， 迟若冰</v>
      </c>
      <c r="E912" s="7" t="str">
        <f t="shared" si="25"/>
        <v>大连理工大学出版社</v>
      </c>
      <c r="F912" s="7" t="str">
        <f>"H319.37/162"</f>
        <v>H319.37/162</v>
      </c>
    </row>
    <row r="913" customHeight="1" spans="1:6">
      <c r="A913" s="6">
        <v>912</v>
      </c>
      <c r="B913" s="7" t="str">
        <f>"978-7-5685-2910-5"</f>
        <v>978-7-5685-2910-5</v>
      </c>
      <c r="C913" s="7" t="str">
        <f>"英语专业4级阅读：6大主题专项训练 7天模拟冲刺训练"</f>
        <v>英语专业4级阅读：6大主题专项训练 7天模拟冲刺训练</v>
      </c>
      <c r="D913" s="7" t="str">
        <f>"主编姚珂， 迟若冰"</f>
        <v>主编姚珂， 迟若冰</v>
      </c>
      <c r="E913" s="7" t="str">
        <f t="shared" si="25"/>
        <v>大连理工大学出版社</v>
      </c>
      <c r="F913" s="7" t="str">
        <f>"H319.37/162"</f>
        <v>H319.37/162</v>
      </c>
    </row>
    <row r="914" customHeight="1" spans="1:6">
      <c r="A914" s="6">
        <v>913</v>
      </c>
      <c r="B914" s="8" t="s">
        <v>9444</v>
      </c>
      <c r="C914" s="8" t="s">
        <v>9445</v>
      </c>
      <c r="D914" s="8" t="s">
        <v>9446</v>
      </c>
      <c r="E914" s="8" t="s">
        <v>530</v>
      </c>
      <c r="F914" s="8" t="s">
        <v>9447</v>
      </c>
    </row>
    <row r="915" customHeight="1" spans="1:6">
      <c r="A915" s="6">
        <v>914</v>
      </c>
      <c r="B915" s="8" t="s">
        <v>9444</v>
      </c>
      <c r="C915" s="8" t="s">
        <v>9445</v>
      </c>
      <c r="D915" s="8" t="s">
        <v>9446</v>
      </c>
      <c r="E915" s="8" t="s">
        <v>530</v>
      </c>
      <c r="F915" s="8" t="s">
        <v>9447</v>
      </c>
    </row>
    <row r="916" customHeight="1" spans="1:6">
      <c r="A916" s="6">
        <v>915</v>
      </c>
      <c r="B916" s="8" t="s">
        <v>9444</v>
      </c>
      <c r="C916" s="8" t="s">
        <v>9445</v>
      </c>
      <c r="D916" s="8" t="s">
        <v>9446</v>
      </c>
      <c r="E916" s="8" t="s">
        <v>530</v>
      </c>
      <c r="F916" s="8" t="s">
        <v>9447</v>
      </c>
    </row>
    <row r="917" customHeight="1" spans="1:6">
      <c r="A917" s="6">
        <v>916</v>
      </c>
      <c r="B917" s="8" t="s">
        <v>9448</v>
      </c>
      <c r="C917" s="8" t="s">
        <v>9449</v>
      </c>
      <c r="D917" s="8" t="s">
        <v>9446</v>
      </c>
      <c r="E917" s="8" t="s">
        <v>530</v>
      </c>
      <c r="F917" s="8" t="s">
        <v>9450</v>
      </c>
    </row>
    <row r="918" customHeight="1" spans="1:6">
      <c r="A918" s="6">
        <v>917</v>
      </c>
      <c r="B918" s="8" t="s">
        <v>9448</v>
      </c>
      <c r="C918" s="8" t="s">
        <v>9449</v>
      </c>
      <c r="D918" s="8" t="s">
        <v>9446</v>
      </c>
      <c r="E918" s="8" t="s">
        <v>530</v>
      </c>
      <c r="F918" s="8" t="s">
        <v>9450</v>
      </c>
    </row>
    <row r="919" customHeight="1" spans="1:6">
      <c r="A919" s="6">
        <v>918</v>
      </c>
      <c r="B919" s="8" t="s">
        <v>9448</v>
      </c>
      <c r="C919" s="8" t="s">
        <v>9449</v>
      </c>
      <c r="D919" s="8" t="s">
        <v>9446</v>
      </c>
      <c r="E919" s="8" t="s">
        <v>530</v>
      </c>
      <c r="F919" s="8" t="s">
        <v>9450</v>
      </c>
    </row>
    <row r="920" customHeight="1" spans="1:6">
      <c r="A920" s="6">
        <v>919</v>
      </c>
      <c r="B920" s="8" t="s">
        <v>9451</v>
      </c>
      <c r="C920" s="8" t="s">
        <v>9452</v>
      </c>
      <c r="D920" s="8" t="s">
        <v>9453</v>
      </c>
      <c r="E920" s="8" t="s">
        <v>571</v>
      </c>
      <c r="F920" s="8" t="s">
        <v>9454</v>
      </c>
    </row>
    <row r="921" customHeight="1" spans="1:6">
      <c r="A921" s="6">
        <v>920</v>
      </c>
      <c r="B921" s="8" t="s">
        <v>9451</v>
      </c>
      <c r="C921" s="8" t="s">
        <v>9452</v>
      </c>
      <c r="D921" s="8" t="s">
        <v>9453</v>
      </c>
      <c r="E921" s="8" t="s">
        <v>571</v>
      </c>
      <c r="F921" s="8" t="s">
        <v>9454</v>
      </c>
    </row>
    <row r="922" customHeight="1" spans="1:6">
      <c r="A922" s="6">
        <v>921</v>
      </c>
      <c r="B922" s="8" t="s">
        <v>9451</v>
      </c>
      <c r="C922" s="8" t="s">
        <v>9452</v>
      </c>
      <c r="D922" s="8" t="s">
        <v>9453</v>
      </c>
      <c r="E922" s="8" t="s">
        <v>571</v>
      </c>
      <c r="F922" s="8" t="s">
        <v>9454</v>
      </c>
    </row>
    <row r="923" customHeight="1" spans="1:6">
      <c r="A923" s="6">
        <v>922</v>
      </c>
      <c r="B923" s="8" t="s">
        <v>9455</v>
      </c>
      <c r="C923" s="8" t="s">
        <v>9456</v>
      </c>
      <c r="D923" s="8" t="s">
        <v>9457</v>
      </c>
      <c r="E923" s="8" t="s">
        <v>8879</v>
      </c>
      <c r="F923" s="8" t="s">
        <v>9458</v>
      </c>
    </row>
    <row r="924" customHeight="1" spans="1:6">
      <c r="A924" s="6">
        <v>923</v>
      </c>
      <c r="B924" s="8" t="s">
        <v>9455</v>
      </c>
      <c r="C924" s="8" t="s">
        <v>9456</v>
      </c>
      <c r="D924" s="8" t="s">
        <v>9457</v>
      </c>
      <c r="E924" s="8" t="s">
        <v>8879</v>
      </c>
      <c r="F924" s="8" t="s">
        <v>9458</v>
      </c>
    </row>
    <row r="925" customHeight="1" spans="1:6">
      <c r="A925" s="6">
        <v>924</v>
      </c>
      <c r="B925" s="8" t="s">
        <v>9459</v>
      </c>
      <c r="C925" s="8" t="s">
        <v>9460</v>
      </c>
      <c r="D925" s="8" t="s">
        <v>9461</v>
      </c>
      <c r="E925" s="8" t="s">
        <v>8879</v>
      </c>
      <c r="F925" s="8" t="s">
        <v>9462</v>
      </c>
    </row>
    <row r="926" customHeight="1" spans="1:6">
      <c r="A926" s="6">
        <v>925</v>
      </c>
      <c r="B926" s="8" t="s">
        <v>9459</v>
      </c>
      <c r="C926" s="8" t="s">
        <v>9460</v>
      </c>
      <c r="D926" s="8" t="s">
        <v>9461</v>
      </c>
      <c r="E926" s="8" t="s">
        <v>8879</v>
      </c>
      <c r="F926" s="8" t="s">
        <v>9462</v>
      </c>
    </row>
    <row r="927" customHeight="1" spans="1:6">
      <c r="A927" s="6">
        <v>926</v>
      </c>
      <c r="B927" s="8" t="s">
        <v>9463</v>
      </c>
      <c r="C927" s="8" t="s">
        <v>9464</v>
      </c>
      <c r="D927" s="8" t="s">
        <v>9465</v>
      </c>
      <c r="E927" s="8" t="s">
        <v>1189</v>
      </c>
      <c r="F927" s="8" t="s">
        <v>9466</v>
      </c>
    </row>
    <row r="928" customHeight="1" spans="1:6">
      <c r="A928" s="6">
        <v>927</v>
      </c>
      <c r="B928" s="8" t="s">
        <v>9463</v>
      </c>
      <c r="C928" s="8" t="s">
        <v>9464</v>
      </c>
      <c r="D928" s="8" t="s">
        <v>9465</v>
      </c>
      <c r="E928" s="8" t="s">
        <v>1189</v>
      </c>
      <c r="F928" s="8" t="s">
        <v>9466</v>
      </c>
    </row>
    <row r="929" customHeight="1" spans="1:6">
      <c r="A929" s="6">
        <v>928</v>
      </c>
      <c r="B929" s="8" t="s">
        <v>9463</v>
      </c>
      <c r="C929" s="8" t="s">
        <v>9464</v>
      </c>
      <c r="D929" s="8" t="s">
        <v>9465</v>
      </c>
      <c r="E929" s="8" t="s">
        <v>1189</v>
      </c>
      <c r="F929" s="8" t="s">
        <v>9466</v>
      </c>
    </row>
    <row r="930" customHeight="1" spans="1:6">
      <c r="A930" s="6">
        <v>929</v>
      </c>
      <c r="B930" s="8" t="s">
        <v>9467</v>
      </c>
      <c r="C930" s="8" t="s">
        <v>9468</v>
      </c>
      <c r="D930" s="8" t="s">
        <v>9469</v>
      </c>
      <c r="E930" s="8" t="s">
        <v>9470</v>
      </c>
      <c r="F930" s="8" t="s">
        <v>9471</v>
      </c>
    </row>
    <row r="931" customHeight="1" spans="1:6">
      <c r="A931" s="6">
        <v>930</v>
      </c>
      <c r="B931" s="8" t="s">
        <v>9467</v>
      </c>
      <c r="C931" s="8" t="s">
        <v>9468</v>
      </c>
      <c r="D931" s="8" t="s">
        <v>9469</v>
      </c>
      <c r="E931" s="8" t="s">
        <v>9470</v>
      </c>
      <c r="F931" s="8" t="s">
        <v>9471</v>
      </c>
    </row>
    <row r="932" customHeight="1" spans="1:6">
      <c r="A932" s="6">
        <v>931</v>
      </c>
      <c r="B932" s="8" t="s">
        <v>9467</v>
      </c>
      <c r="C932" s="8" t="s">
        <v>9468</v>
      </c>
      <c r="D932" s="8" t="s">
        <v>9469</v>
      </c>
      <c r="E932" s="8" t="s">
        <v>9470</v>
      </c>
      <c r="F932" s="8" t="s">
        <v>9471</v>
      </c>
    </row>
    <row r="933" customHeight="1" spans="1:6">
      <c r="A933" s="6">
        <v>932</v>
      </c>
      <c r="B933" s="8" t="s">
        <v>9472</v>
      </c>
      <c r="C933" s="8" t="s">
        <v>9473</v>
      </c>
      <c r="D933" s="8" t="s">
        <v>9474</v>
      </c>
      <c r="E933" s="8" t="s">
        <v>5998</v>
      </c>
      <c r="F933" s="8" t="s">
        <v>9475</v>
      </c>
    </row>
    <row r="934" customHeight="1" spans="1:6">
      <c r="A934" s="6">
        <v>933</v>
      </c>
      <c r="B934" s="8" t="s">
        <v>9472</v>
      </c>
      <c r="C934" s="8" t="s">
        <v>9473</v>
      </c>
      <c r="D934" s="8" t="s">
        <v>9474</v>
      </c>
      <c r="E934" s="8" t="s">
        <v>5998</v>
      </c>
      <c r="F934" s="8" t="s">
        <v>9475</v>
      </c>
    </row>
    <row r="935" customHeight="1" spans="1:6">
      <c r="A935" s="6">
        <v>934</v>
      </c>
      <c r="B935" s="8" t="s">
        <v>9476</v>
      </c>
      <c r="C935" s="8" t="s">
        <v>9477</v>
      </c>
      <c r="D935" s="8" t="s">
        <v>9478</v>
      </c>
      <c r="E935" s="8" t="s">
        <v>530</v>
      </c>
      <c r="F935" s="8" t="s">
        <v>9479</v>
      </c>
    </row>
    <row r="936" customHeight="1" spans="1:6">
      <c r="A936" s="6">
        <v>935</v>
      </c>
      <c r="B936" s="8" t="s">
        <v>9476</v>
      </c>
      <c r="C936" s="8" t="s">
        <v>9477</v>
      </c>
      <c r="D936" s="8" t="s">
        <v>9478</v>
      </c>
      <c r="E936" s="8" t="s">
        <v>530</v>
      </c>
      <c r="F936" s="8" t="s">
        <v>9479</v>
      </c>
    </row>
    <row r="937" customHeight="1" spans="1:6">
      <c r="A937" s="6">
        <v>936</v>
      </c>
      <c r="B937" s="8" t="s">
        <v>9476</v>
      </c>
      <c r="C937" s="8" t="s">
        <v>9477</v>
      </c>
      <c r="D937" s="8" t="s">
        <v>9478</v>
      </c>
      <c r="E937" s="8" t="s">
        <v>530</v>
      </c>
      <c r="F937" s="8" t="s">
        <v>9479</v>
      </c>
    </row>
    <row r="938" customHeight="1" spans="1:6">
      <c r="A938" s="6">
        <v>937</v>
      </c>
      <c r="B938" s="8" t="s">
        <v>9480</v>
      </c>
      <c r="C938" s="8" t="s">
        <v>9481</v>
      </c>
      <c r="D938" s="8" t="s">
        <v>9478</v>
      </c>
      <c r="E938" s="8" t="s">
        <v>530</v>
      </c>
      <c r="F938" s="8" t="s">
        <v>9482</v>
      </c>
    </row>
    <row r="939" customHeight="1" spans="1:6">
      <c r="A939" s="6">
        <v>938</v>
      </c>
      <c r="B939" s="8" t="s">
        <v>9480</v>
      </c>
      <c r="C939" s="8" t="s">
        <v>9481</v>
      </c>
      <c r="D939" s="8" t="s">
        <v>9478</v>
      </c>
      <c r="E939" s="8" t="s">
        <v>530</v>
      </c>
      <c r="F939" s="8" t="s">
        <v>9482</v>
      </c>
    </row>
    <row r="940" customHeight="1" spans="1:6">
      <c r="A940" s="6">
        <v>939</v>
      </c>
      <c r="B940" s="8" t="s">
        <v>9480</v>
      </c>
      <c r="C940" s="8" t="s">
        <v>9481</v>
      </c>
      <c r="D940" s="8" t="s">
        <v>9478</v>
      </c>
      <c r="E940" s="8" t="s">
        <v>530</v>
      </c>
      <c r="F940" s="8" t="s">
        <v>9482</v>
      </c>
    </row>
    <row r="941" customHeight="1" spans="1:6">
      <c r="A941" s="6">
        <v>940</v>
      </c>
      <c r="B941" s="8" t="s">
        <v>9483</v>
      </c>
      <c r="C941" s="8" t="s">
        <v>9484</v>
      </c>
      <c r="D941" s="8" t="s">
        <v>9485</v>
      </c>
      <c r="E941" s="8" t="s">
        <v>530</v>
      </c>
      <c r="F941" s="8" t="s">
        <v>9486</v>
      </c>
    </row>
    <row r="942" customHeight="1" spans="1:6">
      <c r="A942" s="6">
        <v>941</v>
      </c>
      <c r="B942" s="8" t="s">
        <v>9483</v>
      </c>
      <c r="C942" s="8" t="s">
        <v>9484</v>
      </c>
      <c r="D942" s="8" t="s">
        <v>9485</v>
      </c>
      <c r="E942" s="8" t="s">
        <v>530</v>
      </c>
      <c r="F942" s="8" t="s">
        <v>9486</v>
      </c>
    </row>
    <row r="943" customHeight="1" spans="1:6">
      <c r="A943" s="6">
        <v>942</v>
      </c>
      <c r="B943" s="8" t="s">
        <v>9483</v>
      </c>
      <c r="C943" s="8" t="s">
        <v>9484</v>
      </c>
      <c r="D943" s="8" t="s">
        <v>9485</v>
      </c>
      <c r="E943" s="8" t="s">
        <v>530</v>
      </c>
      <c r="F943" s="8" t="s">
        <v>9486</v>
      </c>
    </row>
    <row r="944" customHeight="1" spans="1:6">
      <c r="A944" s="6">
        <v>943</v>
      </c>
      <c r="B944" s="8" t="s">
        <v>9487</v>
      </c>
      <c r="C944" s="8" t="s">
        <v>9488</v>
      </c>
      <c r="D944" s="8" t="s">
        <v>9489</v>
      </c>
      <c r="E944" s="8" t="s">
        <v>665</v>
      </c>
      <c r="F944" s="8" t="s">
        <v>9490</v>
      </c>
    </row>
    <row r="945" customHeight="1" spans="1:6">
      <c r="A945" s="6">
        <v>944</v>
      </c>
      <c r="B945" s="8" t="s">
        <v>9487</v>
      </c>
      <c r="C945" s="8" t="s">
        <v>9488</v>
      </c>
      <c r="D945" s="8" t="s">
        <v>9489</v>
      </c>
      <c r="E945" s="8" t="s">
        <v>665</v>
      </c>
      <c r="F945" s="8" t="s">
        <v>9490</v>
      </c>
    </row>
    <row r="946" customHeight="1" spans="1:6">
      <c r="A946" s="6">
        <v>945</v>
      </c>
      <c r="B946" s="8" t="s">
        <v>9487</v>
      </c>
      <c r="C946" s="8" t="s">
        <v>9488</v>
      </c>
      <c r="D946" s="8" t="s">
        <v>9489</v>
      </c>
      <c r="E946" s="8" t="s">
        <v>665</v>
      </c>
      <c r="F946" s="8" t="s">
        <v>9490</v>
      </c>
    </row>
    <row r="947" customHeight="1" spans="1:6">
      <c r="A947" s="6">
        <v>946</v>
      </c>
      <c r="B947" s="8" t="s">
        <v>9491</v>
      </c>
      <c r="C947" s="8" t="s">
        <v>9492</v>
      </c>
      <c r="D947" s="8" t="s">
        <v>9489</v>
      </c>
      <c r="E947" s="8" t="s">
        <v>665</v>
      </c>
      <c r="F947" s="8" t="s">
        <v>9493</v>
      </c>
    </row>
    <row r="948" customHeight="1" spans="1:6">
      <c r="A948" s="6">
        <v>947</v>
      </c>
      <c r="B948" s="8" t="s">
        <v>9491</v>
      </c>
      <c r="C948" s="8" t="s">
        <v>9492</v>
      </c>
      <c r="D948" s="8" t="s">
        <v>9489</v>
      </c>
      <c r="E948" s="8" t="s">
        <v>665</v>
      </c>
      <c r="F948" s="8" t="s">
        <v>9493</v>
      </c>
    </row>
    <row r="949" customHeight="1" spans="1:6">
      <c r="A949" s="6">
        <v>948</v>
      </c>
      <c r="B949" s="8" t="s">
        <v>9491</v>
      </c>
      <c r="C949" s="8" t="s">
        <v>9492</v>
      </c>
      <c r="D949" s="8" t="s">
        <v>9489</v>
      </c>
      <c r="E949" s="8" t="s">
        <v>665</v>
      </c>
      <c r="F949" s="8" t="s">
        <v>9493</v>
      </c>
    </row>
    <row r="950" customHeight="1" spans="1:6">
      <c r="A950" s="6">
        <v>949</v>
      </c>
      <c r="B950" s="8" t="s">
        <v>9494</v>
      </c>
      <c r="C950" s="8" t="s">
        <v>9495</v>
      </c>
      <c r="D950" s="8" t="s">
        <v>9496</v>
      </c>
      <c r="E950" s="8" t="s">
        <v>1667</v>
      </c>
      <c r="F950" s="8" t="s">
        <v>9497</v>
      </c>
    </row>
    <row r="951" customHeight="1" spans="1:6">
      <c r="A951" s="6">
        <v>950</v>
      </c>
      <c r="B951" s="8" t="s">
        <v>9494</v>
      </c>
      <c r="C951" s="8" t="s">
        <v>9495</v>
      </c>
      <c r="D951" s="8" t="s">
        <v>9496</v>
      </c>
      <c r="E951" s="8" t="s">
        <v>1667</v>
      </c>
      <c r="F951" s="8" t="s">
        <v>9497</v>
      </c>
    </row>
    <row r="952" customHeight="1" spans="1:6">
      <c r="A952" s="6">
        <v>951</v>
      </c>
      <c r="B952" s="8" t="s">
        <v>9494</v>
      </c>
      <c r="C952" s="8" t="s">
        <v>9495</v>
      </c>
      <c r="D952" s="8" t="s">
        <v>9496</v>
      </c>
      <c r="E952" s="8" t="s">
        <v>1667</v>
      </c>
      <c r="F952" s="8" t="s">
        <v>9497</v>
      </c>
    </row>
    <row r="953" customHeight="1" spans="1:6">
      <c r="A953" s="6">
        <v>952</v>
      </c>
      <c r="B953" s="7" t="str">
        <f t="shared" ref="B953:B955" si="26">"978-7-5117-3901-8"</f>
        <v>978-7-5117-3901-8</v>
      </c>
      <c r="C953" s="7" t="str">
        <f t="shared" ref="C953:C955" si="27">"The essays"</f>
        <v>The essays</v>
      </c>
      <c r="D953" s="7" t="str">
        <f t="shared" ref="D953:D955" si="28">"Francis Bacon(英) 弗兰西斯·培根著"</f>
        <v>Francis Bacon(英) 弗兰西斯·培根著</v>
      </c>
      <c r="E953" s="7" t="str">
        <f t="shared" ref="E953:E958" si="29">"中央编译出版社"</f>
        <v>中央编译出版社</v>
      </c>
      <c r="F953" s="7" t="str">
        <f t="shared" ref="F953:F955" si="30">"H319.4/1006-2"</f>
        <v>H319.4/1006-2</v>
      </c>
    </row>
    <row r="954" customHeight="1" spans="1:6">
      <c r="A954" s="6">
        <v>953</v>
      </c>
      <c r="B954" s="7" t="str">
        <f t="shared" si="26"/>
        <v>978-7-5117-3901-8</v>
      </c>
      <c r="C954" s="7" t="str">
        <f t="shared" si="27"/>
        <v>The essays</v>
      </c>
      <c r="D954" s="7" t="str">
        <f t="shared" si="28"/>
        <v>Francis Bacon(英) 弗兰西斯·培根著</v>
      </c>
      <c r="E954" s="7" t="str">
        <f t="shared" si="29"/>
        <v>中央编译出版社</v>
      </c>
      <c r="F954" s="7" t="str">
        <f t="shared" si="30"/>
        <v>H319.4/1006-2</v>
      </c>
    </row>
    <row r="955" customHeight="1" spans="1:6">
      <c r="A955" s="6">
        <v>954</v>
      </c>
      <c r="B955" s="7" t="str">
        <f t="shared" si="26"/>
        <v>978-7-5117-3901-8</v>
      </c>
      <c r="C955" s="7" t="str">
        <f t="shared" si="27"/>
        <v>The essays</v>
      </c>
      <c r="D955" s="7" t="str">
        <f t="shared" si="28"/>
        <v>Francis Bacon(英) 弗兰西斯·培根著</v>
      </c>
      <c r="E955" s="7" t="str">
        <f t="shared" si="29"/>
        <v>中央编译出版社</v>
      </c>
      <c r="F955" s="7" t="str">
        <f t="shared" si="30"/>
        <v>H319.4/1006-2</v>
      </c>
    </row>
    <row r="956" customHeight="1" spans="1:6">
      <c r="A956" s="6">
        <v>955</v>
      </c>
      <c r="B956" s="7" t="str">
        <f t="shared" ref="B956:B958" si="31">"978-7-5117-3911-7"</f>
        <v>978-7-5117-3911-7</v>
      </c>
      <c r="C956" s="7" t="str">
        <f t="shared" ref="C956:C958" si="32">"Essays"</f>
        <v>Essays</v>
      </c>
      <c r="D956" s="7" t="str">
        <f t="shared" ref="D956:D958" si="33">"Michel de Montaigne(法) 米歇尔·蒙田著"</f>
        <v>Michel de Montaigne(法) 米歇尔·蒙田著</v>
      </c>
      <c r="E956" s="7" t="str">
        <f t="shared" si="29"/>
        <v>中央编译出版社</v>
      </c>
      <c r="F956" s="7" t="str">
        <f t="shared" ref="F956:F958" si="34">"H319.4/1713-2"</f>
        <v>H319.4/1713-2</v>
      </c>
    </row>
    <row r="957" customHeight="1" spans="1:6">
      <c r="A957" s="6">
        <v>956</v>
      </c>
      <c r="B957" s="7" t="str">
        <f t="shared" si="31"/>
        <v>978-7-5117-3911-7</v>
      </c>
      <c r="C957" s="7" t="str">
        <f t="shared" si="32"/>
        <v>Essays</v>
      </c>
      <c r="D957" s="7" t="str">
        <f t="shared" si="33"/>
        <v>Michel de Montaigne(法) 米歇尔·蒙田著</v>
      </c>
      <c r="E957" s="7" t="str">
        <f t="shared" si="29"/>
        <v>中央编译出版社</v>
      </c>
      <c r="F957" s="7" t="str">
        <f t="shared" si="34"/>
        <v>H319.4/1713-2</v>
      </c>
    </row>
    <row r="958" customHeight="1" spans="1:6">
      <c r="A958" s="6">
        <v>957</v>
      </c>
      <c r="B958" s="7" t="str">
        <f t="shared" si="31"/>
        <v>978-7-5117-3911-7</v>
      </c>
      <c r="C958" s="7" t="str">
        <f t="shared" si="32"/>
        <v>Essays</v>
      </c>
      <c r="D958" s="7" t="str">
        <f t="shared" si="33"/>
        <v>Michel de Montaigne(法) 米歇尔·蒙田著</v>
      </c>
      <c r="E958" s="7" t="str">
        <f t="shared" si="29"/>
        <v>中央编译出版社</v>
      </c>
      <c r="F958" s="7" t="str">
        <f t="shared" si="34"/>
        <v>H319.4/1713-2</v>
      </c>
    </row>
    <row r="959" customHeight="1" spans="1:6">
      <c r="A959" s="6">
        <v>958</v>
      </c>
      <c r="B959" s="8" t="s">
        <v>9498</v>
      </c>
      <c r="C959" s="8" t="s">
        <v>9499</v>
      </c>
      <c r="D959" s="8" t="s">
        <v>9500</v>
      </c>
      <c r="E959" s="8" t="s">
        <v>311</v>
      </c>
      <c r="F959" s="8" t="s">
        <v>9501</v>
      </c>
    </row>
    <row r="960" customHeight="1" spans="1:6">
      <c r="A960" s="6">
        <v>959</v>
      </c>
      <c r="B960" s="8" t="s">
        <v>9498</v>
      </c>
      <c r="C960" s="8" t="s">
        <v>9499</v>
      </c>
      <c r="D960" s="8" t="s">
        <v>9500</v>
      </c>
      <c r="E960" s="8" t="s">
        <v>311</v>
      </c>
      <c r="F960" s="8" t="s">
        <v>9501</v>
      </c>
    </row>
    <row r="961" customHeight="1" spans="1:6">
      <c r="A961" s="6">
        <v>960</v>
      </c>
      <c r="B961" s="8" t="s">
        <v>9502</v>
      </c>
      <c r="C961" s="8" t="s">
        <v>9503</v>
      </c>
      <c r="D961" s="8" t="s">
        <v>9504</v>
      </c>
      <c r="E961" s="8" t="s">
        <v>571</v>
      </c>
      <c r="F961" s="8" t="s">
        <v>9505</v>
      </c>
    </row>
    <row r="962" customHeight="1" spans="1:6">
      <c r="A962" s="6">
        <v>961</v>
      </c>
      <c r="B962" s="8" t="s">
        <v>9502</v>
      </c>
      <c r="C962" s="8" t="s">
        <v>9503</v>
      </c>
      <c r="D962" s="8" t="s">
        <v>9504</v>
      </c>
      <c r="E962" s="8" t="s">
        <v>571</v>
      </c>
      <c r="F962" s="8" t="s">
        <v>9505</v>
      </c>
    </row>
    <row r="963" customHeight="1" spans="1:6">
      <c r="A963" s="6">
        <v>962</v>
      </c>
      <c r="B963" s="8" t="s">
        <v>9502</v>
      </c>
      <c r="C963" s="8" t="s">
        <v>9503</v>
      </c>
      <c r="D963" s="8" t="s">
        <v>9504</v>
      </c>
      <c r="E963" s="8" t="s">
        <v>571</v>
      </c>
      <c r="F963" s="8" t="s">
        <v>9505</v>
      </c>
    </row>
    <row r="964" customHeight="1" spans="1:6">
      <c r="A964" s="6">
        <v>963</v>
      </c>
      <c r="B964" s="7" t="str">
        <f t="shared" ref="B964:B966" si="35">"978-7-5117-3512-6"</f>
        <v>978-7-5117-3512-6</v>
      </c>
      <c r="C964" s="7" t="str">
        <f t="shared" ref="C964:C966" si="36">"Thus spake Zarathustra"</f>
        <v>Thus spake Zarathustra</v>
      </c>
      <c r="D964" s="7" t="str">
        <f t="shared" ref="D964:D966" si="37">"Friedrich Wilhelm Nietzsche(德) 弗里德里希·威廉·尼采著"</f>
        <v>Friedrich Wilhelm Nietzsche(德) 弗里德里希·威廉·尼采著</v>
      </c>
      <c r="E964" s="7" t="str">
        <f t="shared" ref="E964:E969" si="38">"中央编译出版社"</f>
        <v>中央编译出版社</v>
      </c>
      <c r="F964" s="7" t="str">
        <f t="shared" ref="F964:F966" si="39">"H319.4:B/190"</f>
        <v>H319.4:B/190</v>
      </c>
    </row>
    <row r="965" customHeight="1" spans="1:6">
      <c r="A965" s="6">
        <v>964</v>
      </c>
      <c r="B965" s="7" t="str">
        <f t="shared" si="35"/>
        <v>978-7-5117-3512-6</v>
      </c>
      <c r="C965" s="7" t="str">
        <f t="shared" si="36"/>
        <v>Thus spake Zarathustra</v>
      </c>
      <c r="D965" s="7" t="str">
        <f t="shared" si="37"/>
        <v>Friedrich Wilhelm Nietzsche(德) 弗里德里希·威廉·尼采著</v>
      </c>
      <c r="E965" s="7" t="str">
        <f t="shared" si="38"/>
        <v>中央编译出版社</v>
      </c>
      <c r="F965" s="7" t="str">
        <f t="shared" si="39"/>
        <v>H319.4:B/190</v>
      </c>
    </row>
    <row r="966" customHeight="1" spans="1:6">
      <c r="A966" s="6">
        <v>965</v>
      </c>
      <c r="B966" s="7" t="str">
        <f t="shared" si="35"/>
        <v>978-7-5117-3512-6</v>
      </c>
      <c r="C966" s="7" t="str">
        <f t="shared" si="36"/>
        <v>Thus spake Zarathustra</v>
      </c>
      <c r="D966" s="7" t="str">
        <f t="shared" si="37"/>
        <v>Friedrich Wilhelm Nietzsche(德) 弗里德里希·威廉·尼采著</v>
      </c>
      <c r="E966" s="7" t="str">
        <f t="shared" si="38"/>
        <v>中央编译出版社</v>
      </c>
      <c r="F966" s="7" t="str">
        <f t="shared" si="39"/>
        <v>H319.4:B/190</v>
      </c>
    </row>
    <row r="967" customHeight="1" spans="1:6">
      <c r="A967" s="6">
        <v>966</v>
      </c>
      <c r="B967" s="7" t="str">
        <f t="shared" ref="B967:B969" si="40">"978-7-5117-3910-0"</f>
        <v>978-7-5117-3910-0</v>
      </c>
      <c r="C967" s="7" t="str">
        <f t="shared" ref="C967:C969" si="41">"The republic"</f>
        <v>The republic</v>
      </c>
      <c r="D967" s="7" t="str">
        <f t="shared" ref="D967:D969" si="42">"Plato(古希腊) 柏拉图著"</f>
        <v>Plato(古希腊) 柏拉图著</v>
      </c>
      <c r="E967" s="7" t="str">
        <f t="shared" si="38"/>
        <v>中央编译出版社</v>
      </c>
      <c r="F967" s="7" t="str">
        <f t="shared" ref="F967:F969" si="43">"H319.4:B/191"</f>
        <v>H319.4:B/191</v>
      </c>
    </row>
    <row r="968" customHeight="1" spans="1:6">
      <c r="A968" s="6">
        <v>967</v>
      </c>
      <c r="B968" s="7" t="str">
        <f t="shared" si="40"/>
        <v>978-7-5117-3910-0</v>
      </c>
      <c r="C968" s="7" t="str">
        <f t="shared" si="41"/>
        <v>The republic</v>
      </c>
      <c r="D968" s="7" t="str">
        <f t="shared" si="42"/>
        <v>Plato(古希腊) 柏拉图著</v>
      </c>
      <c r="E968" s="7" t="str">
        <f t="shared" si="38"/>
        <v>中央编译出版社</v>
      </c>
      <c r="F968" s="7" t="str">
        <f t="shared" si="43"/>
        <v>H319.4:B/191</v>
      </c>
    </row>
    <row r="969" customHeight="1" spans="1:6">
      <c r="A969" s="6">
        <v>968</v>
      </c>
      <c r="B969" s="7" t="str">
        <f t="shared" si="40"/>
        <v>978-7-5117-3910-0</v>
      </c>
      <c r="C969" s="7" t="str">
        <f t="shared" si="41"/>
        <v>The republic</v>
      </c>
      <c r="D969" s="7" t="str">
        <f t="shared" si="42"/>
        <v>Plato(古希腊) 柏拉图著</v>
      </c>
      <c r="E969" s="7" t="str">
        <f t="shared" si="38"/>
        <v>中央编译出版社</v>
      </c>
      <c r="F969" s="7" t="str">
        <f t="shared" si="43"/>
        <v>H319.4:B/191</v>
      </c>
    </row>
    <row r="970" customHeight="1" spans="1:6">
      <c r="A970" s="6">
        <v>969</v>
      </c>
      <c r="B970" s="8" t="s">
        <v>9506</v>
      </c>
      <c r="C970" s="8" t="s">
        <v>9507</v>
      </c>
      <c r="D970" s="8" t="s">
        <v>9508</v>
      </c>
      <c r="E970" s="8" t="s">
        <v>2186</v>
      </c>
      <c r="F970" s="8" t="s">
        <v>9509</v>
      </c>
    </row>
    <row r="971" customHeight="1" spans="1:6">
      <c r="A971" s="6">
        <v>970</v>
      </c>
      <c r="B971" s="8" t="s">
        <v>9506</v>
      </c>
      <c r="C971" s="8" t="s">
        <v>9507</v>
      </c>
      <c r="D971" s="8" t="s">
        <v>9508</v>
      </c>
      <c r="E971" s="8" t="s">
        <v>2186</v>
      </c>
      <c r="F971" s="8" t="s">
        <v>9509</v>
      </c>
    </row>
    <row r="972" customHeight="1" spans="1:6">
      <c r="A972" s="6">
        <v>971</v>
      </c>
      <c r="B972" s="8" t="s">
        <v>9510</v>
      </c>
      <c r="C972" s="8" t="s">
        <v>9511</v>
      </c>
      <c r="D972" s="8" t="s">
        <v>9512</v>
      </c>
      <c r="E972" s="8" t="s">
        <v>197</v>
      </c>
      <c r="F972" s="8" t="s">
        <v>9513</v>
      </c>
    </row>
    <row r="973" customHeight="1" spans="1:6">
      <c r="A973" s="6">
        <v>972</v>
      </c>
      <c r="B973" s="8" t="s">
        <v>9510</v>
      </c>
      <c r="C973" s="8" t="s">
        <v>9511</v>
      </c>
      <c r="D973" s="8" t="s">
        <v>9512</v>
      </c>
      <c r="E973" s="8" t="s">
        <v>197</v>
      </c>
      <c r="F973" s="8" t="s">
        <v>9513</v>
      </c>
    </row>
    <row r="974" customHeight="1" spans="1:6">
      <c r="A974" s="6">
        <v>973</v>
      </c>
      <c r="B974" s="9" t="str">
        <f>"978-7-119-07287-6"</f>
        <v>978-7-119-07287-6</v>
      </c>
      <c r="C974" s="9" t="str">
        <f>"小王子"</f>
        <v>小王子</v>
      </c>
      <c r="D974" s="9" t="str">
        <f>"(法) 埃克絮佩里著；柳鸣九译"</f>
        <v>(法) 埃克絮佩里著；柳鸣九译</v>
      </c>
      <c r="E974" s="9" t="str">
        <f>"外文出版社"</f>
        <v>外文出版社</v>
      </c>
      <c r="F974" s="9" t="str">
        <f>"H319.4:I/1228.2"</f>
        <v>H319.4:I/1228.2</v>
      </c>
    </row>
    <row r="975" customHeight="1" spans="1:6">
      <c r="A975" s="6">
        <v>974</v>
      </c>
      <c r="B975" s="9" t="str">
        <f>"978-7-119-07287-6"</f>
        <v>978-7-119-07287-6</v>
      </c>
      <c r="C975" s="9" t="str">
        <f>"小王子"</f>
        <v>小王子</v>
      </c>
      <c r="D975" s="9" t="str">
        <f>"(法) 埃克絮佩里著；柳鸣九译"</f>
        <v>(法) 埃克絮佩里著；柳鸣九译</v>
      </c>
      <c r="E975" s="9" t="str">
        <f>"外文出版社"</f>
        <v>外文出版社</v>
      </c>
      <c r="F975" s="9" t="str">
        <f>"H319.4:I/1228.2"</f>
        <v>H319.4:I/1228.2</v>
      </c>
    </row>
    <row r="976" customHeight="1" spans="1:6">
      <c r="A976" s="6">
        <v>975</v>
      </c>
      <c r="B976" s="8" t="s">
        <v>9514</v>
      </c>
      <c r="C976" s="8" t="s">
        <v>9515</v>
      </c>
      <c r="D976" s="8" t="s">
        <v>9516</v>
      </c>
      <c r="E976" s="8" t="s">
        <v>530</v>
      </c>
      <c r="F976" s="8" t="s">
        <v>9517</v>
      </c>
    </row>
    <row r="977" customHeight="1" spans="1:6">
      <c r="A977" s="6">
        <v>976</v>
      </c>
      <c r="B977" s="8" t="s">
        <v>9514</v>
      </c>
      <c r="C977" s="8" t="s">
        <v>9515</v>
      </c>
      <c r="D977" s="8" t="s">
        <v>9516</v>
      </c>
      <c r="E977" s="8" t="s">
        <v>530</v>
      </c>
      <c r="F977" s="8" t="s">
        <v>9517</v>
      </c>
    </row>
    <row r="978" customHeight="1" spans="1:6">
      <c r="A978" s="6">
        <v>977</v>
      </c>
      <c r="B978" s="8" t="s">
        <v>9514</v>
      </c>
      <c r="C978" s="8" t="s">
        <v>9515</v>
      </c>
      <c r="D978" s="8" t="s">
        <v>9516</v>
      </c>
      <c r="E978" s="8" t="s">
        <v>530</v>
      </c>
      <c r="F978" s="8" t="s">
        <v>9517</v>
      </c>
    </row>
    <row r="979" customHeight="1" spans="1:6">
      <c r="A979" s="6">
        <v>978</v>
      </c>
      <c r="B979" s="8" t="s">
        <v>9518</v>
      </c>
      <c r="C979" s="8" t="s">
        <v>9519</v>
      </c>
      <c r="D979" s="8" t="s">
        <v>9520</v>
      </c>
      <c r="E979" s="8" t="s">
        <v>530</v>
      </c>
      <c r="F979" s="8" t="s">
        <v>9521</v>
      </c>
    </row>
    <row r="980" customHeight="1" spans="1:6">
      <c r="A980" s="6">
        <v>979</v>
      </c>
      <c r="B980" s="8" t="s">
        <v>9518</v>
      </c>
      <c r="C980" s="8" t="s">
        <v>9519</v>
      </c>
      <c r="D980" s="8" t="s">
        <v>9520</v>
      </c>
      <c r="E980" s="8" t="s">
        <v>530</v>
      </c>
      <c r="F980" s="8" t="s">
        <v>9521</v>
      </c>
    </row>
    <row r="981" customHeight="1" spans="1:6">
      <c r="A981" s="6">
        <v>980</v>
      </c>
      <c r="B981" s="8" t="s">
        <v>9518</v>
      </c>
      <c r="C981" s="8" t="s">
        <v>9519</v>
      </c>
      <c r="D981" s="8" t="s">
        <v>9520</v>
      </c>
      <c r="E981" s="8" t="s">
        <v>530</v>
      </c>
      <c r="F981" s="8" t="s">
        <v>9521</v>
      </c>
    </row>
    <row r="982" customHeight="1" spans="1:6">
      <c r="A982" s="6">
        <v>981</v>
      </c>
      <c r="B982" s="8" t="s">
        <v>9522</v>
      </c>
      <c r="C982" s="8" t="s">
        <v>9523</v>
      </c>
      <c r="D982" s="8" t="s">
        <v>9524</v>
      </c>
      <c r="E982" s="8" t="s">
        <v>530</v>
      </c>
      <c r="F982" s="8" t="s">
        <v>9525</v>
      </c>
    </row>
    <row r="983" customHeight="1" spans="1:6">
      <c r="A983" s="6">
        <v>982</v>
      </c>
      <c r="B983" s="8" t="s">
        <v>9522</v>
      </c>
      <c r="C983" s="8" t="s">
        <v>9523</v>
      </c>
      <c r="D983" s="8" t="s">
        <v>9524</v>
      </c>
      <c r="E983" s="8" t="s">
        <v>530</v>
      </c>
      <c r="F983" s="8" t="s">
        <v>9525</v>
      </c>
    </row>
    <row r="984" customHeight="1" spans="1:6">
      <c r="A984" s="6">
        <v>983</v>
      </c>
      <c r="B984" s="8" t="s">
        <v>9522</v>
      </c>
      <c r="C984" s="8" t="s">
        <v>9523</v>
      </c>
      <c r="D984" s="8" t="s">
        <v>9524</v>
      </c>
      <c r="E984" s="8" t="s">
        <v>530</v>
      </c>
      <c r="F984" s="8" t="s">
        <v>9525</v>
      </c>
    </row>
    <row r="985" customHeight="1" spans="1:6">
      <c r="A985" s="6">
        <v>984</v>
      </c>
      <c r="B985" s="8" t="s">
        <v>9526</v>
      </c>
      <c r="C985" s="8" t="s">
        <v>9527</v>
      </c>
      <c r="D985" s="8" t="s">
        <v>9528</v>
      </c>
      <c r="E985" s="8" t="s">
        <v>530</v>
      </c>
      <c r="F985" s="8" t="s">
        <v>9529</v>
      </c>
    </row>
    <row r="986" customHeight="1" spans="1:6">
      <c r="A986" s="6">
        <v>985</v>
      </c>
      <c r="B986" s="8" t="s">
        <v>9526</v>
      </c>
      <c r="C986" s="8" t="s">
        <v>9527</v>
      </c>
      <c r="D986" s="8" t="s">
        <v>9528</v>
      </c>
      <c r="E986" s="8" t="s">
        <v>530</v>
      </c>
      <c r="F986" s="8" t="s">
        <v>9529</v>
      </c>
    </row>
    <row r="987" customHeight="1" spans="1:6">
      <c r="A987" s="6">
        <v>986</v>
      </c>
      <c r="B987" s="8" t="s">
        <v>9526</v>
      </c>
      <c r="C987" s="8" t="s">
        <v>9527</v>
      </c>
      <c r="D987" s="8" t="s">
        <v>9528</v>
      </c>
      <c r="E987" s="8" t="s">
        <v>530</v>
      </c>
      <c r="F987" s="8" t="s">
        <v>9529</v>
      </c>
    </row>
    <row r="988" customHeight="1" spans="1:6">
      <c r="A988" s="6">
        <v>987</v>
      </c>
      <c r="B988" s="7" t="str">
        <f>"978-7-119-12552-7"</f>
        <v>978-7-119-12552-7</v>
      </c>
      <c r="C988" s="7" t="str">
        <f>"用英语演中国故事"</f>
        <v>用英语演中国故事</v>
      </c>
      <c r="D988" s="7" t="str">
        <f>"主编 (英) 斯明诚David Symington"</f>
        <v>主编 (英) 斯明诚David Symington</v>
      </c>
      <c r="E988" s="7" t="str">
        <f>"外文出版社"</f>
        <v>外文出版社</v>
      </c>
      <c r="F988" s="7" t="str">
        <f>"H319.4:I/1994"</f>
        <v>H319.4:I/1994</v>
      </c>
    </row>
    <row r="989" customHeight="1" spans="1:6">
      <c r="A989" s="6">
        <v>988</v>
      </c>
      <c r="B989" s="7" t="str">
        <f>"978-7-119-12552-7"</f>
        <v>978-7-119-12552-7</v>
      </c>
      <c r="C989" s="7" t="str">
        <f>"用英语演中国故事"</f>
        <v>用英语演中国故事</v>
      </c>
      <c r="D989" s="7" t="str">
        <f>"主编 (英) 斯明诚David Symington"</f>
        <v>主编 (英) 斯明诚David Symington</v>
      </c>
      <c r="E989" s="7" t="str">
        <f>"外文出版社"</f>
        <v>外文出版社</v>
      </c>
      <c r="F989" s="7" t="str">
        <f>"H319.4:I/1994"</f>
        <v>H319.4:I/1994</v>
      </c>
    </row>
    <row r="990" customHeight="1" spans="1:6">
      <c r="A990" s="6">
        <v>989</v>
      </c>
      <c r="B990" s="8" t="s">
        <v>9530</v>
      </c>
      <c r="C990" s="8" t="s">
        <v>9531</v>
      </c>
      <c r="D990" s="8" t="s">
        <v>9532</v>
      </c>
      <c r="E990" s="8" t="s">
        <v>1028</v>
      </c>
      <c r="F990" s="8" t="s">
        <v>9533</v>
      </c>
    </row>
    <row r="991" customHeight="1" spans="1:6">
      <c r="A991" s="6">
        <v>990</v>
      </c>
      <c r="B991" s="8" t="s">
        <v>9530</v>
      </c>
      <c r="C991" s="8" t="s">
        <v>9531</v>
      </c>
      <c r="D991" s="8" t="s">
        <v>9532</v>
      </c>
      <c r="E991" s="8" t="s">
        <v>1028</v>
      </c>
      <c r="F991" s="8" t="s">
        <v>9533</v>
      </c>
    </row>
    <row r="992" customHeight="1" spans="1:6">
      <c r="A992" s="6">
        <v>991</v>
      </c>
      <c r="B992" s="8" t="s">
        <v>9530</v>
      </c>
      <c r="C992" s="8" t="s">
        <v>9531</v>
      </c>
      <c r="D992" s="8" t="s">
        <v>9532</v>
      </c>
      <c r="E992" s="8" t="s">
        <v>1028</v>
      </c>
      <c r="F992" s="8" t="s">
        <v>9533</v>
      </c>
    </row>
    <row r="993" customHeight="1" spans="1:6">
      <c r="A993" s="6">
        <v>992</v>
      </c>
      <c r="B993" s="8" t="s">
        <v>9534</v>
      </c>
      <c r="C993" s="8" t="s">
        <v>9535</v>
      </c>
      <c r="D993" s="8" t="s">
        <v>9532</v>
      </c>
      <c r="E993" s="8" t="s">
        <v>1028</v>
      </c>
      <c r="F993" s="8" t="s">
        <v>9536</v>
      </c>
    </row>
    <row r="994" customHeight="1" spans="1:6">
      <c r="A994" s="6">
        <v>993</v>
      </c>
      <c r="B994" s="8" t="s">
        <v>9534</v>
      </c>
      <c r="C994" s="8" t="s">
        <v>9535</v>
      </c>
      <c r="D994" s="8" t="s">
        <v>9532</v>
      </c>
      <c r="E994" s="8" t="s">
        <v>1028</v>
      </c>
      <c r="F994" s="8" t="s">
        <v>9536</v>
      </c>
    </row>
    <row r="995" customHeight="1" spans="1:6">
      <c r="A995" s="6">
        <v>994</v>
      </c>
      <c r="B995" s="8" t="s">
        <v>9534</v>
      </c>
      <c r="C995" s="8" t="s">
        <v>9535</v>
      </c>
      <c r="D995" s="8" t="s">
        <v>9532</v>
      </c>
      <c r="E995" s="8" t="s">
        <v>1028</v>
      </c>
      <c r="F995" s="8" t="s">
        <v>9536</v>
      </c>
    </row>
    <row r="996" customHeight="1" spans="1:6">
      <c r="A996" s="6">
        <v>995</v>
      </c>
      <c r="B996" s="8" t="s">
        <v>9537</v>
      </c>
      <c r="C996" s="8" t="s">
        <v>9538</v>
      </c>
      <c r="D996" s="8" t="s">
        <v>9539</v>
      </c>
      <c r="E996" s="8" t="s">
        <v>1631</v>
      </c>
      <c r="F996" s="8" t="s">
        <v>9540</v>
      </c>
    </row>
    <row r="997" customHeight="1" spans="1:6">
      <c r="A997" s="6">
        <v>996</v>
      </c>
      <c r="B997" s="8" t="s">
        <v>9537</v>
      </c>
      <c r="C997" s="8" t="s">
        <v>9538</v>
      </c>
      <c r="D997" s="8" t="s">
        <v>9539</v>
      </c>
      <c r="E997" s="8" t="s">
        <v>1631</v>
      </c>
      <c r="F997" s="8" t="s">
        <v>9540</v>
      </c>
    </row>
    <row r="998" customHeight="1" spans="1:6">
      <c r="A998" s="6">
        <v>997</v>
      </c>
      <c r="B998" s="8" t="s">
        <v>9541</v>
      </c>
      <c r="C998" s="8" t="s">
        <v>9542</v>
      </c>
      <c r="D998" s="8" t="s">
        <v>9543</v>
      </c>
      <c r="E998" s="8" t="s">
        <v>530</v>
      </c>
      <c r="F998" s="8" t="s">
        <v>9544</v>
      </c>
    </row>
    <row r="999" customHeight="1" spans="1:6">
      <c r="A999" s="6">
        <v>998</v>
      </c>
      <c r="B999" s="8" t="s">
        <v>9541</v>
      </c>
      <c r="C999" s="8" t="s">
        <v>9542</v>
      </c>
      <c r="D999" s="8" t="s">
        <v>9543</v>
      </c>
      <c r="E999" s="8" t="s">
        <v>530</v>
      </c>
      <c r="F999" s="8" t="s">
        <v>9544</v>
      </c>
    </row>
    <row r="1000" customHeight="1" spans="1:6">
      <c r="A1000" s="6">
        <v>999</v>
      </c>
      <c r="B1000" s="8" t="s">
        <v>9541</v>
      </c>
      <c r="C1000" s="8" t="s">
        <v>9542</v>
      </c>
      <c r="D1000" s="8" t="s">
        <v>9543</v>
      </c>
      <c r="E1000" s="8" t="s">
        <v>530</v>
      </c>
      <c r="F1000" s="8" t="s">
        <v>9544</v>
      </c>
    </row>
    <row r="1001" customHeight="1" spans="1:6">
      <c r="A1001" s="6">
        <v>1000</v>
      </c>
      <c r="B1001" s="8" t="s">
        <v>9545</v>
      </c>
      <c r="C1001" s="8" t="s">
        <v>9546</v>
      </c>
      <c r="D1001" s="8" t="s">
        <v>9547</v>
      </c>
      <c r="E1001" s="8" t="s">
        <v>530</v>
      </c>
      <c r="F1001" s="8" t="s">
        <v>9548</v>
      </c>
    </row>
    <row r="1002" customHeight="1" spans="1:6">
      <c r="A1002" s="6">
        <v>1001</v>
      </c>
      <c r="B1002" s="8" t="s">
        <v>9545</v>
      </c>
      <c r="C1002" s="8" t="s">
        <v>9546</v>
      </c>
      <c r="D1002" s="8" t="s">
        <v>9547</v>
      </c>
      <c r="E1002" s="8" t="s">
        <v>530</v>
      </c>
      <c r="F1002" s="8" t="s">
        <v>9548</v>
      </c>
    </row>
    <row r="1003" customHeight="1" spans="1:6">
      <c r="A1003" s="6">
        <v>1002</v>
      </c>
      <c r="B1003" s="8" t="s">
        <v>9545</v>
      </c>
      <c r="C1003" s="8" t="s">
        <v>9546</v>
      </c>
      <c r="D1003" s="8" t="s">
        <v>9547</v>
      </c>
      <c r="E1003" s="8" t="s">
        <v>530</v>
      </c>
      <c r="F1003" s="8" t="s">
        <v>9548</v>
      </c>
    </row>
    <row r="1004" customHeight="1" spans="1:6">
      <c r="A1004" s="6">
        <v>1003</v>
      </c>
      <c r="B1004" s="8" t="s">
        <v>9549</v>
      </c>
      <c r="C1004" s="8" t="s">
        <v>9550</v>
      </c>
      <c r="D1004" s="8" t="s">
        <v>9532</v>
      </c>
      <c r="E1004" s="8" t="s">
        <v>624</v>
      </c>
      <c r="F1004" s="8" t="s">
        <v>9551</v>
      </c>
    </row>
    <row r="1005" customHeight="1" spans="1:6">
      <c r="A1005" s="6">
        <v>1004</v>
      </c>
      <c r="B1005" s="8" t="s">
        <v>9549</v>
      </c>
      <c r="C1005" s="8" t="s">
        <v>9550</v>
      </c>
      <c r="D1005" s="8" t="s">
        <v>9532</v>
      </c>
      <c r="E1005" s="8" t="s">
        <v>624</v>
      </c>
      <c r="F1005" s="8" t="s">
        <v>9551</v>
      </c>
    </row>
    <row r="1006" customHeight="1" spans="1:6">
      <c r="A1006" s="6">
        <v>1005</v>
      </c>
      <c r="B1006" s="8" t="s">
        <v>9552</v>
      </c>
      <c r="C1006" s="8" t="s">
        <v>9553</v>
      </c>
      <c r="D1006" s="8" t="s">
        <v>9554</v>
      </c>
      <c r="E1006" s="8" t="s">
        <v>530</v>
      </c>
      <c r="F1006" s="8" t="s">
        <v>9555</v>
      </c>
    </row>
    <row r="1007" customHeight="1" spans="1:6">
      <c r="A1007" s="6">
        <v>1006</v>
      </c>
      <c r="B1007" s="8" t="s">
        <v>9552</v>
      </c>
      <c r="C1007" s="8" t="s">
        <v>9553</v>
      </c>
      <c r="D1007" s="8" t="s">
        <v>9554</v>
      </c>
      <c r="E1007" s="8" t="s">
        <v>530</v>
      </c>
      <c r="F1007" s="8" t="s">
        <v>9555</v>
      </c>
    </row>
    <row r="1008" customHeight="1" spans="1:6">
      <c r="A1008" s="6">
        <v>1007</v>
      </c>
      <c r="B1008" s="8" t="s">
        <v>9552</v>
      </c>
      <c r="C1008" s="8" t="s">
        <v>9553</v>
      </c>
      <c r="D1008" s="8" t="s">
        <v>9554</v>
      </c>
      <c r="E1008" s="8" t="s">
        <v>530</v>
      </c>
      <c r="F1008" s="8" t="s">
        <v>9555</v>
      </c>
    </row>
    <row r="1009" customHeight="1" spans="1:6">
      <c r="A1009" s="6">
        <v>1008</v>
      </c>
      <c r="B1009" s="8" t="s">
        <v>9556</v>
      </c>
      <c r="C1009" s="8" t="s">
        <v>9557</v>
      </c>
      <c r="D1009" s="8" t="s">
        <v>9558</v>
      </c>
      <c r="E1009" s="8" t="s">
        <v>530</v>
      </c>
      <c r="F1009" s="8" t="s">
        <v>9559</v>
      </c>
    </row>
    <row r="1010" customHeight="1" spans="1:6">
      <c r="A1010" s="6">
        <v>1009</v>
      </c>
      <c r="B1010" s="8" t="s">
        <v>9556</v>
      </c>
      <c r="C1010" s="8" t="s">
        <v>9557</v>
      </c>
      <c r="D1010" s="8" t="s">
        <v>9558</v>
      </c>
      <c r="E1010" s="8" t="s">
        <v>530</v>
      </c>
      <c r="F1010" s="8" t="s">
        <v>9559</v>
      </c>
    </row>
    <row r="1011" customHeight="1" spans="1:6">
      <c r="A1011" s="6">
        <v>1010</v>
      </c>
      <c r="B1011" s="8" t="s">
        <v>9556</v>
      </c>
      <c r="C1011" s="8" t="s">
        <v>9557</v>
      </c>
      <c r="D1011" s="8" t="s">
        <v>9558</v>
      </c>
      <c r="E1011" s="8" t="s">
        <v>530</v>
      </c>
      <c r="F1011" s="8" t="s">
        <v>9559</v>
      </c>
    </row>
    <row r="1012" customHeight="1" spans="1:6">
      <c r="A1012" s="6">
        <v>1011</v>
      </c>
      <c r="B1012" s="8" t="s">
        <v>9560</v>
      </c>
      <c r="C1012" s="8" t="s">
        <v>9561</v>
      </c>
      <c r="D1012" s="8" t="s">
        <v>9562</v>
      </c>
      <c r="E1012" s="8" t="s">
        <v>23</v>
      </c>
      <c r="F1012" s="8" t="s">
        <v>9563</v>
      </c>
    </row>
    <row r="1013" customHeight="1" spans="1:6">
      <c r="A1013" s="6">
        <v>1012</v>
      </c>
      <c r="B1013" s="8" t="s">
        <v>9560</v>
      </c>
      <c r="C1013" s="8" t="s">
        <v>9561</v>
      </c>
      <c r="D1013" s="8" t="s">
        <v>9562</v>
      </c>
      <c r="E1013" s="8" t="s">
        <v>23</v>
      </c>
      <c r="F1013" s="8" t="s">
        <v>9563</v>
      </c>
    </row>
    <row r="1014" customHeight="1" spans="1:6">
      <c r="A1014" s="6">
        <v>1013</v>
      </c>
      <c r="B1014" s="8" t="s">
        <v>9560</v>
      </c>
      <c r="C1014" s="8" t="s">
        <v>9561</v>
      </c>
      <c r="D1014" s="8" t="s">
        <v>9562</v>
      </c>
      <c r="E1014" s="8" t="s">
        <v>23</v>
      </c>
      <c r="F1014" s="8" t="s">
        <v>9563</v>
      </c>
    </row>
    <row r="1015" customHeight="1" spans="1:6">
      <c r="A1015" s="6">
        <v>1014</v>
      </c>
      <c r="B1015" s="8" t="s">
        <v>9564</v>
      </c>
      <c r="C1015" s="8" t="s">
        <v>9565</v>
      </c>
      <c r="D1015" s="8" t="s">
        <v>9566</v>
      </c>
      <c r="E1015" s="8" t="s">
        <v>415</v>
      </c>
      <c r="F1015" s="8" t="s">
        <v>9567</v>
      </c>
    </row>
    <row r="1016" customHeight="1" spans="1:6">
      <c r="A1016" s="6">
        <v>1015</v>
      </c>
      <c r="B1016" s="8" t="s">
        <v>9564</v>
      </c>
      <c r="C1016" s="8" t="s">
        <v>9565</v>
      </c>
      <c r="D1016" s="8" t="s">
        <v>9566</v>
      </c>
      <c r="E1016" s="8" t="s">
        <v>415</v>
      </c>
      <c r="F1016" s="8" t="s">
        <v>9567</v>
      </c>
    </row>
    <row r="1017" customHeight="1" spans="1:6">
      <c r="A1017" s="6">
        <v>1016</v>
      </c>
      <c r="B1017" s="8" t="s">
        <v>9568</v>
      </c>
      <c r="C1017" s="8" t="s">
        <v>9569</v>
      </c>
      <c r="D1017" s="8" t="s">
        <v>8647</v>
      </c>
      <c r="E1017" s="8" t="s">
        <v>5127</v>
      </c>
      <c r="F1017" s="8" t="s">
        <v>9570</v>
      </c>
    </row>
    <row r="1018" customHeight="1" spans="1:6">
      <c r="A1018" s="6">
        <v>1017</v>
      </c>
      <c r="B1018" s="8" t="s">
        <v>9568</v>
      </c>
      <c r="C1018" s="8" t="s">
        <v>9569</v>
      </c>
      <c r="D1018" s="8" t="s">
        <v>8647</v>
      </c>
      <c r="E1018" s="8" t="s">
        <v>5127</v>
      </c>
      <c r="F1018" s="8" t="s">
        <v>9570</v>
      </c>
    </row>
    <row r="1019" customHeight="1" spans="1:6">
      <c r="A1019" s="6">
        <v>1018</v>
      </c>
      <c r="B1019" s="8" t="s">
        <v>9568</v>
      </c>
      <c r="C1019" s="8" t="s">
        <v>9569</v>
      </c>
      <c r="D1019" s="8" t="s">
        <v>8647</v>
      </c>
      <c r="E1019" s="8" t="s">
        <v>5127</v>
      </c>
      <c r="F1019" s="8" t="s">
        <v>9570</v>
      </c>
    </row>
    <row r="1020" customHeight="1" spans="1:6">
      <c r="A1020" s="6">
        <v>1019</v>
      </c>
      <c r="B1020" s="8" t="s">
        <v>9571</v>
      </c>
      <c r="C1020" s="8" t="s">
        <v>9572</v>
      </c>
      <c r="D1020" s="8" t="s">
        <v>9573</v>
      </c>
      <c r="E1020" s="8" t="s">
        <v>23</v>
      </c>
      <c r="F1020" s="8" t="s">
        <v>9574</v>
      </c>
    </row>
    <row r="1021" customHeight="1" spans="1:6">
      <c r="A1021" s="6">
        <v>1020</v>
      </c>
      <c r="B1021" s="8" t="s">
        <v>9571</v>
      </c>
      <c r="C1021" s="8" t="s">
        <v>9572</v>
      </c>
      <c r="D1021" s="8" t="s">
        <v>9573</v>
      </c>
      <c r="E1021" s="8" t="s">
        <v>23</v>
      </c>
      <c r="F1021" s="8" t="s">
        <v>9574</v>
      </c>
    </row>
    <row r="1022" customHeight="1" spans="1:6">
      <c r="A1022" s="6">
        <v>1021</v>
      </c>
      <c r="B1022" s="8" t="s">
        <v>9575</v>
      </c>
      <c r="C1022" s="8" t="s">
        <v>9576</v>
      </c>
      <c r="D1022" s="8" t="s">
        <v>9577</v>
      </c>
      <c r="E1022" s="8" t="s">
        <v>23</v>
      </c>
      <c r="F1022" s="8" t="s">
        <v>9578</v>
      </c>
    </row>
    <row r="1023" customHeight="1" spans="1:6">
      <c r="A1023" s="6">
        <v>1022</v>
      </c>
      <c r="B1023" s="8" t="s">
        <v>9575</v>
      </c>
      <c r="C1023" s="8" t="s">
        <v>9576</v>
      </c>
      <c r="D1023" s="8" t="s">
        <v>9577</v>
      </c>
      <c r="E1023" s="8" t="s">
        <v>23</v>
      </c>
      <c r="F1023" s="8" t="s">
        <v>9578</v>
      </c>
    </row>
    <row r="1024" customHeight="1" spans="1:6">
      <c r="A1024" s="6">
        <v>1023</v>
      </c>
      <c r="B1024" s="7" t="str">
        <f>"978-7-5685-2920-4"</f>
        <v>978-7-5685-2920-4</v>
      </c>
      <c r="C1024" s="7" t="str">
        <f>"英语专业4级听写满分200篇：200篇进阶训练 主题词汇拓展"</f>
        <v>英语专业4级听写满分200篇：200篇进阶训练 主题词汇拓展</v>
      </c>
      <c r="D1024" s="7" t="str">
        <f>"主编常俊跃， 苏晓丽"</f>
        <v>主编常俊跃， 苏晓丽</v>
      </c>
      <c r="E1024" s="7" t="str">
        <f t="shared" ref="E1024:E1027" si="44">"大连理工大学出版社"</f>
        <v>大连理工大学出版社</v>
      </c>
      <c r="F1024" s="7" t="str">
        <f>"H319.9/2197/W"</f>
        <v>H319.9/2197/W</v>
      </c>
    </row>
    <row r="1025" customHeight="1" spans="1:6">
      <c r="A1025" s="6">
        <v>1024</v>
      </c>
      <c r="B1025" s="7" t="str">
        <f>"978-7-5685-2920-4"</f>
        <v>978-7-5685-2920-4</v>
      </c>
      <c r="C1025" s="7" t="str">
        <f>"英语专业4级听写满分200篇：200篇进阶训练 主题词汇拓展"</f>
        <v>英语专业4级听写满分200篇：200篇进阶训练 主题词汇拓展</v>
      </c>
      <c r="D1025" s="7" t="str">
        <f>"主编常俊跃， 苏晓丽"</f>
        <v>主编常俊跃， 苏晓丽</v>
      </c>
      <c r="E1025" s="7" t="str">
        <f t="shared" si="44"/>
        <v>大连理工大学出版社</v>
      </c>
      <c r="F1025" s="7" t="str">
        <f>"H319.9/2197/W"</f>
        <v>H319.9/2197/W</v>
      </c>
    </row>
    <row r="1026" customHeight="1" spans="1:6">
      <c r="A1026" s="6">
        <v>1025</v>
      </c>
      <c r="B1026" s="7" t="str">
        <f>"978-7-5685-2906-8"</f>
        <v>978-7-5685-2906-8</v>
      </c>
      <c r="C1026" s="7" t="str">
        <f>"英语专业8级听力：专项强化训练 分项进阶训练 综合模拟训练"</f>
        <v>英语专业8级听力：专项强化训练 分项进阶训练 综合模拟训练</v>
      </c>
      <c r="D1026" s="7" t="str">
        <f>"主编王海萍"</f>
        <v>主编王海萍</v>
      </c>
      <c r="E1026" s="7" t="str">
        <f t="shared" si="44"/>
        <v>大连理工大学出版社</v>
      </c>
      <c r="F1026" s="7" t="str">
        <f>"H319.9/2198/E"</f>
        <v>H319.9/2198/E</v>
      </c>
    </row>
    <row r="1027" customHeight="1" spans="1:6">
      <c r="A1027" s="6">
        <v>1026</v>
      </c>
      <c r="B1027" s="7" t="str">
        <f>"978-7-5685-2906-8"</f>
        <v>978-7-5685-2906-8</v>
      </c>
      <c r="C1027" s="7" t="str">
        <f>"英语专业8级听力：专项强化训练 分项进阶训练 综合模拟训练"</f>
        <v>英语专业8级听力：专项强化训练 分项进阶训练 综合模拟训练</v>
      </c>
      <c r="D1027" s="7" t="str">
        <f>"主编王海萍"</f>
        <v>主编王海萍</v>
      </c>
      <c r="E1027" s="7" t="str">
        <f t="shared" si="44"/>
        <v>大连理工大学出版社</v>
      </c>
      <c r="F1027" s="7" t="str">
        <f>"H319.9/2198/E"</f>
        <v>H319.9/2198/E</v>
      </c>
    </row>
    <row r="1028" customHeight="1" spans="1:6">
      <c r="A1028" s="6">
        <v>1027</v>
      </c>
      <c r="B1028" s="8" t="s">
        <v>9579</v>
      </c>
      <c r="C1028" s="8" t="s">
        <v>9580</v>
      </c>
      <c r="D1028" s="8" t="s">
        <v>8773</v>
      </c>
      <c r="E1028" s="8" t="s">
        <v>5127</v>
      </c>
      <c r="F1028" s="8" t="s">
        <v>9581</v>
      </c>
    </row>
    <row r="1029" customHeight="1" spans="1:6">
      <c r="A1029" s="6">
        <v>1028</v>
      </c>
      <c r="B1029" s="8" t="s">
        <v>9579</v>
      </c>
      <c r="C1029" s="8" t="s">
        <v>9580</v>
      </c>
      <c r="D1029" s="8" t="s">
        <v>8773</v>
      </c>
      <c r="E1029" s="8" t="s">
        <v>5127</v>
      </c>
      <c r="F1029" s="8" t="s">
        <v>9581</v>
      </c>
    </row>
    <row r="1030" customHeight="1" spans="1:6">
      <c r="A1030" s="6">
        <v>1029</v>
      </c>
      <c r="B1030" s="8" t="s">
        <v>9579</v>
      </c>
      <c r="C1030" s="8" t="s">
        <v>9580</v>
      </c>
      <c r="D1030" s="8" t="s">
        <v>8773</v>
      </c>
      <c r="E1030" s="8" t="s">
        <v>5127</v>
      </c>
      <c r="F1030" s="8" t="s">
        <v>9581</v>
      </c>
    </row>
    <row r="1031" customHeight="1" spans="1:6">
      <c r="A1031" s="6">
        <v>1030</v>
      </c>
      <c r="B1031" s="8" t="s">
        <v>9582</v>
      </c>
      <c r="C1031" s="8" t="s">
        <v>9583</v>
      </c>
      <c r="D1031" s="8" t="s">
        <v>5341</v>
      </c>
      <c r="E1031" s="8" t="s">
        <v>5127</v>
      </c>
      <c r="F1031" s="8" t="s">
        <v>9584</v>
      </c>
    </row>
    <row r="1032" customHeight="1" spans="1:6">
      <c r="A1032" s="6">
        <v>1031</v>
      </c>
      <c r="B1032" s="8" t="s">
        <v>9582</v>
      </c>
      <c r="C1032" s="8" t="s">
        <v>9583</v>
      </c>
      <c r="D1032" s="8" t="s">
        <v>5341</v>
      </c>
      <c r="E1032" s="8" t="s">
        <v>5127</v>
      </c>
      <c r="F1032" s="8" t="s">
        <v>9584</v>
      </c>
    </row>
    <row r="1033" customHeight="1" spans="1:6">
      <c r="A1033" s="6">
        <v>1032</v>
      </c>
      <c r="B1033" s="8" t="s">
        <v>9582</v>
      </c>
      <c r="C1033" s="8" t="s">
        <v>9583</v>
      </c>
      <c r="D1033" s="8" t="s">
        <v>5341</v>
      </c>
      <c r="E1033" s="8" t="s">
        <v>5127</v>
      </c>
      <c r="F1033" s="8" t="s">
        <v>9584</v>
      </c>
    </row>
    <row r="1034" customHeight="1" spans="1:6">
      <c r="A1034" s="6">
        <v>1033</v>
      </c>
      <c r="B1034" s="8" t="s">
        <v>9585</v>
      </c>
      <c r="C1034" s="8" t="s">
        <v>9586</v>
      </c>
      <c r="D1034" s="8" t="s">
        <v>9587</v>
      </c>
      <c r="E1034" s="8" t="s">
        <v>5127</v>
      </c>
      <c r="F1034" s="8" t="s">
        <v>9588</v>
      </c>
    </row>
    <row r="1035" customHeight="1" spans="1:6">
      <c r="A1035" s="6">
        <v>1034</v>
      </c>
      <c r="B1035" s="8" t="s">
        <v>9585</v>
      </c>
      <c r="C1035" s="8" t="s">
        <v>9586</v>
      </c>
      <c r="D1035" s="8" t="s">
        <v>9587</v>
      </c>
      <c r="E1035" s="8" t="s">
        <v>5127</v>
      </c>
      <c r="F1035" s="8" t="s">
        <v>9588</v>
      </c>
    </row>
    <row r="1036" customHeight="1" spans="1:6">
      <c r="A1036" s="6">
        <v>1035</v>
      </c>
      <c r="B1036" s="8" t="s">
        <v>9585</v>
      </c>
      <c r="C1036" s="8" t="s">
        <v>9586</v>
      </c>
      <c r="D1036" s="8" t="s">
        <v>9587</v>
      </c>
      <c r="E1036" s="8" t="s">
        <v>5127</v>
      </c>
      <c r="F1036" s="8" t="s">
        <v>9588</v>
      </c>
    </row>
    <row r="1037" customHeight="1" spans="1:6">
      <c r="A1037" s="6">
        <v>1036</v>
      </c>
      <c r="B1037" s="8" t="s">
        <v>9589</v>
      </c>
      <c r="C1037" s="8" t="s">
        <v>9590</v>
      </c>
      <c r="D1037" s="8" t="s">
        <v>9591</v>
      </c>
      <c r="E1037" s="8" t="s">
        <v>665</v>
      </c>
      <c r="F1037" s="8" t="s">
        <v>9592</v>
      </c>
    </row>
    <row r="1038" customHeight="1" spans="1:6">
      <c r="A1038" s="6">
        <v>1037</v>
      </c>
      <c r="B1038" s="8" t="s">
        <v>9589</v>
      </c>
      <c r="C1038" s="8" t="s">
        <v>9590</v>
      </c>
      <c r="D1038" s="8" t="s">
        <v>9591</v>
      </c>
      <c r="E1038" s="8" t="s">
        <v>665</v>
      </c>
      <c r="F1038" s="8" t="s">
        <v>9592</v>
      </c>
    </row>
    <row r="1039" customHeight="1" spans="1:6">
      <c r="A1039" s="6">
        <v>1038</v>
      </c>
      <c r="B1039" s="8" t="s">
        <v>9589</v>
      </c>
      <c r="C1039" s="8" t="s">
        <v>9590</v>
      </c>
      <c r="D1039" s="8" t="s">
        <v>9591</v>
      </c>
      <c r="E1039" s="8" t="s">
        <v>665</v>
      </c>
      <c r="F1039" s="8" t="s">
        <v>9592</v>
      </c>
    </row>
    <row r="1040" customHeight="1" spans="1:6">
      <c r="A1040" s="6">
        <v>1039</v>
      </c>
      <c r="B1040" s="8" t="s">
        <v>9593</v>
      </c>
      <c r="C1040" s="8" t="s">
        <v>9594</v>
      </c>
      <c r="D1040" s="8" t="s">
        <v>9595</v>
      </c>
      <c r="E1040" s="8" t="s">
        <v>23</v>
      </c>
      <c r="F1040" s="8" t="s">
        <v>9596</v>
      </c>
    </row>
    <row r="1041" customHeight="1" spans="1:6">
      <c r="A1041" s="6">
        <v>1040</v>
      </c>
      <c r="B1041" s="8" t="s">
        <v>9593</v>
      </c>
      <c r="C1041" s="8" t="s">
        <v>9594</v>
      </c>
      <c r="D1041" s="8" t="s">
        <v>9595</v>
      </c>
      <c r="E1041" s="8" t="s">
        <v>23</v>
      </c>
      <c r="F1041" s="8" t="s">
        <v>9596</v>
      </c>
    </row>
    <row r="1042" customHeight="1" spans="1:6">
      <c r="A1042" s="6">
        <v>1041</v>
      </c>
      <c r="B1042" s="8" t="s">
        <v>9597</v>
      </c>
      <c r="C1042" s="8" t="s">
        <v>9598</v>
      </c>
      <c r="D1042" s="8" t="s">
        <v>9599</v>
      </c>
      <c r="E1042" s="8" t="s">
        <v>665</v>
      </c>
      <c r="F1042" s="8" t="s">
        <v>9600</v>
      </c>
    </row>
    <row r="1043" customHeight="1" spans="1:6">
      <c r="A1043" s="6">
        <v>1042</v>
      </c>
      <c r="B1043" s="8" t="s">
        <v>9597</v>
      </c>
      <c r="C1043" s="8" t="s">
        <v>9598</v>
      </c>
      <c r="D1043" s="8" t="s">
        <v>9599</v>
      </c>
      <c r="E1043" s="8" t="s">
        <v>665</v>
      </c>
      <c r="F1043" s="8" t="s">
        <v>9600</v>
      </c>
    </row>
    <row r="1044" customHeight="1" spans="1:6">
      <c r="A1044" s="6">
        <v>1043</v>
      </c>
      <c r="B1044" s="8" t="s">
        <v>9597</v>
      </c>
      <c r="C1044" s="8" t="s">
        <v>9598</v>
      </c>
      <c r="D1044" s="8" t="s">
        <v>9599</v>
      </c>
      <c r="E1044" s="8" t="s">
        <v>665</v>
      </c>
      <c r="F1044" s="8" t="s">
        <v>9600</v>
      </c>
    </row>
    <row r="1045" customHeight="1" spans="1:6">
      <c r="A1045" s="6">
        <v>1044</v>
      </c>
      <c r="B1045" s="8" t="s">
        <v>9601</v>
      </c>
      <c r="C1045" s="8" t="s">
        <v>9602</v>
      </c>
      <c r="D1045" s="8" t="s">
        <v>8745</v>
      </c>
      <c r="E1045" s="8" t="s">
        <v>5127</v>
      </c>
      <c r="F1045" s="8" t="s">
        <v>9603</v>
      </c>
    </row>
    <row r="1046" customHeight="1" spans="1:6">
      <c r="A1046" s="6">
        <v>1045</v>
      </c>
      <c r="B1046" s="8" t="s">
        <v>9601</v>
      </c>
      <c r="C1046" s="8" t="s">
        <v>9602</v>
      </c>
      <c r="D1046" s="8" t="s">
        <v>8745</v>
      </c>
      <c r="E1046" s="8" t="s">
        <v>5127</v>
      </c>
      <c r="F1046" s="8" t="s">
        <v>9603</v>
      </c>
    </row>
    <row r="1047" customHeight="1" spans="1:6">
      <c r="A1047" s="6">
        <v>1046</v>
      </c>
      <c r="B1047" s="8" t="s">
        <v>9601</v>
      </c>
      <c r="C1047" s="8" t="s">
        <v>9602</v>
      </c>
      <c r="D1047" s="8" t="s">
        <v>8745</v>
      </c>
      <c r="E1047" s="8" t="s">
        <v>5127</v>
      </c>
      <c r="F1047" s="8" t="s">
        <v>9603</v>
      </c>
    </row>
    <row r="1048" customHeight="1" spans="1:6">
      <c r="A1048" s="6">
        <v>1047</v>
      </c>
      <c r="B1048" s="8" t="s">
        <v>9604</v>
      </c>
      <c r="C1048" s="8" t="s">
        <v>9605</v>
      </c>
      <c r="D1048" s="8" t="s">
        <v>9606</v>
      </c>
      <c r="E1048" s="8" t="s">
        <v>665</v>
      </c>
      <c r="F1048" s="8" t="s">
        <v>9607</v>
      </c>
    </row>
    <row r="1049" customHeight="1" spans="1:6">
      <c r="A1049" s="6">
        <v>1048</v>
      </c>
      <c r="B1049" s="8" t="s">
        <v>9604</v>
      </c>
      <c r="C1049" s="8" t="s">
        <v>9605</v>
      </c>
      <c r="D1049" s="8" t="s">
        <v>9606</v>
      </c>
      <c r="E1049" s="8" t="s">
        <v>665</v>
      </c>
      <c r="F1049" s="8" t="s">
        <v>9607</v>
      </c>
    </row>
    <row r="1050" customHeight="1" spans="1:6">
      <c r="A1050" s="6">
        <v>1049</v>
      </c>
      <c r="B1050" s="8" t="s">
        <v>9604</v>
      </c>
      <c r="C1050" s="8" t="s">
        <v>9605</v>
      </c>
      <c r="D1050" s="8" t="s">
        <v>9606</v>
      </c>
      <c r="E1050" s="8" t="s">
        <v>665</v>
      </c>
      <c r="F1050" s="8" t="s">
        <v>9607</v>
      </c>
    </row>
    <row r="1051" customHeight="1" spans="1:6">
      <c r="A1051" s="6">
        <v>1050</v>
      </c>
      <c r="B1051" s="8" t="s">
        <v>9608</v>
      </c>
      <c r="C1051" s="8" t="s">
        <v>9609</v>
      </c>
      <c r="D1051" s="8" t="s">
        <v>9610</v>
      </c>
      <c r="E1051" s="8" t="s">
        <v>2358</v>
      </c>
      <c r="F1051" s="8" t="s">
        <v>9611</v>
      </c>
    </row>
    <row r="1052" customHeight="1" spans="1:6">
      <c r="A1052" s="6">
        <v>1051</v>
      </c>
      <c r="B1052" s="8" t="s">
        <v>9608</v>
      </c>
      <c r="C1052" s="8" t="s">
        <v>9609</v>
      </c>
      <c r="D1052" s="8" t="s">
        <v>9610</v>
      </c>
      <c r="E1052" s="8" t="s">
        <v>2358</v>
      </c>
      <c r="F1052" s="8" t="s">
        <v>9611</v>
      </c>
    </row>
    <row r="1053" customHeight="1" spans="1:6">
      <c r="A1053" s="6">
        <v>1052</v>
      </c>
      <c r="B1053" s="8" t="s">
        <v>9608</v>
      </c>
      <c r="C1053" s="8" t="s">
        <v>9609</v>
      </c>
      <c r="D1053" s="8" t="s">
        <v>9610</v>
      </c>
      <c r="E1053" s="8" t="s">
        <v>2358</v>
      </c>
      <c r="F1053" s="8" t="s">
        <v>9611</v>
      </c>
    </row>
    <row r="1054" customHeight="1" spans="1:6">
      <c r="A1054" s="6">
        <v>1053</v>
      </c>
      <c r="B1054" s="8" t="s">
        <v>9608</v>
      </c>
      <c r="C1054" s="8" t="s">
        <v>9612</v>
      </c>
      <c r="D1054" s="8" t="s">
        <v>9610</v>
      </c>
      <c r="E1054" s="8" t="s">
        <v>2358</v>
      </c>
      <c r="F1054" s="8" t="s">
        <v>9613</v>
      </c>
    </row>
    <row r="1055" customHeight="1" spans="1:6">
      <c r="A1055" s="6">
        <v>1054</v>
      </c>
      <c r="B1055" s="8" t="s">
        <v>9608</v>
      </c>
      <c r="C1055" s="8" t="s">
        <v>9612</v>
      </c>
      <c r="D1055" s="8" t="s">
        <v>9610</v>
      </c>
      <c r="E1055" s="8" t="s">
        <v>2358</v>
      </c>
      <c r="F1055" s="8" t="s">
        <v>9613</v>
      </c>
    </row>
    <row r="1056" customHeight="1" spans="1:6">
      <c r="A1056" s="6">
        <v>1055</v>
      </c>
      <c r="B1056" s="8" t="s">
        <v>9608</v>
      </c>
      <c r="C1056" s="8" t="s">
        <v>9612</v>
      </c>
      <c r="D1056" s="8" t="s">
        <v>9610</v>
      </c>
      <c r="E1056" s="8" t="s">
        <v>2358</v>
      </c>
      <c r="F1056" s="8" t="s">
        <v>9613</v>
      </c>
    </row>
    <row r="1057" customHeight="1" spans="1:6">
      <c r="A1057" s="6">
        <v>1056</v>
      </c>
      <c r="B1057" s="8" t="s">
        <v>9614</v>
      </c>
      <c r="C1057" s="8" t="s">
        <v>9615</v>
      </c>
      <c r="D1057" s="8" t="s">
        <v>9616</v>
      </c>
      <c r="E1057" s="8" t="s">
        <v>5127</v>
      </c>
      <c r="F1057" s="8" t="s">
        <v>9617</v>
      </c>
    </row>
    <row r="1058" customHeight="1" spans="1:6">
      <c r="A1058" s="6">
        <v>1057</v>
      </c>
      <c r="B1058" s="8" t="s">
        <v>9614</v>
      </c>
      <c r="C1058" s="8" t="s">
        <v>9615</v>
      </c>
      <c r="D1058" s="8" t="s">
        <v>9616</v>
      </c>
      <c r="E1058" s="8" t="s">
        <v>5127</v>
      </c>
      <c r="F1058" s="8" t="s">
        <v>9617</v>
      </c>
    </row>
    <row r="1059" customHeight="1" spans="1:6">
      <c r="A1059" s="6">
        <v>1058</v>
      </c>
      <c r="B1059" s="8" t="s">
        <v>9614</v>
      </c>
      <c r="C1059" s="8" t="s">
        <v>9615</v>
      </c>
      <c r="D1059" s="8" t="s">
        <v>9616</v>
      </c>
      <c r="E1059" s="8" t="s">
        <v>5127</v>
      </c>
      <c r="F1059" s="8" t="s">
        <v>9617</v>
      </c>
    </row>
    <row r="1060" customHeight="1" spans="1:6">
      <c r="A1060" s="6">
        <v>1059</v>
      </c>
      <c r="B1060" s="8" t="s">
        <v>9618</v>
      </c>
      <c r="C1060" s="8" t="s">
        <v>9619</v>
      </c>
      <c r="D1060" s="8" t="s">
        <v>5390</v>
      </c>
      <c r="E1060" s="8" t="s">
        <v>2230</v>
      </c>
      <c r="F1060" s="8" t="s">
        <v>9620</v>
      </c>
    </row>
    <row r="1061" customHeight="1" spans="1:6">
      <c r="A1061" s="6">
        <v>1060</v>
      </c>
      <c r="B1061" s="8" t="s">
        <v>9618</v>
      </c>
      <c r="C1061" s="8" t="s">
        <v>9619</v>
      </c>
      <c r="D1061" s="8" t="s">
        <v>5390</v>
      </c>
      <c r="E1061" s="8" t="s">
        <v>2230</v>
      </c>
      <c r="F1061" s="8" t="s">
        <v>9620</v>
      </c>
    </row>
    <row r="1062" customHeight="1" spans="1:6">
      <c r="A1062" s="6">
        <v>1061</v>
      </c>
      <c r="B1062" s="8" t="s">
        <v>9618</v>
      </c>
      <c r="C1062" s="8" t="s">
        <v>9619</v>
      </c>
      <c r="D1062" s="8" t="s">
        <v>5390</v>
      </c>
      <c r="E1062" s="8" t="s">
        <v>2230</v>
      </c>
      <c r="F1062" s="8" t="s">
        <v>9620</v>
      </c>
    </row>
    <row r="1063" customHeight="1" spans="1:6">
      <c r="A1063" s="6">
        <v>1062</v>
      </c>
      <c r="B1063" s="8" t="s">
        <v>9621</v>
      </c>
      <c r="C1063" s="8" t="s">
        <v>9622</v>
      </c>
      <c r="D1063" s="8" t="s">
        <v>9623</v>
      </c>
      <c r="E1063" s="8" t="s">
        <v>23</v>
      </c>
      <c r="F1063" s="8" t="s">
        <v>9624</v>
      </c>
    </row>
    <row r="1064" customHeight="1" spans="1:6">
      <c r="A1064" s="6">
        <v>1063</v>
      </c>
      <c r="B1064" s="8" t="s">
        <v>9621</v>
      </c>
      <c r="C1064" s="8" t="s">
        <v>9622</v>
      </c>
      <c r="D1064" s="8" t="s">
        <v>9623</v>
      </c>
      <c r="E1064" s="8" t="s">
        <v>23</v>
      </c>
      <c r="F1064" s="8" t="s">
        <v>9624</v>
      </c>
    </row>
    <row r="1065" customHeight="1" spans="1:6">
      <c r="A1065" s="6">
        <v>1064</v>
      </c>
      <c r="B1065" s="8" t="s">
        <v>9621</v>
      </c>
      <c r="C1065" s="8" t="s">
        <v>9622</v>
      </c>
      <c r="D1065" s="8" t="s">
        <v>9623</v>
      </c>
      <c r="E1065" s="8" t="s">
        <v>23</v>
      </c>
      <c r="F1065" s="8" t="s">
        <v>9624</v>
      </c>
    </row>
    <row r="1066" customHeight="1" spans="1:6">
      <c r="A1066" s="6">
        <v>1065</v>
      </c>
      <c r="B1066" s="8" t="s">
        <v>9625</v>
      </c>
      <c r="C1066" s="8" t="s">
        <v>9626</v>
      </c>
      <c r="D1066" s="8" t="s">
        <v>9627</v>
      </c>
      <c r="E1066" s="8" t="s">
        <v>5127</v>
      </c>
      <c r="F1066" s="8" t="s">
        <v>9628</v>
      </c>
    </row>
    <row r="1067" customHeight="1" spans="1:6">
      <c r="A1067" s="6">
        <v>1066</v>
      </c>
      <c r="B1067" s="8" t="s">
        <v>9625</v>
      </c>
      <c r="C1067" s="8" t="s">
        <v>9626</v>
      </c>
      <c r="D1067" s="8" t="s">
        <v>9627</v>
      </c>
      <c r="E1067" s="8" t="s">
        <v>5127</v>
      </c>
      <c r="F1067" s="8" t="s">
        <v>9628</v>
      </c>
    </row>
    <row r="1068" customHeight="1" spans="1:6">
      <c r="A1068" s="6">
        <v>1067</v>
      </c>
      <c r="B1068" s="8" t="s">
        <v>9625</v>
      </c>
      <c r="C1068" s="8" t="s">
        <v>9626</v>
      </c>
      <c r="D1068" s="8" t="s">
        <v>9627</v>
      </c>
      <c r="E1068" s="8" t="s">
        <v>5127</v>
      </c>
      <c r="F1068" s="8" t="s">
        <v>9628</v>
      </c>
    </row>
    <row r="1069" customHeight="1" spans="1:6">
      <c r="A1069" s="6">
        <v>1068</v>
      </c>
      <c r="B1069" s="8" t="s">
        <v>9629</v>
      </c>
      <c r="C1069" s="8" t="s">
        <v>9630</v>
      </c>
      <c r="D1069" s="8" t="s">
        <v>9627</v>
      </c>
      <c r="E1069" s="8" t="s">
        <v>5127</v>
      </c>
      <c r="F1069" s="8" t="s">
        <v>9631</v>
      </c>
    </row>
    <row r="1070" customHeight="1" spans="1:6">
      <c r="A1070" s="6">
        <v>1069</v>
      </c>
      <c r="B1070" s="8" t="s">
        <v>9629</v>
      </c>
      <c r="C1070" s="8" t="s">
        <v>9630</v>
      </c>
      <c r="D1070" s="8" t="s">
        <v>9627</v>
      </c>
      <c r="E1070" s="8" t="s">
        <v>5127</v>
      </c>
      <c r="F1070" s="8" t="s">
        <v>9631</v>
      </c>
    </row>
    <row r="1071" customHeight="1" spans="1:6">
      <c r="A1071" s="6">
        <v>1070</v>
      </c>
      <c r="B1071" s="8" t="s">
        <v>9629</v>
      </c>
      <c r="C1071" s="8" t="s">
        <v>9630</v>
      </c>
      <c r="D1071" s="8" t="s">
        <v>9627</v>
      </c>
      <c r="E1071" s="8" t="s">
        <v>5127</v>
      </c>
      <c r="F1071" s="8" t="s">
        <v>9631</v>
      </c>
    </row>
    <row r="1072" customHeight="1" spans="1:6">
      <c r="A1072" s="6">
        <v>1071</v>
      </c>
      <c r="B1072" s="8" t="s">
        <v>9632</v>
      </c>
      <c r="C1072" s="8" t="s">
        <v>9633</v>
      </c>
      <c r="D1072" s="8" t="s">
        <v>8810</v>
      </c>
      <c r="E1072" s="8" t="s">
        <v>5127</v>
      </c>
      <c r="F1072" s="8" t="s">
        <v>9634</v>
      </c>
    </row>
    <row r="1073" customHeight="1" spans="1:6">
      <c r="A1073" s="6">
        <v>1072</v>
      </c>
      <c r="B1073" s="8" t="s">
        <v>9632</v>
      </c>
      <c r="C1073" s="8" t="s">
        <v>9633</v>
      </c>
      <c r="D1073" s="8" t="s">
        <v>8810</v>
      </c>
      <c r="E1073" s="8" t="s">
        <v>5127</v>
      </c>
      <c r="F1073" s="8" t="s">
        <v>9634</v>
      </c>
    </row>
    <row r="1074" customHeight="1" spans="1:6">
      <c r="A1074" s="6">
        <v>1073</v>
      </c>
      <c r="B1074" s="8" t="s">
        <v>9632</v>
      </c>
      <c r="C1074" s="8" t="s">
        <v>9633</v>
      </c>
      <c r="D1074" s="8" t="s">
        <v>8810</v>
      </c>
      <c r="E1074" s="8" t="s">
        <v>5127</v>
      </c>
      <c r="F1074" s="8" t="s">
        <v>9634</v>
      </c>
    </row>
    <row r="1075" customHeight="1" spans="1:6">
      <c r="A1075" s="6">
        <v>1074</v>
      </c>
      <c r="B1075" s="8" t="s">
        <v>9635</v>
      </c>
      <c r="C1075" s="8" t="s">
        <v>9636</v>
      </c>
      <c r="D1075" s="8" t="s">
        <v>9637</v>
      </c>
      <c r="E1075" s="8" t="s">
        <v>283</v>
      </c>
      <c r="F1075" s="8" t="s">
        <v>9638</v>
      </c>
    </row>
    <row r="1076" customHeight="1" spans="1:6">
      <c r="A1076" s="6">
        <v>1075</v>
      </c>
      <c r="B1076" s="8" t="s">
        <v>9635</v>
      </c>
      <c r="C1076" s="8" t="s">
        <v>9636</v>
      </c>
      <c r="D1076" s="8" t="s">
        <v>9637</v>
      </c>
      <c r="E1076" s="8" t="s">
        <v>283</v>
      </c>
      <c r="F1076" s="8" t="s">
        <v>9638</v>
      </c>
    </row>
    <row r="1077" customHeight="1" spans="1:6">
      <c r="A1077" s="6">
        <v>1076</v>
      </c>
      <c r="B1077" s="8" t="s">
        <v>9635</v>
      </c>
      <c r="C1077" s="8" t="s">
        <v>9636</v>
      </c>
      <c r="D1077" s="8" t="s">
        <v>9637</v>
      </c>
      <c r="E1077" s="8" t="s">
        <v>283</v>
      </c>
      <c r="F1077" s="8" t="s">
        <v>9638</v>
      </c>
    </row>
    <row r="1078" customHeight="1" spans="1:6">
      <c r="A1078" s="6">
        <v>1077</v>
      </c>
      <c r="B1078" s="8" t="s">
        <v>9639</v>
      </c>
      <c r="C1078" s="8" t="s">
        <v>9640</v>
      </c>
      <c r="D1078" s="8" t="s">
        <v>9641</v>
      </c>
      <c r="E1078" s="8" t="s">
        <v>443</v>
      </c>
      <c r="F1078" s="8" t="s">
        <v>9642</v>
      </c>
    </row>
    <row r="1079" customHeight="1" spans="1:6">
      <c r="A1079" s="6">
        <v>1078</v>
      </c>
      <c r="B1079" s="8" t="s">
        <v>9639</v>
      </c>
      <c r="C1079" s="8" t="s">
        <v>9640</v>
      </c>
      <c r="D1079" s="8" t="s">
        <v>9641</v>
      </c>
      <c r="E1079" s="8" t="s">
        <v>443</v>
      </c>
      <c r="F1079" s="8" t="s">
        <v>9642</v>
      </c>
    </row>
    <row r="1080" customHeight="1" spans="1:6">
      <c r="A1080" s="6">
        <v>1079</v>
      </c>
      <c r="B1080" s="8" t="s">
        <v>9639</v>
      </c>
      <c r="C1080" s="8" t="s">
        <v>9640</v>
      </c>
      <c r="D1080" s="8" t="s">
        <v>9641</v>
      </c>
      <c r="E1080" s="8" t="s">
        <v>443</v>
      </c>
      <c r="F1080" s="8" t="s">
        <v>9642</v>
      </c>
    </row>
    <row r="1081" customHeight="1" spans="1:6">
      <c r="A1081" s="6">
        <v>1080</v>
      </c>
      <c r="B1081" s="8" t="s">
        <v>9643</v>
      </c>
      <c r="C1081" s="8" t="s">
        <v>9644</v>
      </c>
      <c r="D1081" s="8" t="s">
        <v>9645</v>
      </c>
      <c r="E1081" s="8" t="s">
        <v>38</v>
      </c>
      <c r="F1081" s="8" t="s">
        <v>9646</v>
      </c>
    </row>
    <row r="1082" customHeight="1" spans="1:6">
      <c r="A1082" s="6">
        <v>1081</v>
      </c>
      <c r="B1082" s="8" t="s">
        <v>9643</v>
      </c>
      <c r="C1082" s="8" t="s">
        <v>9644</v>
      </c>
      <c r="D1082" s="8" t="s">
        <v>9645</v>
      </c>
      <c r="E1082" s="8" t="s">
        <v>38</v>
      </c>
      <c r="F1082" s="8" t="s">
        <v>9646</v>
      </c>
    </row>
    <row r="1083" customHeight="1" spans="1:6">
      <c r="A1083" s="6">
        <v>1082</v>
      </c>
      <c r="B1083" s="8" t="s">
        <v>9643</v>
      </c>
      <c r="C1083" s="8" t="s">
        <v>9647</v>
      </c>
      <c r="D1083" s="8" t="s">
        <v>9645</v>
      </c>
      <c r="E1083" s="8" t="s">
        <v>38</v>
      </c>
      <c r="F1083" s="8" t="s">
        <v>9648</v>
      </c>
    </row>
    <row r="1084" customHeight="1" spans="1:6">
      <c r="A1084" s="6">
        <v>1083</v>
      </c>
      <c r="B1084" s="8" t="s">
        <v>9643</v>
      </c>
      <c r="C1084" s="8" t="s">
        <v>9647</v>
      </c>
      <c r="D1084" s="8" t="s">
        <v>9645</v>
      </c>
      <c r="E1084" s="8" t="s">
        <v>38</v>
      </c>
      <c r="F1084" s="8" t="s">
        <v>9648</v>
      </c>
    </row>
    <row r="1085" customHeight="1" spans="1:6">
      <c r="A1085" s="6">
        <v>1084</v>
      </c>
      <c r="B1085" s="8" t="s">
        <v>9643</v>
      </c>
      <c r="C1085" s="8" t="s">
        <v>9649</v>
      </c>
      <c r="D1085" s="8" t="s">
        <v>9645</v>
      </c>
      <c r="E1085" s="8" t="s">
        <v>38</v>
      </c>
      <c r="F1085" s="8" t="s">
        <v>9650</v>
      </c>
    </row>
    <row r="1086" customHeight="1" spans="1:6">
      <c r="A1086" s="6">
        <v>1085</v>
      </c>
      <c r="B1086" s="8" t="s">
        <v>9643</v>
      </c>
      <c r="C1086" s="8" t="s">
        <v>9649</v>
      </c>
      <c r="D1086" s="8" t="s">
        <v>9645</v>
      </c>
      <c r="E1086" s="8" t="s">
        <v>38</v>
      </c>
      <c r="F1086" s="8" t="s">
        <v>9650</v>
      </c>
    </row>
    <row r="1087" customHeight="1" spans="1:6">
      <c r="A1087" s="6">
        <v>1086</v>
      </c>
      <c r="B1087" s="8" t="s">
        <v>9651</v>
      </c>
      <c r="C1087" s="8" t="s">
        <v>9652</v>
      </c>
      <c r="D1087" s="8" t="s">
        <v>9653</v>
      </c>
      <c r="E1087" s="8" t="s">
        <v>810</v>
      </c>
      <c r="F1087" s="8" t="s">
        <v>9654</v>
      </c>
    </row>
    <row r="1088" customHeight="1" spans="1:6">
      <c r="A1088" s="6">
        <v>1087</v>
      </c>
      <c r="B1088" s="8" t="s">
        <v>9651</v>
      </c>
      <c r="C1088" s="8" t="s">
        <v>9652</v>
      </c>
      <c r="D1088" s="8" t="s">
        <v>9653</v>
      </c>
      <c r="E1088" s="8" t="s">
        <v>810</v>
      </c>
      <c r="F1088" s="8" t="s">
        <v>9654</v>
      </c>
    </row>
    <row r="1089" customHeight="1" spans="1:6">
      <c r="A1089" s="6">
        <v>1088</v>
      </c>
      <c r="B1089" s="8" t="s">
        <v>9651</v>
      </c>
      <c r="C1089" s="8" t="s">
        <v>9655</v>
      </c>
      <c r="D1089" s="8" t="s">
        <v>9653</v>
      </c>
      <c r="E1089" s="8" t="s">
        <v>810</v>
      </c>
      <c r="F1089" s="8" t="s">
        <v>9656</v>
      </c>
    </row>
    <row r="1090" customHeight="1" spans="1:6">
      <c r="A1090" s="6">
        <v>1089</v>
      </c>
      <c r="B1090" s="8" t="s">
        <v>9651</v>
      </c>
      <c r="C1090" s="8" t="s">
        <v>9655</v>
      </c>
      <c r="D1090" s="8" t="s">
        <v>9653</v>
      </c>
      <c r="E1090" s="8" t="s">
        <v>810</v>
      </c>
      <c r="F1090" s="8" t="s">
        <v>9656</v>
      </c>
    </row>
    <row r="1091" customHeight="1" spans="1:6">
      <c r="A1091" s="6">
        <v>1090</v>
      </c>
      <c r="B1091" s="8" t="s">
        <v>9657</v>
      </c>
      <c r="C1091" s="8" t="s">
        <v>9658</v>
      </c>
      <c r="D1091" s="8" t="s">
        <v>9659</v>
      </c>
      <c r="E1091" s="8" t="s">
        <v>665</v>
      </c>
      <c r="F1091" s="8" t="s">
        <v>9660</v>
      </c>
    </row>
    <row r="1092" customHeight="1" spans="1:6">
      <c r="A1092" s="6">
        <v>1091</v>
      </c>
      <c r="B1092" s="8" t="s">
        <v>9657</v>
      </c>
      <c r="C1092" s="8" t="s">
        <v>9658</v>
      </c>
      <c r="D1092" s="8" t="s">
        <v>9659</v>
      </c>
      <c r="E1092" s="8" t="s">
        <v>665</v>
      </c>
      <c r="F1092" s="8" t="s">
        <v>9660</v>
      </c>
    </row>
    <row r="1093" customHeight="1" spans="1:6">
      <c r="A1093" s="6">
        <v>1092</v>
      </c>
      <c r="B1093" s="8" t="s">
        <v>9661</v>
      </c>
      <c r="C1093" s="8" t="s">
        <v>9662</v>
      </c>
      <c r="D1093" s="8" t="s">
        <v>9663</v>
      </c>
      <c r="E1093" s="8" t="s">
        <v>2135</v>
      </c>
      <c r="F1093" s="8" t="s">
        <v>9664</v>
      </c>
    </row>
    <row r="1094" customHeight="1" spans="1:6">
      <c r="A1094" s="6">
        <v>1093</v>
      </c>
      <c r="B1094" s="8" t="s">
        <v>9661</v>
      </c>
      <c r="C1094" s="8" t="s">
        <v>9662</v>
      </c>
      <c r="D1094" s="8" t="s">
        <v>9663</v>
      </c>
      <c r="E1094" s="8" t="s">
        <v>2135</v>
      </c>
      <c r="F1094" s="8" t="s">
        <v>9664</v>
      </c>
    </row>
    <row r="1095" customHeight="1" spans="1:6">
      <c r="A1095" s="6">
        <v>1094</v>
      </c>
      <c r="B1095" s="8" t="s">
        <v>9665</v>
      </c>
      <c r="C1095" s="8" t="s">
        <v>9666</v>
      </c>
      <c r="D1095" s="8" t="s">
        <v>9667</v>
      </c>
      <c r="E1095" s="8" t="s">
        <v>8002</v>
      </c>
      <c r="F1095" s="8" t="s">
        <v>9668</v>
      </c>
    </row>
    <row r="1096" customHeight="1" spans="1:6">
      <c r="A1096" s="6">
        <v>1095</v>
      </c>
      <c r="B1096" s="8" t="s">
        <v>9665</v>
      </c>
      <c r="C1096" s="8" t="s">
        <v>9666</v>
      </c>
      <c r="D1096" s="8" t="s">
        <v>9667</v>
      </c>
      <c r="E1096" s="8" t="s">
        <v>8002</v>
      </c>
      <c r="F1096" s="8" t="s">
        <v>9668</v>
      </c>
    </row>
    <row r="1097" customHeight="1" spans="1:6">
      <c r="A1097" s="6">
        <v>1096</v>
      </c>
      <c r="B1097" s="8" t="s">
        <v>9665</v>
      </c>
      <c r="C1097" s="8" t="s">
        <v>9666</v>
      </c>
      <c r="D1097" s="8" t="s">
        <v>9667</v>
      </c>
      <c r="E1097" s="8" t="s">
        <v>8002</v>
      </c>
      <c r="F1097" s="8" t="s">
        <v>9668</v>
      </c>
    </row>
    <row r="1098" customHeight="1" spans="1:6">
      <c r="A1098" s="6">
        <v>1097</v>
      </c>
      <c r="B1098" s="7" t="str">
        <f t="shared" ref="B1098:B1100" si="45">"978-7-5159-1262-2"</f>
        <v>978-7-5159-1262-2</v>
      </c>
      <c r="C1098" s="7" t="str">
        <f t="shared" ref="C1098:C1100" si="46">"法语晨读美文：每天读一点法文"</f>
        <v>法语晨读美文：每天读一点法文</v>
      </c>
      <c r="D1098" s="7" t="str">
        <f t="shared" ref="D1098:D1100" si="47">"尹伟编著"</f>
        <v>尹伟编著</v>
      </c>
      <c r="E1098" s="7" t="str">
        <f t="shared" ref="E1098:E1100" si="48">"中国宇航出版社"</f>
        <v>中国宇航出版社</v>
      </c>
      <c r="F1098" s="7" t="str">
        <f t="shared" ref="F1098:F1100" si="49">"H329.4/48"</f>
        <v>H329.4/48</v>
      </c>
    </row>
    <row r="1099" customHeight="1" spans="1:6">
      <c r="A1099" s="6">
        <v>1098</v>
      </c>
      <c r="B1099" s="7" t="str">
        <f t="shared" si="45"/>
        <v>978-7-5159-1262-2</v>
      </c>
      <c r="C1099" s="7" t="str">
        <f t="shared" si="46"/>
        <v>法语晨读美文：每天读一点法文</v>
      </c>
      <c r="D1099" s="7" t="str">
        <f t="shared" si="47"/>
        <v>尹伟编著</v>
      </c>
      <c r="E1099" s="7" t="str">
        <f t="shared" si="48"/>
        <v>中国宇航出版社</v>
      </c>
      <c r="F1099" s="7" t="str">
        <f t="shared" si="49"/>
        <v>H329.4/48</v>
      </c>
    </row>
    <row r="1100" customHeight="1" spans="1:6">
      <c r="A1100" s="6">
        <v>1099</v>
      </c>
      <c r="B1100" s="7" t="str">
        <f t="shared" si="45"/>
        <v>978-7-5159-1262-2</v>
      </c>
      <c r="C1100" s="7" t="str">
        <f t="shared" si="46"/>
        <v>法语晨读美文：每天读一点法文</v>
      </c>
      <c r="D1100" s="7" t="str">
        <f t="shared" si="47"/>
        <v>尹伟编著</v>
      </c>
      <c r="E1100" s="7" t="str">
        <f t="shared" si="48"/>
        <v>中国宇航出版社</v>
      </c>
      <c r="F1100" s="7" t="str">
        <f t="shared" si="49"/>
        <v>H329.4/48</v>
      </c>
    </row>
    <row r="1101" customHeight="1" spans="1:6">
      <c r="A1101" s="6">
        <v>1100</v>
      </c>
      <c r="B1101" s="7" t="str">
        <f>"978-7-5213-2848-6"</f>
        <v>978-7-5213-2848-6</v>
      </c>
      <c r="C1101" s="7" t="str">
        <f>"Parler de la culture chinoise en francais"</f>
        <v>Parler de la culture chinoise en francais</v>
      </c>
      <c r="D1101" s="7" t="str">
        <f>"编著张敏 ... [等]"</f>
        <v>编著张敏 ... [等]</v>
      </c>
      <c r="E1101" s="7" t="str">
        <f>"外语教学与研究出版社"</f>
        <v>外语教学与研究出版社</v>
      </c>
      <c r="F1101" s="7" t="str">
        <f>"H329.4:K/6"</f>
        <v>H329.4:K/6</v>
      </c>
    </row>
    <row r="1102" customHeight="1" spans="1:6">
      <c r="A1102" s="6">
        <v>1101</v>
      </c>
      <c r="B1102" s="7" t="str">
        <f>"978-7-5213-2848-6"</f>
        <v>978-7-5213-2848-6</v>
      </c>
      <c r="C1102" s="7" t="str">
        <f>"Parler de la culture chinoise en francais"</f>
        <v>Parler de la culture chinoise en francais</v>
      </c>
      <c r="D1102" s="7" t="str">
        <f>"编著张敏 ... [等]"</f>
        <v>编著张敏 ... [等]</v>
      </c>
      <c r="E1102" s="7" t="str">
        <f>"外语教学与研究出版社"</f>
        <v>外语教学与研究出版社</v>
      </c>
      <c r="F1102" s="7" t="str">
        <f>"H329.4:K/6"</f>
        <v>H329.4:K/6</v>
      </c>
    </row>
    <row r="1103" customHeight="1" spans="1:6">
      <c r="A1103" s="6">
        <v>1102</v>
      </c>
      <c r="B1103" s="7" t="str">
        <f t="shared" ref="B1103:B1105" si="50">"978-7-5159-1868-6"</f>
        <v>978-7-5159-1868-6</v>
      </c>
      <c r="C1103" s="7" t="str">
        <f t="shared" ref="C1103:C1105" si="51">"思维导图超好用法语口语书"</f>
        <v>思维导图超好用法语口语书</v>
      </c>
      <c r="D1103" s="7" t="str">
        <f t="shared" ref="D1103:D1105" si="52">"李芮编著"</f>
        <v>李芮编著</v>
      </c>
      <c r="E1103" s="7" t="str">
        <f t="shared" ref="E1103:E1105" si="53">"中国宇航出版社"</f>
        <v>中国宇航出版社</v>
      </c>
      <c r="F1103" s="7" t="str">
        <f t="shared" ref="F1103:F1105" si="54">"H329.9/68"</f>
        <v>H329.9/68</v>
      </c>
    </row>
    <row r="1104" customHeight="1" spans="1:6">
      <c r="A1104" s="6">
        <v>1103</v>
      </c>
      <c r="B1104" s="7" t="str">
        <f t="shared" si="50"/>
        <v>978-7-5159-1868-6</v>
      </c>
      <c r="C1104" s="7" t="str">
        <f t="shared" si="51"/>
        <v>思维导图超好用法语口语书</v>
      </c>
      <c r="D1104" s="7" t="str">
        <f t="shared" si="52"/>
        <v>李芮编著</v>
      </c>
      <c r="E1104" s="7" t="str">
        <f t="shared" si="53"/>
        <v>中国宇航出版社</v>
      </c>
      <c r="F1104" s="7" t="str">
        <f t="shared" si="54"/>
        <v>H329.9/68</v>
      </c>
    </row>
    <row r="1105" customHeight="1" spans="1:6">
      <c r="A1105" s="6">
        <v>1104</v>
      </c>
      <c r="B1105" s="7" t="str">
        <f t="shared" si="50"/>
        <v>978-7-5159-1868-6</v>
      </c>
      <c r="C1105" s="7" t="str">
        <f t="shared" si="51"/>
        <v>思维导图超好用法语口语书</v>
      </c>
      <c r="D1105" s="7" t="str">
        <f t="shared" si="52"/>
        <v>李芮编著</v>
      </c>
      <c r="E1105" s="7" t="str">
        <f t="shared" si="53"/>
        <v>中国宇航出版社</v>
      </c>
      <c r="F1105" s="7" t="str">
        <f t="shared" si="54"/>
        <v>H329.9/68</v>
      </c>
    </row>
    <row r="1106" customHeight="1" spans="1:6">
      <c r="A1106" s="6">
        <v>1105</v>
      </c>
      <c r="B1106" s="8" t="s">
        <v>9669</v>
      </c>
      <c r="C1106" s="8" t="s">
        <v>9670</v>
      </c>
      <c r="D1106" s="8" t="s">
        <v>9671</v>
      </c>
      <c r="E1106" s="8" t="s">
        <v>1306</v>
      </c>
      <c r="F1106" s="8" t="s">
        <v>9672</v>
      </c>
    </row>
    <row r="1107" customHeight="1" spans="1:6">
      <c r="A1107" s="6">
        <v>1106</v>
      </c>
      <c r="B1107" s="8" t="s">
        <v>9669</v>
      </c>
      <c r="C1107" s="8" t="s">
        <v>9670</v>
      </c>
      <c r="D1107" s="8" t="s">
        <v>9671</v>
      </c>
      <c r="E1107" s="8" t="s">
        <v>1306</v>
      </c>
      <c r="F1107" s="8" t="s">
        <v>9672</v>
      </c>
    </row>
    <row r="1108" customHeight="1" spans="1:6">
      <c r="A1108" s="6">
        <v>1107</v>
      </c>
      <c r="B1108" s="8" t="s">
        <v>9669</v>
      </c>
      <c r="C1108" s="8" t="s">
        <v>9670</v>
      </c>
      <c r="D1108" s="8" t="s">
        <v>9671</v>
      </c>
      <c r="E1108" s="8" t="s">
        <v>1306</v>
      </c>
      <c r="F1108" s="8" t="s">
        <v>9672</v>
      </c>
    </row>
    <row r="1109" customHeight="1" spans="1:6">
      <c r="A1109" s="6">
        <v>1108</v>
      </c>
      <c r="B1109" s="8" t="s">
        <v>9669</v>
      </c>
      <c r="C1109" s="8" t="s">
        <v>9673</v>
      </c>
      <c r="D1109" s="8" t="s">
        <v>9671</v>
      </c>
      <c r="E1109" s="8" t="s">
        <v>1306</v>
      </c>
      <c r="F1109" s="8" t="s">
        <v>9674</v>
      </c>
    </row>
    <row r="1110" customHeight="1" spans="1:6">
      <c r="A1110" s="6">
        <v>1109</v>
      </c>
      <c r="B1110" s="8" t="s">
        <v>9669</v>
      </c>
      <c r="C1110" s="8" t="s">
        <v>9673</v>
      </c>
      <c r="D1110" s="8" t="s">
        <v>9671</v>
      </c>
      <c r="E1110" s="8" t="s">
        <v>1306</v>
      </c>
      <c r="F1110" s="8" t="s">
        <v>9674</v>
      </c>
    </row>
    <row r="1111" customHeight="1" spans="1:6">
      <c r="A1111" s="6">
        <v>1110</v>
      </c>
      <c r="B1111" s="8" t="s">
        <v>9669</v>
      </c>
      <c r="C1111" s="8" t="s">
        <v>9673</v>
      </c>
      <c r="D1111" s="8" t="s">
        <v>9671</v>
      </c>
      <c r="E1111" s="8" t="s">
        <v>1306</v>
      </c>
      <c r="F1111" s="8" t="s">
        <v>9674</v>
      </c>
    </row>
    <row r="1112" customHeight="1" spans="1:6">
      <c r="A1112" s="6">
        <v>1111</v>
      </c>
      <c r="B1112" s="8" t="s">
        <v>9675</v>
      </c>
      <c r="C1112" s="8" t="s">
        <v>9676</v>
      </c>
      <c r="D1112" s="8" t="s">
        <v>9677</v>
      </c>
      <c r="E1112" s="8" t="s">
        <v>8931</v>
      </c>
      <c r="F1112" s="8" t="s">
        <v>9678</v>
      </c>
    </row>
    <row r="1113" customHeight="1" spans="1:6">
      <c r="A1113" s="6">
        <v>1112</v>
      </c>
      <c r="B1113" s="8" t="s">
        <v>9675</v>
      </c>
      <c r="C1113" s="8" t="s">
        <v>9676</v>
      </c>
      <c r="D1113" s="8" t="s">
        <v>9677</v>
      </c>
      <c r="E1113" s="8" t="s">
        <v>8931</v>
      </c>
      <c r="F1113" s="8" t="s">
        <v>9678</v>
      </c>
    </row>
    <row r="1114" customHeight="1" spans="1:6">
      <c r="A1114" s="6">
        <v>1113</v>
      </c>
      <c r="B1114" s="8" t="s">
        <v>9679</v>
      </c>
      <c r="C1114" s="8" t="s">
        <v>9680</v>
      </c>
      <c r="D1114" s="8" t="s">
        <v>9681</v>
      </c>
      <c r="E1114" s="8" t="s">
        <v>43</v>
      </c>
      <c r="F1114" s="8" t="s">
        <v>9682</v>
      </c>
    </row>
    <row r="1115" customHeight="1" spans="1:6">
      <c r="A1115" s="6">
        <v>1114</v>
      </c>
      <c r="B1115" s="8" t="s">
        <v>9679</v>
      </c>
      <c r="C1115" s="8" t="s">
        <v>9680</v>
      </c>
      <c r="D1115" s="8" t="s">
        <v>9681</v>
      </c>
      <c r="E1115" s="8" t="s">
        <v>43</v>
      </c>
      <c r="F1115" s="8" t="s">
        <v>9682</v>
      </c>
    </row>
    <row r="1116" customHeight="1" spans="1:6">
      <c r="A1116" s="6">
        <v>1115</v>
      </c>
      <c r="B1116" s="8" t="s">
        <v>9683</v>
      </c>
      <c r="C1116" s="8" t="s">
        <v>9684</v>
      </c>
      <c r="D1116" s="8" t="s">
        <v>9685</v>
      </c>
      <c r="E1116" s="8" t="s">
        <v>5127</v>
      </c>
      <c r="F1116" s="8" t="s">
        <v>9686</v>
      </c>
    </row>
    <row r="1117" customHeight="1" spans="1:6">
      <c r="A1117" s="6">
        <v>1116</v>
      </c>
      <c r="B1117" s="8" t="s">
        <v>9683</v>
      </c>
      <c r="C1117" s="8" t="s">
        <v>9684</v>
      </c>
      <c r="D1117" s="8" t="s">
        <v>9685</v>
      </c>
      <c r="E1117" s="8" t="s">
        <v>5127</v>
      </c>
      <c r="F1117" s="8" t="s">
        <v>9686</v>
      </c>
    </row>
    <row r="1118" customHeight="1" spans="1:6">
      <c r="A1118" s="6">
        <v>1117</v>
      </c>
      <c r="B1118" s="8" t="s">
        <v>9683</v>
      </c>
      <c r="C1118" s="8" t="s">
        <v>9684</v>
      </c>
      <c r="D1118" s="8" t="s">
        <v>9685</v>
      </c>
      <c r="E1118" s="8" t="s">
        <v>5127</v>
      </c>
      <c r="F1118" s="8" t="s">
        <v>9686</v>
      </c>
    </row>
    <row r="1119" customHeight="1" spans="1:6">
      <c r="A1119" s="6">
        <v>1118</v>
      </c>
      <c r="B1119" s="8" t="s">
        <v>9687</v>
      </c>
      <c r="C1119" s="8" t="s">
        <v>9688</v>
      </c>
      <c r="D1119" s="8" t="s">
        <v>9685</v>
      </c>
      <c r="E1119" s="8" t="s">
        <v>5127</v>
      </c>
      <c r="F1119" s="8" t="s">
        <v>9689</v>
      </c>
    </row>
    <row r="1120" customHeight="1" spans="1:6">
      <c r="A1120" s="6">
        <v>1119</v>
      </c>
      <c r="B1120" s="8" t="s">
        <v>9687</v>
      </c>
      <c r="C1120" s="8" t="s">
        <v>9688</v>
      </c>
      <c r="D1120" s="8" t="s">
        <v>9685</v>
      </c>
      <c r="E1120" s="8" t="s">
        <v>5127</v>
      </c>
      <c r="F1120" s="8" t="s">
        <v>9689</v>
      </c>
    </row>
    <row r="1121" customHeight="1" spans="1:6">
      <c r="A1121" s="6">
        <v>1120</v>
      </c>
      <c r="B1121" s="8" t="s">
        <v>9687</v>
      </c>
      <c r="C1121" s="8" t="s">
        <v>9688</v>
      </c>
      <c r="D1121" s="8" t="s">
        <v>9685</v>
      </c>
      <c r="E1121" s="8" t="s">
        <v>5127</v>
      </c>
      <c r="F1121" s="8" t="s">
        <v>9689</v>
      </c>
    </row>
    <row r="1122" customHeight="1" spans="1:6">
      <c r="A1122" s="6">
        <v>1121</v>
      </c>
      <c r="B1122" s="8" t="s">
        <v>9690</v>
      </c>
      <c r="C1122" s="8" t="s">
        <v>9691</v>
      </c>
      <c r="D1122" s="8" t="s">
        <v>9692</v>
      </c>
      <c r="E1122" s="8" t="s">
        <v>2207</v>
      </c>
      <c r="F1122" s="8" t="s">
        <v>9693</v>
      </c>
    </row>
    <row r="1123" customHeight="1" spans="1:6">
      <c r="A1123" s="6">
        <v>1122</v>
      </c>
      <c r="B1123" s="8" t="s">
        <v>9690</v>
      </c>
      <c r="C1123" s="8" t="s">
        <v>9691</v>
      </c>
      <c r="D1123" s="8" t="s">
        <v>9692</v>
      </c>
      <c r="E1123" s="8" t="s">
        <v>2207</v>
      </c>
      <c r="F1123" s="8" t="s">
        <v>9693</v>
      </c>
    </row>
    <row r="1124" customHeight="1" spans="1:6">
      <c r="A1124" s="6">
        <v>1123</v>
      </c>
      <c r="B1124" s="8" t="s">
        <v>9690</v>
      </c>
      <c r="C1124" s="8" t="s">
        <v>9691</v>
      </c>
      <c r="D1124" s="8" t="s">
        <v>9692</v>
      </c>
      <c r="E1124" s="8" t="s">
        <v>2207</v>
      </c>
      <c r="F1124" s="8" t="s">
        <v>9693</v>
      </c>
    </row>
    <row r="1125" customHeight="1" spans="1:6">
      <c r="A1125" s="6">
        <v>1124</v>
      </c>
      <c r="B1125" s="8" t="s">
        <v>9694</v>
      </c>
      <c r="C1125" s="8" t="s">
        <v>9695</v>
      </c>
      <c r="D1125" s="8" t="s">
        <v>1892</v>
      </c>
      <c r="E1125" s="8" t="s">
        <v>8879</v>
      </c>
      <c r="F1125" s="8" t="s">
        <v>9696</v>
      </c>
    </row>
    <row r="1126" customHeight="1" spans="1:6">
      <c r="A1126" s="6">
        <v>1125</v>
      </c>
      <c r="B1126" s="8" t="s">
        <v>9694</v>
      </c>
      <c r="C1126" s="8" t="s">
        <v>9695</v>
      </c>
      <c r="D1126" s="8" t="s">
        <v>1892</v>
      </c>
      <c r="E1126" s="8" t="s">
        <v>8879</v>
      </c>
      <c r="F1126" s="8" t="s">
        <v>9696</v>
      </c>
    </row>
    <row r="1127" customHeight="1" spans="1:6">
      <c r="A1127" s="6">
        <v>1126</v>
      </c>
      <c r="B1127" s="8" t="s">
        <v>9694</v>
      </c>
      <c r="C1127" s="8" t="s">
        <v>9695</v>
      </c>
      <c r="D1127" s="8" t="s">
        <v>1892</v>
      </c>
      <c r="E1127" s="8" t="s">
        <v>8879</v>
      </c>
      <c r="F1127" s="8" t="s">
        <v>9696</v>
      </c>
    </row>
    <row r="1128" customHeight="1" spans="1:6">
      <c r="A1128" s="6">
        <v>1127</v>
      </c>
      <c r="B1128" s="8" t="s">
        <v>9697</v>
      </c>
      <c r="C1128" s="8" t="s">
        <v>9698</v>
      </c>
      <c r="D1128" s="8" t="s">
        <v>9699</v>
      </c>
      <c r="E1128" s="8" t="s">
        <v>239</v>
      </c>
      <c r="F1128" s="8" t="s">
        <v>9700</v>
      </c>
    </row>
    <row r="1129" customHeight="1" spans="1:6">
      <c r="A1129" s="6">
        <v>1128</v>
      </c>
      <c r="B1129" s="8" t="s">
        <v>9697</v>
      </c>
      <c r="C1129" s="8" t="s">
        <v>9698</v>
      </c>
      <c r="D1129" s="8" t="s">
        <v>9699</v>
      </c>
      <c r="E1129" s="8" t="s">
        <v>239</v>
      </c>
      <c r="F1129" s="8" t="s">
        <v>9700</v>
      </c>
    </row>
    <row r="1130" customHeight="1" spans="1:6">
      <c r="A1130" s="6">
        <v>1129</v>
      </c>
      <c r="B1130" s="8" t="s">
        <v>9701</v>
      </c>
      <c r="C1130" s="8" t="s">
        <v>9702</v>
      </c>
      <c r="D1130" s="8" t="s">
        <v>9703</v>
      </c>
      <c r="E1130" s="8" t="s">
        <v>1667</v>
      </c>
      <c r="F1130" s="8" t="s">
        <v>9704</v>
      </c>
    </row>
    <row r="1131" customHeight="1" spans="1:6">
      <c r="A1131" s="6">
        <v>1130</v>
      </c>
      <c r="B1131" s="8" t="s">
        <v>9701</v>
      </c>
      <c r="C1131" s="8" t="s">
        <v>9702</v>
      </c>
      <c r="D1131" s="8" t="s">
        <v>9703</v>
      </c>
      <c r="E1131" s="8" t="s">
        <v>1667</v>
      </c>
      <c r="F1131" s="8" t="s">
        <v>9704</v>
      </c>
    </row>
    <row r="1132" customHeight="1" spans="1:6">
      <c r="A1132" s="6">
        <v>1131</v>
      </c>
      <c r="B1132" s="8" t="s">
        <v>9705</v>
      </c>
      <c r="C1132" s="8" t="s">
        <v>9706</v>
      </c>
      <c r="D1132" s="8" t="s">
        <v>9707</v>
      </c>
      <c r="E1132" s="8" t="s">
        <v>1667</v>
      </c>
      <c r="F1132" s="8" t="s">
        <v>9708</v>
      </c>
    </row>
    <row r="1133" customHeight="1" spans="1:6">
      <c r="A1133" s="6">
        <v>1132</v>
      </c>
      <c r="B1133" s="8" t="s">
        <v>9705</v>
      </c>
      <c r="C1133" s="8" t="s">
        <v>9706</v>
      </c>
      <c r="D1133" s="8" t="s">
        <v>9707</v>
      </c>
      <c r="E1133" s="8" t="s">
        <v>1667</v>
      </c>
      <c r="F1133" s="8" t="s">
        <v>9708</v>
      </c>
    </row>
    <row r="1134" customHeight="1" spans="1:6">
      <c r="A1134" s="6">
        <v>1133</v>
      </c>
      <c r="B1134" s="8" t="s">
        <v>9705</v>
      </c>
      <c r="C1134" s="8" t="s">
        <v>9706</v>
      </c>
      <c r="D1134" s="8" t="s">
        <v>9707</v>
      </c>
      <c r="E1134" s="8" t="s">
        <v>1667</v>
      </c>
      <c r="F1134" s="8" t="s">
        <v>9708</v>
      </c>
    </row>
    <row r="1135" customHeight="1" spans="1:6">
      <c r="A1135" s="6">
        <v>1134</v>
      </c>
      <c r="B1135" s="7" t="str">
        <f>"978-7-5731-0237-9"</f>
        <v>978-7-5731-0237-9</v>
      </c>
      <c r="C1135" s="7" t="str">
        <f>"创新视角下的日语教学内容与方法研究"</f>
        <v>创新视角下的日语教学内容与方法研究</v>
      </c>
      <c r="D1135" s="7" t="str">
        <f>"王珏著"</f>
        <v>王珏著</v>
      </c>
      <c r="E1135" s="7" t="str">
        <f>"吉林出版集团股份有限公司"</f>
        <v>吉林出版集团股份有限公司</v>
      </c>
      <c r="F1135" s="7" t="str">
        <f>"H369.3/14"</f>
        <v>H369.3/14</v>
      </c>
    </row>
    <row r="1136" customHeight="1" spans="1:6">
      <c r="A1136" s="6">
        <v>1135</v>
      </c>
      <c r="B1136" s="7" t="str">
        <f>"978-7-5731-0237-9"</f>
        <v>978-7-5731-0237-9</v>
      </c>
      <c r="C1136" s="7" t="str">
        <f>"创新视角下的日语教学内容与方法研究"</f>
        <v>创新视角下的日语教学内容与方法研究</v>
      </c>
      <c r="D1136" s="7" t="str">
        <f>"王珏著"</f>
        <v>王珏著</v>
      </c>
      <c r="E1136" s="7" t="str">
        <f>"吉林出版集团股份有限公司"</f>
        <v>吉林出版集团股份有限公司</v>
      </c>
      <c r="F1136" s="7" t="str">
        <f>"H369.3/14"</f>
        <v>H369.3/14</v>
      </c>
    </row>
    <row r="1137" customHeight="1" spans="1:6">
      <c r="A1137" s="6">
        <v>1136</v>
      </c>
      <c r="B1137" s="8" t="s">
        <v>9709</v>
      </c>
      <c r="C1137" s="8" t="s">
        <v>9710</v>
      </c>
      <c r="D1137" s="8" t="s">
        <v>9711</v>
      </c>
      <c r="E1137" s="8" t="s">
        <v>571</v>
      </c>
      <c r="F1137" s="8" t="s">
        <v>9712</v>
      </c>
    </row>
    <row r="1138" customHeight="1" spans="1:6">
      <c r="A1138" s="6">
        <v>1137</v>
      </c>
      <c r="B1138" s="8" t="s">
        <v>9709</v>
      </c>
      <c r="C1138" s="8" t="s">
        <v>9710</v>
      </c>
      <c r="D1138" s="8" t="s">
        <v>9711</v>
      </c>
      <c r="E1138" s="8" t="s">
        <v>571</v>
      </c>
      <c r="F1138" s="8" t="s">
        <v>9712</v>
      </c>
    </row>
    <row r="1139" customHeight="1" spans="1:6">
      <c r="A1139" s="6">
        <v>1138</v>
      </c>
      <c r="B1139" s="8" t="s">
        <v>9709</v>
      </c>
      <c r="C1139" s="8" t="s">
        <v>9710</v>
      </c>
      <c r="D1139" s="8" t="s">
        <v>9711</v>
      </c>
      <c r="E1139" s="8" t="s">
        <v>571</v>
      </c>
      <c r="F1139" s="8" t="s">
        <v>9712</v>
      </c>
    </row>
    <row r="1140" customHeight="1" spans="1:6">
      <c r="A1140" s="6">
        <v>1139</v>
      </c>
      <c r="B1140" s="8" t="s">
        <v>9713</v>
      </c>
      <c r="C1140" s="8" t="s">
        <v>9714</v>
      </c>
      <c r="D1140" s="8" t="s">
        <v>9715</v>
      </c>
      <c r="E1140" s="8" t="s">
        <v>1189</v>
      </c>
      <c r="F1140" s="8" t="s">
        <v>9716</v>
      </c>
    </row>
    <row r="1141" customHeight="1" spans="1:6">
      <c r="A1141" s="6">
        <v>1140</v>
      </c>
      <c r="B1141" s="8" t="s">
        <v>9713</v>
      </c>
      <c r="C1141" s="8" t="s">
        <v>9714</v>
      </c>
      <c r="D1141" s="8" t="s">
        <v>9715</v>
      </c>
      <c r="E1141" s="8" t="s">
        <v>1189</v>
      </c>
      <c r="F1141" s="8" t="s">
        <v>9716</v>
      </c>
    </row>
    <row r="1142" customHeight="1" spans="1:6">
      <c r="A1142" s="6">
        <v>1141</v>
      </c>
      <c r="B1142" s="8" t="s">
        <v>9713</v>
      </c>
      <c r="C1142" s="8" t="s">
        <v>9714</v>
      </c>
      <c r="D1142" s="8" t="s">
        <v>9715</v>
      </c>
      <c r="E1142" s="8" t="s">
        <v>1189</v>
      </c>
      <c r="F1142" s="8" t="s">
        <v>9716</v>
      </c>
    </row>
    <row r="1143" customHeight="1" spans="1:6">
      <c r="A1143" s="6">
        <v>1142</v>
      </c>
      <c r="B1143" s="8" t="s">
        <v>9717</v>
      </c>
      <c r="C1143" s="8" t="s">
        <v>9718</v>
      </c>
      <c r="D1143" s="8" t="s">
        <v>9719</v>
      </c>
      <c r="E1143" s="8" t="s">
        <v>571</v>
      </c>
      <c r="F1143" s="8" t="s">
        <v>9720</v>
      </c>
    </row>
    <row r="1144" customHeight="1" spans="1:6">
      <c r="A1144" s="6">
        <v>1143</v>
      </c>
      <c r="B1144" s="8" t="s">
        <v>9717</v>
      </c>
      <c r="C1144" s="8" t="s">
        <v>9718</v>
      </c>
      <c r="D1144" s="8" t="s">
        <v>9719</v>
      </c>
      <c r="E1144" s="8" t="s">
        <v>571</v>
      </c>
      <c r="F1144" s="8" t="s">
        <v>9720</v>
      </c>
    </row>
    <row r="1145" customHeight="1" spans="1:6">
      <c r="A1145" s="6">
        <v>1144</v>
      </c>
      <c r="B1145" s="8" t="s">
        <v>9721</v>
      </c>
      <c r="C1145" s="8" t="s">
        <v>9722</v>
      </c>
      <c r="D1145" s="8" t="s">
        <v>9723</v>
      </c>
      <c r="E1145" s="8" t="s">
        <v>1189</v>
      </c>
      <c r="F1145" s="8" t="s">
        <v>9724</v>
      </c>
    </row>
    <row r="1146" customHeight="1" spans="1:6">
      <c r="A1146" s="6">
        <v>1145</v>
      </c>
      <c r="B1146" s="8" t="s">
        <v>9721</v>
      </c>
      <c r="C1146" s="8" t="s">
        <v>9722</v>
      </c>
      <c r="D1146" s="8" t="s">
        <v>9723</v>
      </c>
      <c r="E1146" s="8" t="s">
        <v>1189</v>
      </c>
      <c r="F1146" s="8" t="s">
        <v>9724</v>
      </c>
    </row>
    <row r="1147" customHeight="1" spans="1:6">
      <c r="A1147" s="6">
        <v>1146</v>
      </c>
      <c r="B1147" s="8" t="s">
        <v>9725</v>
      </c>
      <c r="C1147" s="8" t="s">
        <v>9726</v>
      </c>
      <c r="D1147" s="8" t="s">
        <v>9727</v>
      </c>
      <c r="E1147" s="8" t="s">
        <v>239</v>
      </c>
      <c r="F1147" s="8" t="s">
        <v>9728</v>
      </c>
    </row>
    <row r="1148" customHeight="1" spans="1:6">
      <c r="A1148" s="6">
        <v>1147</v>
      </c>
      <c r="B1148" s="8" t="s">
        <v>9725</v>
      </c>
      <c r="C1148" s="8" t="s">
        <v>9726</v>
      </c>
      <c r="D1148" s="8" t="s">
        <v>9727</v>
      </c>
      <c r="E1148" s="8" t="s">
        <v>239</v>
      </c>
      <c r="F1148" s="8" t="s">
        <v>9728</v>
      </c>
    </row>
    <row r="1149" customHeight="1" spans="1:6">
      <c r="A1149" s="6">
        <v>1148</v>
      </c>
      <c r="B1149" s="8" t="s">
        <v>9729</v>
      </c>
      <c r="C1149" s="8" t="s">
        <v>9730</v>
      </c>
      <c r="D1149" s="8" t="s">
        <v>9731</v>
      </c>
      <c r="E1149" s="8" t="s">
        <v>1189</v>
      </c>
      <c r="F1149" s="8" t="s">
        <v>9732</v>
      </c>
    </row>
    <row r="1150" customHeight="1" spans="1:6">
      <c r="A1150" s="6">
        <v>1149</v>
      </c>
      <c r="B1150" s="8" t="s">
        <v>9729</v>
      </c>
      <c r="C1150" s="8" t="s">
        <v>9730</v>
      </c>
      <c r="D1150" s="8" t="s">
        <v>9731</v>
      </c>
      <c r="E1150" s="8" t="s">
        <v>1189</v>
      </c>
      <c r="F1150" s="8" t="s">
        <v>9732</v>
      </c>
    </row>
    <row r="1151" customHeight="1" spans="1:6">
      <c r="A1151" s="6">
        <v>1150</v>
      </c>
      <c r="B1151" s="8" t="s">
        <v>9729</v>
      </c>
      <c r="C1151" s="8" t="s">
        <v>9730</v>
      </c>
      <c r="D1151" s="8" t="s">
        <v>9731</v>
      </c>
      <c r="E1151" s="8" t="s">
        <v>1189</v>
      </c>
      <c r="F1151" s="8" t="s">
        <v>9732</v>
      </c>
    </row>
    <row r="1152" customHeight="1" spans="1:6">
      <c r="A1152" s="6">
        <v>1151</v>
      </c>
      <c r="B1152" s="8" t="s">
        <v>9733</v>
      </c>
      <c r="C1152" s="8" t="s">
        <v>9734</v>
      </c>
      <c r="D1152" s="8" t="s">
        <v>9735</v>
      </c>
      <c r="E1152" s="8" t="s">
        <v>1189</v>
      </c>
      <c r="F1152" s="8" t="s">
        <v>9736</v>
      </c>
    </row>
    <row r="1153" customHeight="1" spans="1:6">
      <c r="A1153" s="6">
        <v>1152</v>
      </c>
      <c r="B1153" s="8" t="s">
        <v>9733</v>
      </c>
      <c r="C1153" s="8" t="s">
        <v>9734</v>
      </c>
      <c r="D1153" s="8" t="s">
        <v>9735</v>
      </c>
      <c r="E1153" s="8" t="s">
        <v>1189</v>
      </c>
      <c r="F1153" s="8" t="s">
        <v>9736</v>
      </c>
    </row>
    <row r="1154" customHeight="1" spans="1:6">
      <c r="A1154" s="6">
        <v>1153</v>
      </c>
      <c r="B1154" s="8" t="s">
        <v>9733</v>
      </c>
      <c r="C1154" s="8" t="s">
        <v>9734</v>
      </c>
      <c r="D1154" s="8" t="s">
        <v>9735</v>
      </c>
      <c r="E1154" s="8" t="s">
        <v>1189</v>
      </c>
      <c r="F1154" s="8" t="s">
        <v>9736</v>
      </c>
    </row>
    <row r="1155" customHeight="1" spans="1:6">
      <c r="A1155" s="6">
        <v>1154</v>
      </c>
      <c r="B1155" s="8" t="s">
        <v>9737</v>
      </c>
      <c r="C1155" s="8" t="s">
        <v>9738</v>
      </c>
      <c r="D1155" s="8" t="s">
        <v>9739</v>
      </c>
      <c r="E1155" s="8" t="s">
        <v>1818</v>
      </c>
      <c r="F1155" s="8" t="s">
        <v>9740</v>
      </c>
    </row>
    <row r="1156" customHeight="1" spans="1:6">
      <c r="A1156" s="6">
        <v>1155</v>
      </c>
      <c r="B1156" s="8" t="s">
        <v>9737</v>
      </c>
      <c r="C1156" s="8" t="s">
        <v>9738</v>
      </c>
      <c r="D1156" s="8" t="s">
        <v>9739</v>
      </c>
      <c r="E1156" s="8" t="s">
        <v>1818</v>
      </c>
      <c r="F1156" s="8" t="s">
        <v>9740</v>
      </c>
    </row>
    <row r="1157" customHeight="1" spans="1:6">
      <c r="A1157" s="6">
        <v>1156</v>
      </c>
      <c r="B1157" s="8" t="s">
        <v>9741</v>
      </c>
      <c r="C1157" s="8" t="s">
        <v>9742</v>
      </c>
      <c r="D1157" s="8" t="s">
        <v>9743</v>
      </c>
      <c r="E1157" s="8" t="s">
        <v>1189</v>
      </c>
      <c r="F1157" s="8" t="s">
        <v>9744</v>
      </c>
    </row>
    <row r="1158" customHeight="1" spans="1:6">
      <c r="A1158" s="6">
        <v>1157</v>
      </c>
      <c r="B1158" s="8" t="s">
        <v>9741</v>
      </c>
      <c r="C1158" s="8" t="s">
        <v>9742</v>
      </c>
      <c r="D1158" s="8" t="s">
        <v>9743</v>
      </c>
      <c r="E1158" s="8" t="s">
        <v>1189</v>
      </c>
      <c r="F1158" s="8" t="s">
        <v>9744</v>
      </c>
    </row>
    <row r="1159" customHeight="1" spans="1:6">
      <c r="A1159" s="6">
        <v>1158</v>
      </c>
      <c r="B1159" s="8" t="s">
        <v>9741</v>
      </c>
      <c r="C1159" s="8" t="s">
        <v>9742</v>
      </c>
      <c r="D1159" s="8" t="s">
        <v>9743</v>
      </c>
      <c r="E1159" s="8" t="s">
        <v>1189</v>
      </c>
      <c r="F1159" s="8" t="s">
        <v>9744</v>
      </c>
    </row>
    <row r="1160" customHeight="1" spans="1:6">
      <c r="A1160" s="6">
        <v>1159</v>
      </c>
      <c r="B1160" s="8" t="s">
        <v>9745</v>
      </c>
      <c r="C1160" s="8" t="s">
        <v>9746</v>
      </c>
      <c r="D1160" s="8" t="s">
        <v>9747</v>
      </c>
      <c r="E1160" s="8" t="s">
        <v>425</v>
      </c>
      <c r="F1160" s="8" t="s">
        <v>9748</v>
      </c>
    </row>
    <row r="1161" customHeight="1" spans="1:6">
      <c r="A1161" s="6">
        <v>1160</v>
      </c>
      <c r="B1161" s="8" t="s">
        <v>9745</v>
      </c>
      <c r="C1161" s="8" t="s">
        <v>9746</v>
      </c>
      <c r="D1161" s="8" t="s">
        <v>9747</v>
      </c>
      <c r="E1161" s="8" t="s">
        <v>425</v>
      </c>
      <c r="F1161" s="8" t="s">
        <v>9748</v>
      </c>
    </row>
    <row r="1162" customHeight="1" spans="1:6">
      <c r="A1162" s="6">
        <v>1161</v>
      </c>
      <c r="B1162" s="8" t="s">
        <v>9749</v>
      </c>
      <c r="C1162" s="8" t="s">
        <v>9750</v>
      </c>
      <c r="D1162" s="8" t="s">
        <v>9751</v>
      </c>
      <c r="E1162" s="8" t="s">
        <v>275</v>
      </c>
      <c r="F1162" s="8" t="s">
        <v>9752</v>
      </c>
    </row>
    <row r="1163" customHeight="1" spans="1:6">
      <c r="A1163" s="6">
        <v>1162</v>
      </c>
      <c r="B1163" s="8" t="s">
        <v>9749</v>
      </c>
      <c r="C1163" s="8" t="s">
        <v>9750</v>
      </c>
      <c r="D1163" s="8" t="s">
        <v>9751</v>
      </c>
      <c r="E1163" s="8" t="s">
        <v>275</v>
      </c>
      <c r="F1163" s="8" t="s">
        <v>9752</v>
      </c>
    </row>
    <row r="1164" customHeight="1" spans="1:6">
      <c r="A1164" s="6">
        <v>1163</v>
      </c>
      <c r="B1164" s="8" t="s">
        <v>9753</v>
      </c>
      <c r="C1164" s="8" t="s">
        <v>9754</v>
      </c>
      <c r="D1164" s="8" t="s">
        <v>9755</v>
      </c>
      <c r="E1164" s="8" t="s">
        <v>9756</v>
      </c>
      <c r="F1164" s="8" t="s">
        <v>9757</v>
      </c>
    </row>
    <row r="1165" customHeight="1" spans="1:6">
      <c r="A1165" s="6">
        <v>1164</v>
      </c>
      <c r="B1165" s="8" t="s">
        <v>9753</v>
      </c>
      <c r="C1165" s="8" t="s">
        <v>9754</v>
      </c>
      <c r="D1165" s="8" t="s">
        <v>9755</v>
      </c>
      <c r="E1165" s="8" t="s">
        <v>9756</v>
      </c>
      <c r="F1165" s="8" t="s">
        <v>9757</v>
      </c>
    </row>
    <row r="1166" customHeight="1" spans="1:6">
      <c r="A1166" s="6">
        <v>1165</v>
      </c>
      <c r="B1166" s="8" t="s">
        <v>9753</v>
      </c>
      <c r="C1166" s="8" t="s">
        <v>9754</v>
      </c>
      <c r="D1166" s="8" t="s">
        <v>9755</v>
      </c>
      <c r="E1166" s="8" t="s">
        <v>9756</v>
      </c>
      <c r="F1166" s="8" t="s">
        <v>9757</v>
      </c>
    </row>
    <row r="1167" customHeight="1" spans="1:6">
      <c r="A1167" s="6">
        <v>1166</v>
      </c>
      <c r="B1167" s="8" t="s">
        <v>9758</v>
      </c>
      <c r="C1167" s="8" t="s">
        <v>9759</v>
      </c>
      <c r="D1167" s="8" t="s">
        <v>9760</v>
      </c>
      <c r="E1167" s="8" t="s">
        <v>330</v>
      </c>
      <c r="F1167" s="8" t="s">
        <v>9761</v>
      </c>
    </row>
    <row r="1168" customHeight="1" spans="1:6">
      <c r="A1168" s="6">
        <v>1167</v>
      </c>
      <c r="B1168" s="8" t="s">
        <v>9758</v>
      </c>
      <c r="C1168" s="8" t="s">
        <v>9759</v>
      </c>
      <c r="D1168" s="8" t="s">
        <v>9760</v>
      </c>
      <c r="E1168" s="8" t="s">
        <v>330</v>
      </c>
      <c r="F1168" s="8" t="s">
        <v>9761</v>
      </c>
    </row>
    <row r="1169" customHeight="1" spans="1:6">
      <c r="A1169" s="6">
        <v>1168</v>
      </c>
      <c r="B1169" s="8" t="s">
        <v>9758</v>
      </c>
      <c r="C1169" s="8" t="s">
        <v>9759</v>
      </c>
      <c r="D1169" s="8" t="s">
        <v>9760</v>
      </c>
      <c r="E1169" s="8" t="s">
        <v>330</v>
      </c>
      <c r="F1169" s="8" t="s">
        <v>9761</v>
      </c>
    </row>
    <row r="1170" customHeight="1" spans="1:6">
      <c r="A1170" s="6">
        <v>1169</v>
      </c>
      <c r="B1170" s="7" t="str">
        <f t="shared" ref="B1170:B1172" si="55">"978-7-5159-1918-8"</f>
        <v>978-7-5159-1918-8</v>
      </c>
      <c r="C1170" s="7" t="str">
        <f t="shared" ref="C1170:C1172" si="56">"思维导图超好用日语口语书"</f>
        <v>思维导图超好用日语口语书</v>
      </c>
      <c r="D1170" s="7" t="str">
        <f t="shared" ref="D1170:D1172" si="57">"段笑晔主编"</f>
        <v>段笑晔主编</v>
      </c>
      <c r="E1170" s="7" t="str">
        <f t="shared" ref="E1170:E1172" si="58">"中国宇航出版社"</f>
        <v>中国宇航出版社</v>
      </c>
      <c r="F1170" s="7" t="str">
        <f t="shared" ref="F1170:F1172" si="59">"H369.9/281"</f>
        <v>H369.9/281</v>
      </c>
    </row>
    <row r="1171" customHeight="1" spans="1:6">
      <c r="A1171" s="6">
        <v>1170</v>
      </c>
      <c r="B1171" s="7" t="str">
        <f t="shared" si="55"/>
        <v>978-7-5159-1918-8</v>
      </c>
      <c r="C1171" s="7" t="str">
        <f t="shared" si="56"/>
        <v>思维导图超好用日语口语书</v>
      </c>
      <c r="D1171" s="7" t="str">
        <f t="shared" si="57"/>
        <v>段笑晔主编</v>
      </c>
      <c r="E1171" s="7" t="str">
        <f t="shared" si="58"/>
        <v>中国宇航出版社</v>
      </c>
      <c r="F1171" s="7" t="str">
        <f t="shared" si="59"/>
        <v>H369.9/281</v>
      </c>
    </row>
    <row r="1172" customHeight="1" spans="1:6">
      <c r="A1172" s="6">
        <v>1171</v>
      </c>
      <c r="B1172" s="7" t="str">
        <f t="shared" si="55"/>
        <v>978-7-5159-1918-8</v>
      </c>
      <c r="C1172" s="7" t="str">
        <f t="shared" si="56"/>
        <v>思维导图超好用日语口语书</v>
      </c>
      <c r="D1172" s="7" t="str">
        <f t="shared" si="57"/>
        <v>段笑晔主编</v>
      </c>
      <c r="E1172" s="7" t="str">
        <f t="shared" si="58"/>
        <v>中国宇航出版社</v>
      </c>
      <c r="F1172" s="7" t="str">
        <f t="shared" si="59"/>
        <v>H369.9/281</v>
      </c>
    </row>
    <row r="1173" customHeight="1" spans="1:6">
      <c r="A1173" s="6">
        <v>1172</v>
      </c>
      <c r="B1173" s="8" t="s">
        <v>9762</v>
      </c>
      <c r="C1173" s="8" t="s">
        <v>9763</v>
      </c>
      <c r="D1173" s="8" t="s">
        <v>9764</v>
      </c>
      <c r="E1173" s="8" t="s">
        <v>5127</v>
      </c>
      <c r="F1173" s="8" t="s">
        <v>9765</v>
      </c>
    </row>
    <row r="1174" customHeight="1" spans="1:6">
      <c r="A1174" s="6">
        <v>1173</v>
      </c>
      <c r="B1174" s="8" t="s">
        <v>9762</v>
      </c>
      <c r="C1174" s="8" t="s">
        <v>9763</v>
      </c>
      <c r="D1174" s="8" t="s">
        <v>9764</v>
      </c>
      <c r="E1174" s="8" t="s">
        <v>5127</v>
      </c>
      <c r="F1174" s="8" t="s">
        <v>9765</v>
      </c>
    </row>
    <row r="1175" customHeight="1" spans="1:6">
      <c r="A1175" s="6">
        <v>1174</v>
      </c>
      <c r="B1175" s="8" t="s">
        <v>9762</v>
      </c>
      <c r="C1175" s="8" t="s">
        <v>9763</v>
      </c>
      <c r="D1175" s="8" t="s">
        <v>9764</v>
      </c>
      <c r="E1175" s="8" t="s">
        <v>5127</v>
      </c>
      <c r="F1175" s="8" t="s">
        <v>9765</v>
      </c>
    </row>
    <row r="1176" customHeight="1" spans="1:6">
      <c r="A1176" s="6">
        <v>1175</v>
      </c>
      <c r="B1176" s="8" t="s">
        <v>9766</v>
      </c>
      <c r="C1176" s="8" t="s">
        <v>9767</v>
      </c>
      <c r="D1176" s="8" t="s">
        <v>9768</v>
      </c>
      <c r="E1176" s="8" t="s">
        <v>1667</v>
      </c>
      <c r="F1176" s="8" t="s">
        <v>9769</v>
      </c>
    </row>
    <row r="1177" customHeight="1" spans="1:6">
      <c r="A1177" s="6">
        <v>1176</v>
      </c>
      <c r="B1177" s="8" t="s">
        <v>9766</v>
      </c>
      <c r="C1177" s="8" t="s">
        <v>9767</v>
      </c>
      <c r="D1177" s="8" t="s">
        <v>9768</v>
      </c>
      <c r="E1177" s="8" t="s">
        <v>1667</v>
      </c>
      <c r="F1177" s="8" t="s">
        <v>9769</v>
      </c>
    </row>
    <row r="1178" customHeight="1" spans="1:6">
      <c r="A1178" s="6">
        <v>1177</v>
      </c>
      <c r="B1178" s="8" t="s">
        <v>9766</v>
      </c>
      <c r="C1178" s="8" t="s">
        <v>9767</v>
      </c>
      <c r="D1178" s="8" t="s">
        <v>9768</v>
      </c>
      <c r="E1178" s="8" t="s">
        <v>1667</v>
      </c>
      <c r="F1178" s="8" t="s">
        <v>9769</v>
      </c>
    </row>
    <row r="1179" customHeight="1" spans="1:6">
      <c r="A1179" s="6">
        <v>1178</v>
      </c>
      <c r="B1179" s="7" t="str">
        <f t="shared" ref="B1179:B1181" si="60">"978-7-5159-1897-6"</f>
        <v>978-7-5159-1897-6</v>
      </c>
      <c r="C1179" s="7" t="str">
        <f t="shared" ref="C1179:C1181" si="61">"思维导图超好用韩语口语书"</f>
        <v>思维导图超好用韩语口语书</v>
      </c>
      <c r="D1179" s="7" t="str">
        <f t="shared" ref="D1179:D1181" si="62">"崔英兰， (韩) 康恩贞， 刘双玉编著"</f>
        <v>崔英兰， (韩) 康恩贞， 刘双玉编著</v>
      </c>
      <c r="E1179" s="7" t="str">
        <f t="shared" ref="E1179:E1181" si="63">"中国宇航出版社"</f>
        <v>中国宇航出版社</v>
      </c>
      <c r="F1179" s="7" t="str">
        <f t="shared" ref="F1179:F1181" si="64">"H559.4/151"</f>
        <v>H559.4/151</v>
      </c>
    </row>
    <row r="1180" customHeight="1" spans="1:6">
      <c r="A1180" s="6">
        <v>1179</v>
      </c>
      <c r="B1180" s="7" t="str">
        <f t="shared" si="60"/>
        <v>978-7-5159-1897-6</v>
      </c>
      <c r="C1180" s="7" t="str">
        <f t="shared" si="61"/>
        <v>思维导图超好用韩语口语书</v>
      </c>
      <c r="D1180" s="7" t="str">
        <f t="shared" si="62"/>
        <v>崔英兰， (韩) 康恩贞， 刘双玉编著</v>
      </c>
      <c r="E1180" s="7" t="str">
        <f t="shared" si="63"/>
        <v>中国宇航出版社</v>
      </c>
      <c r="F1180" s="7" t="str">
        <f t="shared" si="64"/>
        <v>H559.4/151</v>
      </c>
    </row>
    <row r="1181" customHeight="1" spans="1:6">
      <c r="A1181" s="6">
        <v>1180</v>
      </c>
      <c r="B1181" s="7" t="str">
        <f t="shared" si="60"/>
        <v>978-7-5159-1897-6</v>
      </c>
      <c r="C1181" s="7" t="str">
        <f t="shared" si="61"/>
        <v>思维导图超好用韩语口语书</v>
      </c>
      <c r="D1181" s="7" t="str">
        <f t="shared" si="62"/>
        <v>崔英兰， (韩) 康恩贞， 刘双玉编著</v>
      </c>
      <c r="E1181" s="7" t="str">
        <f t="shared" si="63"/>
        <v>中国宇航出版社</v>
      </c>
      <c r="F1181" s="7" t="str">
        <f t="shared" si="64"/>
        <v>H559.4/151</v>
      </c>
    </row>
    <row r="1182" customHeight="1" spans="1:6">
      <c r="A1182" s="6">
        <v>1181</v>
      </c>
      <c r="B1182" s="7" t="str">
        <f t="shared" ref="B1182:B1184" si="65">"978-7-108-05663-4"</f>
        <v>978-7-108-05663-4</v>
      </c>
      <c r="C1182" s="7" t="str">
        <f t="shared" ref="C1182:C1184" si="66">"破解古埃及：一场激烈的智力竞争：the race to read the hieroglyphs"</f>
        <v>破解古埃及：一场激烈的智力竞争：the race to read the hieroglyphs</v>
      </c>
      <c r="D1182" s="7" t="str">
        <f t="shared" ref="D1182:D1184" si="67">"(英) 莱斯利， 罗伊·亚京斯著；黄中宪译"</f>
        <v>(英) 莱斯利， 罗伊·亚京斯著；黄中宪译</v>
      </c>
      <c r="E1182" s="7" t="str">
        <f t="shared" ref="E1182:E1187" si="68">"三联书店"</f>
        <v>三联书店</v>
      </c>
      <c r="F1182" s="7" t="str">
        <f t="shared" ref="F1182:F1184" si="69">"H673.2/2=2D"</f>
        <v>H673.2/2=2D</v>
      </c>
    </row>
    <row r="1183" customHeight="1" spans="1:6">
      <c r="A1183" s="6">
        <v>1182</v>
      </c>
      <c r="B1183" s="7" t="str">
        <f t="shared" si="65"/>
        <v>978-7-108-05663-4</v>
      </c>
      <c r="C1183" s="7" t="str">
        <f t="shared" si="66"/>
        <v>破解古埃及：一场激烈的智力竞争：the race to read the hieroglyphs</v>
      </c>
      <c r="D1183" s="7" t="str">
        <f t="shared" si="67"/>
        <v>(英) 莱斯利， 罗伊·亚京斯著；黄中宪译</v>
      </c>
      <c r="E1183" s="7" t="str">
        <f t="shared" si="68"/>
        <v>三联书店</v>
      </c>
      <c r="F1183" s="7" t="str">
        <f t="shared" si="69"/>
        <v>H673.2/2=2D</v>
      </c>
    </row>
    <row r="1184" customHeight="1" spans="1:6">
      <c r="A1184" s="6">
        <v>1183</v>
      </c>
      <c r="B1184" s="7" t="str">
        <f t="shared" si="65"/>
        <v>978-7-108-05663-4</v>
      </c>
      <c r="C1184" s="7" t="str">
        <f t="shared" si="66"/>
        <v>破解古埃及：一场激烈的智力竞争：the race to read the hieroglyphs</v>
      </c>
      <c r="D1184" s="7" t="str">
        <f t="shared" si="67"/>
        <v>(英) 莱斯利， 罗伊·亚京斯著；黄中宪译</v>
      </c>
      <c r="E1184" s="7" t="str">
        <f t="shared" si="68"/>
        <v>三联书店</v>
      </c>
      <c r="F1184" s="7" t="str">
        <f t="shared" si="69"/>
        <v>H673.2/2=2D</v>
      </c>
    </row>
    <row r="1185" customHeight="1" spans="1:6">
      <c r="A1185" s="6">
        <v>1184</v>
      </c>
      <c r="B1185" s="7" t="str">
        <f t="shared" ref="B1185:B1187" si="70">"978-7-108-05610-8"</f>
        <v>978-7-108-05610-8</v>
      </c>
      <c r="C1185" s="7" t="str">
        <f t="shared" ref="C1185:C1187" si="71">"拉丁文帝国"</f>
        <v>拉丁文帝国</v>
      </c>
      <c r="D1185" s="7" t="str">
        <f t="shared" ref="D1185:D1187" si="72">"(法) 弗朗索瓦·瓦克著；陈绮文译"</f>
        <v>(法) 弗朗索瓦·瓦克著；陈绮文译</v>
      </c>
      <c r="E1185" s="7" t="str">
        <f t="shared" si="68"/>
        <v>三联书店</v>
      </c>
      <c r="F1185" s="7" t="str">
        <f t="shared" ref="F1185:F1187" si="73">"H771/4"</f>
        <v>H771/4</v>
      </c>
    </row>
    <row r="1186" customHeight="1" spans="1:6">
      <c r="A1186" s="6">
        <v>1185</v>
      </c>
      <c r="B1186" s="7" t="str">
        <f t="shared" si="70"/>
        <v>978-7-108-05610-8</v>
      </c>
      <c r="C1186" s="7" t="str">
        <f t="shared" si="71"/>
        <v>拉丁文帝国</v>
      </c>
      <c r="D1186" s="7" t="str">
        <f t="shared" si="72"/>
        <v>(法) 弗朗索瓦·瓦克著；陈绮文译</v>
      </c>
      <c r="E1186" s="7" t="str">
        <f t="shared" si="68"/>
        <v>三联书店</v>
      </c>
      <c r="F1186" s="7" t="str">
        <f t="shared" si="73"/>
        <v>H771/4</v>
      </c>
    </row>
    <row r="1187" customHeight="1" spans="1:6">
      <c r="A1187" s="6">
        <v>1186</v>
      </c>
      <c r="B1187" s="7" t="str">
        <f t="shared" si="70"/>
        <v>978-7-108-05610-8</v>
      </c>
      <c r="C1187" s="7" t="str">
        <f t="shared" si="71"/>
        <v>拉丁文帝国</v>
      </c>
      <c r="D1187" s="7" t="str">
        <f t="shared" si="72"/>
        <v>(法) 弗朗索瓦·瓦克著；陈绮文译</v>
      </c>
      <c r="E1187" s="7" t="str">
        <f t="shared" si="68"/>
        <v>三联书店</v>
      </c>
      <c r="F1187" s="7" t="str">
        <f t="shared" si="73"/>
        <v>H771/4</v>
      </c>
    </row>
    <row r="1188" customHeight="1" spans="1:6">
      <c r="A1188" s="6">
        <v>1187</v>
      </c>
      <c r="B1188" s="8" t="s">
        <v>9770</v>
      </c>
      <c r="C1188" s="8" t="s">
        <v>9771</v>
      </c>
      <c r="D1188" s="8" t="s">
        <v>9772</v>
      </c>
      <c r="E1188" s="8" t="s">
        <v>298</v>
      </c>
      <c r="F1188" s="8" t="s">
        <v>9773</v>
      </c>
    </row>
  </sheetData>
  <pageMargins left="0.75" right="0.75" top="1" bottom="1" header="0.5" footer="0.5"/>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50"/>
  </sheetPr>
  <dimension ref="A1:F1097"/>
  <sheetViews>
    <sheetView workbookViewId="0">
      <selection activeCell="E25" sqref="E25"/>
    </sheetView>
  </sheetViews>
  <sheetFormatPr defaultColWidth="9" defaultRowHeight="18" customHeight="1" outlineLevelCol="5"/>
  <cols>
    <col min="1" max="1" width="5.375" style="12" customWidth="1"/>
    <col min="2" max="2" width="19.375" customWidth="1"/>
    <col min="3" max="3" width="45.625" customWidth="1"/>
    <col min="4" max="4" width="35.625" customWidth="1"/>
    <col min="5" max="5" width="27.125" customWidth="1"/>
    <col min="6" max="6" width="17.125" customWidth="1"/>
  </cols>
  <sheetData>
    <row r="1" s="1" customFormat="1" customHeight="1" spans="1:6">
      <c r="A1" s="5" t="s">
        <v>8186</v>
      </c>
      <c r="B1" s="5" t="s">
        <v>8187</v>
      </c>
      <c r="C1" s="5" t="s">
        <v>8188</v>
      </c>
      <c r="D1" s="5" t="s">
        <v>8189</v>
      </c>
      <c r="E1" s="5" t="s">
        <v>8190</v>
      </c>
      <c r="F1" s="5" t="s">
        <v>8191</v>
      </c>
    </row>
    <row r="2" customHeight="1" spans="1:6">
      <c r="A2" s="6">
        <v>1</v>
      </c>
      <c r="B2" s="7" t="str">
        <f>"978-7-301-31095-3"</f>
        <v>978-7-301-31095-3</v>
      </c>
      <c r="C2" s="7" t="str">
        <f>"中学西话：20世纪西方文论中的中国：Chinese questions in 20th century western literary theory"</f>
        <v>中学西话：20世纪西方文论中的中国：Chinese questions in 20th century western literary theory</v>
      </c>
      <c r="D2" s="7" t="str">
        <f>"曾军主编"</f>
        <v>曾军主编</v>
      </c>
      <c r="E2" s="7" t="str">
        <f>"北京大学出版社"</f>
        <v>北京大学出版社</v>
      </c>
      <c r="F2" s="7" t="str">
        <f>"I0/222"</f>
        <v>I0/222</v>
      </c>
    </row>
    <row r="3" customHeight="1" spans="1:6">
      <c r="A3" s="6">
        <v>2</v>
      </c>
      <c r="B3" s="7" t="str">
        <f>"978-7-301-31095-3"</f>
        <v>978-7-301-31095-3</v>
      </c>
      <c r="C3" s="7" t="str">
        <f>"中学西话：20世纪西方文论中的中国：Chinese questions in 20th century western literary theory"</f>
        <v>中学西话：20世纪西方文论中的中国：Chinese questions in 20th century western literary theory</v>
      </c>
      <c r="D3" s="7" t="str">
        <f>"曾军主编"</f>
        <v>曾军主编</v>
      </c>
      <c r="E3" s="7" t="str">
        <f>"北京大学出版社"</f>
        <v>北京大学出版社</v>
      </c>
      <c r="F3" s="7" t="str">
        <f>"I0/222"</f>
        <v>I0/222</v>
      </c>
    </row>
    <row r="4" customHeight="1" spans="1:6">
      <c r="A4" s="6">
        <v>3</v>
      </c>
      <c r="B4" s="8" t="s">
        <v>9774</v>
      </c>
      <c r="C4" s="8" t="s">
        <v>9775</v>
      </c>
      <c r="D4" s="8" t="s">
        <v>9776</v>
      </c>
      <c r="E4" s="8" t="s">
        <v>189</v>
      </c>
      <c r="F4" s="8" t="s">
        <v>9777</v>
      </c>
    </row>
    <row r="5" customHeight="1" spans="1:6">
      <c r="A5" s="6">
        <v>4</v>
      </c>
      <c r="B5" s="8" t="s">
        <v>9774</v>
      </c>
      <c r="C5" s="8" t="s">
        <v>9775</v>
      </c>
      <c r="D5" s="8" t="s">
        <v>9776</v>
      </c>
      <c r="E5" s="8" t="s">
        <v>189</v>
      </c>
      <c r="F5" s="8" t="s">
        <v>9777</v>
      </c>
    </row>
    <row r="6" customHeight="1" spans="1:6">
      <c r="A6" s="6">
        <v>5</v>
      </c>
      <c r="B6" s="7" t="str">
        <f>"978-7-5711-1031-4"</f>
        <v>978-7-5711-1031-4</v>
      </c>
      <c r="C6" s="7" t="str">
        <f>"写作工具：写作者案边必备的50个写作技巧：50 essential strategies for every writer"</f>
        <v>写作工具：写作者案边必备的50个写作技巧：50 essential strategies for every writer</v>
      </c>
      <c r="D6" s="7" t="str">
        <f>"(美) 罗伊·彼得·克拉克著Roy Peter Clark；钟潇译"</f>
        <v>(美) 罗伊·彼得·克拉克著Roy Peter Clark；钟潇译</v>
      </c>
      <c r="E6" s="7" t="str">
        <f>"大象出版社"</f>
        <v>大象出版社</v>
      </c>
      <c r="F6" s="7" t="str">
        <f>"I04/73"</f>
        <v>I04/73</v>
      </c>
    </row>
    <row r="7" customHeight="1" spans="1:6">
      <c r="A7" s="6">
        <v>6</v>
      </c>
      <c r="B7" s="7" t="str">
        <f>"978-7-5711-1031-4"</f>
        <v>978-7-5711-1031-4</v>
      </c>
      <c r="C7" s="7" t="str">
        <f>"写作工具：写作者案边必备的50个写作技巧：50 essential strategies for every writer"</f>
        <v>写作工具：写作者案边必备的50个写作技巧：50 essential strategies for every writer</v>
      </c>
      <c r="D7" s="7" t="str">
        <f>"(美) 罗伊·彼得·克拉克著Roy Peter Clark；钟潇译"</f>
        <v>(美) 罗伊·彼得·克拉克著Roy Peter Clark；钟潇译</v>
      </c>
      <c r="E7" s="7" t="str">
        <f>"大象出版社"</f>
        <v>大象出版社</v>
      </c>
      <c r="F7" s="7" t="str">
        <f>"I04/73"</f>
        <v>I04/73</v>
      </c>
    </row>
    <row r="8" customHeight="1" spans="1:6">
      <c r="A8" s="6">
        <v>7</v>
      </c>
      <c r="B8" s="7" t="str">
        <f t="shared" ref="B8:B10" si="0">"978-7-5598-3820-9"</f>
        <v>978-7-5598-3820-9</v>
      </c>
      <c r="C8" s="7" t="str">
        <f t="shared" ref="C8:C10" si="1">"语言的热带雨林"</f>
        <v>语言的热带雨林</v>
      </c>
      <c r="D8" s="7" t="str">
        <f t="shared" ref="D8:D10" si="2">"张炜著"</f>
        <v>张炜著</v>
      </c>
      <c r="E8" s="7" t="str">
        <f t="shared" ref="E8:E10" si="3">"广西师范大学出版社"</f>
        <v>广西师范大学出版社</v>
      </c>
      <c r="F8" s="7" t="str">
        <f t="shared" ref="F8:F10" si="4">"I04/74"</f>
        <v>I04/74</v>
      </c>
    </row>
    <row r="9" customHeight="1" spans="1:6">
      <c r="A9" s="6">
        <v>8</v>
      </c>
      <c r="B9" s="7" t="str">
        <f t="shared" si="0"/>
        <v>978-7-5598-3820-9</v>
      </c>
      <c r="C9" s="7" t="str">
        <f t="shared" si="1"/>
        <v>语言的热带雨林</v>
      </c>
      <c r="D9" s="7" t="str">
        <f t="shared" si="2"/>
        <v>张炜著</v>
      </c>
      <c r="E9" s="7" t="str">
        <f t="shared" si="3"/>
        <v>广西师范大学出版社</v>
      </c>
      <c r="F9" s="7" t="str">
        <f t="shared" si="4"/>
        <v>I04/74</v>
      </c>
    </row>
    <row r="10" customHeight="1" spans="1:6">
      <c r="A10" s="6">
        <v>9</v>
      </c>
      <c r="B10" s="7" t="str">
        <f t="shared" si="0"/>
        <v>978-7-5598-3820-9</v>
      </c>
      <c r="C10" s="7" t="str">
        <f t="shared" si="1"/>
        <v>语言的热带雨林</v>
      </c>
      <c r="D10" s="7" t="str">
        <f t="shared" si="2"/>
        <v>张炜著</v>
      </c>
      <c r="E10" s="7" t="str">
        <f t="shared" si="3"/>
        <v>广西师范大学出版社</v>
      </c>
      <c r="F10" s="7" t="str">
        <f t="shared" si="4"/>
        <v>I04/74</v>
      </c>
    </row>
    <row r="11" customHeight="1" spans="1:6">
      <c r="A11" s="6">
        <v>10</v>
      </c>
      <c r="B11" s="8" t="s">
        <v>9778</v>
      </c>
      <c r="C11" s="8" t="s">
        <v>9779</v>
      </c>
      <c r="D11" s="8" t="s">
        <v>9780</v>
      </c>
      <c r="E11" s="8" t="s">
        <v>298</v>
      </c>
      <c r="F11" s="8" t="s">
        <v>9781</v>
      </c>
    </row>
    <row r="12" customHeight="1" spans="1:6">
      <c r="A12" s="6">
        <v>11</v>
      </c>
      <c r="B12" s="8" t="s">
        <v>9778</v>
      </c>
      <c r="C12" s="8" t="s">
        <v>9779</v>
      </c>
      <c r="D12" s="8" t="s">
        <v>9780</v>
      </c>
      <c r="E12" s="8" t="s">
        <v>298</v>
      </c>
      <c r="F12" s="8" t="s">
        <v>9781</v>
      </c>
    </row>
    <row r="13" customHeight="1" spans="1:6">
      <c r="A13" s="6">
        <v>12</v>
      </c>
      <c r="B13" s="9" t="str">
        <f>"978-7-5447-8500-6"</f>
        <v>978-7-5447-8500-6</v>
      </c>
      <c r="C13" s="9" t="str">
        <f>"文学翻译的理论与实践：翻译对话录"</f>
        <v>文学翻译的理论与实践：翻译对话录</v>
      </c>
      <c r="D13" s="9" t="str">
        <f>"许钧等著"</f>
        <v>许钧等著</v>
      </c>
      <c r="E13" s="9" t="str">
        <f>"译林出版社"</f>
        <v>译林出版社</v>
      </c>
      <c r="F13" s="9" t="str">
        <f>"I046/10=D"</f>
        <v>I046/10=D</v>
      </c>
    </row>
    <row r="14" customHeight="1" spans="1:6">
      <c r="A14" s="6">
        <v>13</v>
      </c>
      <c r="B14" s="9" t="str">
        <f>"978-7-5447-8500-6"</f>
        <v>978-7-5447-8500-6</v>
      </c>
      <c r="C14" s="9" t="str">
        <f>"文学翻译的理论与实践：翻译对话录"</f>
        <v>文学翻译的理论与实践：翻译对话录</v>
      </c>
      <c r="D14" s="9" t="str">
        <f>"许钧等著"</f>
        <v>许钧等著</v>
      </c>
      <c r="E14" s="9" t="str">
        <f>"译林出版社"</f>
        <v>译林出版社</v>
      </c>
      <c r="F14" s="9" t="str">
        <f>"I046/10=D"</f>
        <v>I046/10=D</v>
      </c>
    </row>
    <row r="15" customHeight="1" spans="1:6">
      <c r="A15" s="6">
        <v>14</v>
      </c>
      <c r="B15" s="7" t="str">
        <f>"978-7-108-06993-1"</f>
        <v>978-7-108-06993-1</v>
      </c>
      <c r="C15" s="7" t="str">
        <f>"诗论"</f>
        <v>诗论</v>
      </c>
      <c r="D15" s="7" t="str">
        <f>"朱光潜著"</f>
        <v>朱光潜著</v>
      </c>
      <c r="E15" s="7" t="str">
        <f>"三联书店"</f>
        <v>三联书店</v>
      </c>
      <c r="F15" s="7" t="str">
        <f>"I052/56-2"</f>
        <v>I052/56-2</v>
      </c>
    </row>
    <row r="16" customHeight="1" spans="1:6">
      <c r="A16" s="6">
        <v>15</v>
      </c>
      <c r="B16" s="7" t="str">
        <f>"978-7-108-06993-1"</f>
        <v>978-7-108-06993-1</v>
      </c>
      <c r="C16" s="7" t="str">
        <f>"诗论"</f>
        <v>诗论</v>
      </c>
      <c r="D16" s="7" t="str">
        <f>"朱光潜著"</f>
        <v>朱光潜著</v>
      </c>
      <c r="E16" s="7" t="str">
        <f>"三联书店"</f>
        <v>三联书店</v>
      </c>
      <c r="F16" s="7" t="str">
        <f>"I052/56-2"</f>
        <v>I052/56-2</v>
      </c>
    </row>
    <row r="17" customHeight="1" spans="1:6">
      <c r="A17" s="6">
        <v>16</v>
      </c>
      <c r="B17" s="7" t="str">
        <f>"978-7-5339-6336-1"</f>
        <v>978-7-5339-6336-1</v>
      </c>
      <c r="C17" s="7" t="str">
        <f>"救猫咪：电影编剧指南：the last book on screenwriting that you'll ever need"</f>
        <v>救猫咪：电影编剧指南：the last book on screenwriting that you'll ever need</v>
      </c>
      <c r="D17" s="7" t="str">
        <f>"(美) 布莱克·斯奈德著Blake Snyder；孟影译"</f>
        <v>(美) 布莱克·斯奈德著Blake Snyder；孟影译</v>
      </c>
      <c r="E17" s="7" t="str">
        <f>"浙江文艺出版社"</f>
        <v>浙江文艺出版社</v>
      </c>
      <c r="F17" s="7" t="str">
        <f>"I053.5/19.2"</f>
        <v>I053.5/19.2</v>
      </c>
    </row>
    <row r="18" customHeight="1" spans="1:6">
      <c r="A18" s="6">
        <v>17</v>
      </c>
      <c r="B18" s="7" t="str">
        <f>"978-7-5339-6336-1"</f>
        <v>978-7-5339-6336-1</v>
      </c>
      <c r="C18" s="7" t="str">
        <f>"救猫咪：电影编剧指南：the last book on screenwriting that you'll ever need"</f>
        <v>救猫咪：电影编剧指南：the last book on screenwriting that you'll ever need</v>
      </c>
      <c r="D18" s="7" t="str">
        <f>"(美) 布莱克·斯奈德著Blake Snyder；孟影译"</f>
        <v>(美) 布莱克·斯奈德著Blake Snyder；孟影译</v>
      </c>
      <c r="E18" s="7" t="str">
        <f>"浙江文艺出版社"</f>
        <v>浙江文艺出版社</v>
      </c>
      <c r="F18" s="7" t="str">
        <f>"I053.5/19.2"</f>
        <v>I053.5/19.2</v>
      </c>
    </row>
    <row r="19" customHeight="1" spans="1:6">
      <c r="A19" s="6">
        <v>18</v>
      </c>
      <c r="B19" s="8" t="s">
        <v>9782</v>
      </c>
      <c r="C19" s="8" t="s">
        <v>9783</v>
      </c>
      <c r="D19" s="8" t="s">
        <v>9784</v>
      </c>
      <c r="E19" s="8" t="s">
        <v>2575</v>
      </c>
      <c r="F19" s="8" t="s">
        <v>9785</v>
      </c>
    </row>
    <row r="20" customHeight="1" spans="1:6">
      <c r="A20" s="6">
        <v>19</v>
      </c>
      <c r="B20" s="8" t="s">
        <v>9782</v>
      </c>
      <c r="C20" s="8" t="s">
        <v>9783</v>
      </c>
      <c r="D20" s="8" t="s">
        <v>9784</v>
      </c>
      <c r="E20" s="8" t="s">
        <v>2575</v>
      </c>
      <c r="F20" s="8" t="s">
        <v>9785</v>
      </c>
    </row>
    <row r="21" customHeight="1" spans="1:6">
      <c r="A21" s="6">
        <v>20</v>
      </c>
      <c r="B21" s="7" t="str">
        <f>"978-7-5711-0805-2"</f>
        <v>978-7-5711-0805-2</v>
      </c>
      <c r="C21" s="7" t="str">
        <f>"小说创作大师班"</f>
        <v>小说创作大师班</v>
      </c>
      <c r="D21" s="7" t="str">
        <f>"(美) 威廉·凯恩著Willam Cane；黄筠译"</f>
        <v>(美) 威廉·凯恩著Willam Cane；黄筠译</v>
      </c>
      <c r="E21" s="7" t="str">
        <f>"大象出版社"</f>
        <v>大象出版社</v>
      </c>
      <c r="F21" s="7" t="str">
        <f>"I054/64"</f>
        <v>I054/64</v>
      </c>
    </row>
    <row r="22" customHeight="1" spans="1:6">
      <c r="A22" s="6">
        <v>21</v>
      </c>
      <c r="B22" s="7" t="str">
        <f>"978-7-5711-0805-2"</f>
        <v>978-7-5711-0805-2</v>
      </c>
      <c r="C22" s="7" t="str">
        <f>"小说创作大师班"</f>
        <v>小说创作大师班</v>
      </c>
      <c r="D22" s="7" t="str">
        <f>"(美) 威廉·凯恩著Willam Cane；黄筠译"</f>
        <v>(美) 威廉·凯恩著Willam Cane；黄筠译</v>
      </c>
      <c r="E22" s="7" t="str">
        <f>"大象出版社"</f>
        <v>大象出版社</v>
      </c>
      <c r="F22" s="7" t="str">
        <f>"I054/64"</f>
        <v>I054/64</v>
      </c>
    </row>
    <row r="23" customHeight="1" spans="1:6">
      <c r="A23" s="6">
        <v>22</v>
      </c>
      <c r="B23" s="7" t="str">
        <f>"978-7-5212-1047-7"</f>
        <v>978-7-5212-1047-7</v>
      </c>
      <c r="C23" s="7" t="str">
        <f>"文学场：反诘与叩问：新笔记体批评"</f>
        <v>文学场：反诘与叩问：新笔记体批评</v>
      </c>
      <c r="D23" s="7" t="str">
        <f>"傅逸尘著"</f>
        <v>傅逸尘著</v>
      </c>
      <c r="E23" s="7" t="str">
        <f>"作家出版社"</f>
        <v>作家出版社</v>
      </c>
      <c r="F23" s="7" t="str">
        <f>"I06/110"</f>
        <v>I06/110</v>
      </c>
    </row>
    <row r="24" customHeight="1" spans="1:6">
      <c r="A24" s="6">
        <v>23</v>
      </c>
      <c r="B24" s="7" t="str">
        <f>"978-7-5212-1047-7"</f>
        <v>978-7-5212-1047-7</v>
      </c>
      <c r="C24" s="7" t="str">
        <f>"文学场：反诘与叩问：新笔记体批评"</f>
        <v>文学场：反诘与叩问：新笔记体批评</v>
      </c>
      <c r="D24" s="7" t="str">
        <f>"傅逸尘著"</f>
        <v>傅逸尘著</v>
      </c>
      <c r="E24" s="7" t="str">
        <f>"作家出版社"</f>
        <v>作家出版社</v>
      </c>
      <c r="F24" s="7" t="str">
        <f>"I06/110"</f>
        <v>I06/110</v>
      </c>
    </row>
    <row r="25" customHeight="1" spans="1:6">
      <c r="A25" s="6">
        <v>24</v>
      </c>
      <c r="B25" s="7" t="str">
        <f>"978-7-108-06761-6"</f>
        <v>978-7-108-06761-6</v>
      </c>
      <c r="C25" s="7" t="str">
        <f>"浪漫的谎言与小说的真实"</f>
        <v>浪漫的谎言与小说的真实</v>
      </c>
      <c r="D25" s="7" t="str">
        <f>"(法) 勒内·基拉尔著Rene Girard；罗芃译"</f>
        <v>(法) 勒内·基拉尔著Rene Girard；罗芃译</v>
      </c>
      <c r="E25" s="7" t="str">
        <f>"三联书店"</f>
        <v>三联书店</v>
      </c>
      <c r="F25" s="7" t="str">
        <f>"I106.4/46-2"</f>
        <v>I106.4/46-2</v>
      </c>
    </row>
    <row r="26" customHeight="1" spans="1:6">
      <c r="A26" s="6">
        <v>25</v>
      </c>
      <c r="B26" s="7" t="str">
        <f>"978-7-108-06761-6"</f>
        <v>978-7-108-06761-6</v>
      </c>
      <c r="C26" s="7" t="str">
        <f>"浪漫的谎言与小说的真实"</f>
        <v>浪漫的谎言与小说的真实</v>
      </c>
      <c r="D26" s="7" t="str">
        <f>"(法) 勒内·基拉尔著Rene Girard；罗芃译"</f>
        <v>(法) 勒内·基拉尔著Rene Girard；罗芃译</v>
      </c>
      <c r="E26" s="7" t="str">
        <f>"三联书店"</f>
        <v>三联书店</v>
      </c>
      <c r="F26" s="7" t="str">
        <f>"I106.4/46-2"</f>
        <v>I106.4/46-2</v>
      </c>
    </row>
    <row r="27" customHeight="1" spans="1:6">
      <c r="A27" s="6">
        <v>26</v>
      </c>
      <c r="B27" s="7" t="str">
        <f>"978-7-5225-0151-2"</f>
        <v>978-7-5225-0151-2</v>
      </c>
      <c r="C27" s="7" t="str">
        <f>"东方文学译介与研究史"</f>
        <v>东方文学译介与研究史</v>
      </c>
      <c r="D27" s="7" t="str">
        <f>"王向远著"</f>
        <v>王向远著</v>
      </c>
      <c r="E27" s="7" t="str">
        <f>"九州出版社"</f>
        <v>九州出版社</v>
      </c>
      <c r="F27" s="7" t="str">
        <f>"I106/355"</f>
        <v>I106/355</v>
      </c>
    </row>
    <row r="28" customHeight="1" spans="1:6">
      <c r="A28" s="6">
        <v>27</v>
      </c>
      <c r="B28" s="7" t="str">
        <f>"978-7-5225-0151-2"</f>
        <v>978-7-5225-0151-2</v>
      </c>
      <c r="C28" s="7" t="str">
        <f>"东方文学译介与研究史"</f>
        <v>东方文学译介与研究史</v>
      </c>
      <c r="D28" s="7" t="str">
        <f>"王向远著"</f>
        <v>王向远著</v>
      </c>
      <c r="E28" s="7" t="str">
        <f>"九州出版社"</f>
        <v>九州出版社</v>
      </c>
      <c r="F28" s="7" t="str">
        <f>"I106/355"</f>
        <v>I106/355</v>
      </c>
    </row>
    <row r="29" customHeight="1" spans="1:6">
      <c r="A29" s="6">
        <v>28</v>
      </c>
      <c r="B29" s="7" t="str">
        <f t="shared" ref="B29:B31" si="5">"978-7-5360-9461-1"</f>
        <v>978-7-5360-9461-1</v>
      </c>
      <c r="C29" s="7" t="str">
        <f t="shared" ref="C29:C31" si="6">"跑步集"</f>
        <v>跑步集</v>
      </c>
      <c r="D29" s="7" t="str">
        <f t="shared" ref="D29:D31" si="7">"李敬泽著"</f>
        <v>李敬泽著</v>
      </c>
      <c r="E29" s="7" t="str">
        <f t="shared" ref="E29:E31" si="8">"花城出版社"</f>
        <v>花城出版社</v>
      </c>
      <c r="F29" s="7" t="str">
        <f t="shared" ref="F29:F31" si="9">"I106/356"</f>
        <v>I106/356</v>
      </c>
    </row>
    <row r="30" customHeight="1" spans="1:6">
      <c r="A30" s="6">
        <v>29</v>
      </c>
      <c r="B30" s="7" t="str">
        <f t="shared" si="5"/>
        <v>978-7-5360-9461-1</v>
      </c>
      <c r="C30" s="7" t="str">
        <f t="shared" si="6"/>
        <v>跑步集</v>
      </c>
      <c r="D30" s="7" t="str">
        <f t="shared" si="7"/>
        <v>李敬泽著</v>
      </c>
      <c r="E30" s="7" t="str">
        <f t="shared" si="8"/>
        <v>花城出版社</v>
      </c>
      <c r="F30" s="7" t="str">
        <f t="shared" si="9"/>
        <v>I106/356</v>
      </c>
    </row>
    <row r="31" customHeight="1" spans="1:6">
      <c r="A31" s="6">
        <v>30</v>
      </c>
      <c r="B31" s="7" t="str">
        <f t="shared" si="5"/>
        <v>978-7-5360-9461-1</v>
      </c>
      <c r="C31" s="7" t="str">
        <f t="shared" si="6"/>
        <v>跑步集</v>
      </c>
      <c r="D31" s="7" t="str">
        <f t="shared" si="7"/>
        <v>李敬泽著</v>
      </c>
      <c r="E31" s="7" t="str">
        <f t="shared" si="8"/>
        <v>花城出版社</v>
      </c>
      <c r="F31" s="7" t="str">
        <f t="shared" si="9"/>
        <v>I106/356</v>
      </c>
    </row>
    <row r="32" customHeight="1" spans="1:6">
      <c r="A32" s="6">
        <v>31</v>
      </c>
      <c r="B32" s="7" t="str">
        <f>"978-7-307-12718-0"</f>
        <v>978-7-307-12718-0</v>
      </c>
      <c r="C32" s="7" t="str">
        <f>"西方20世纪文学批评教程"</f>
        <v>西方20世纪文学批评教程</v>
      </c>
      <c r="D32" s="7" t="str">
        <f>"主编邓新华， 章辉"</f>
        <v>主编邓新华， 章辉</v>
      </c>
      <c r="E32" s="7" t="str">
        <f>"武汉大学出版社"</f>
        <v>武汉大学出版社</v>
      </c>
      <c r="F32" s="7" t="str">
        <f>"I106/357"</f>
        <v>I106/357</v>
      </c>
    </row>
    <row r="33" customHeight="1" spans="1:6">
      <c r="A33" s="6">
        <v>32</v>
      </c>
      <c r="B33" s="7" t="str">
        <f>"978-7-307-12718-0"</f>
        <v>978-7-307-12718-0</v>
      </c>
      <c r="C33" s="7" t="str">
        <f>"西方20世纪文学批评教程"</f>
        <v>西方20世纪文学批评教程</v>
      </c>
      <c r="D33" s="7" t="str">
        <f>"主编邓新华， 章辉"</f>
        <v>主编邓新华， 章辉</v>
      </c>
      <c r="E33" s="7" t="str">
        <f>"武汉大学出版社"</f>
        <v>武汉大学出版社</v>
      </c>
      <c r="F33" s="7" t="str">
        <f>"I106/357"</f>
        <v>I106/357</v>
      </c>
    </row>
    <row r="34" customHeight="1" spans="1:6">
      <c r="A34" s="6">
        <v>33</v>
      </c>
      <c r="B34" s="8" t="s">
        <v>9786</v>
      </c>
      <c r="C34" s="8" t="s">
        <v>9787</v>
      </c>
      <c r="D34" s="8" t="s">
        <v>9788</v>
      </c>
      <c r="E34" s="8" t="s">
        <v>270</v>
      </c>
      <c r="F34" s="8" t="s">
        <v>9789</v>
      </c>
    </row>
    <row r="35" customHeight="1" spans="1:6">
      <c r="A35" s="6">
        <v>34</v>
      </c>
      <c r="B35" s="8" t="s">
        <v>9786</v>
      </c>
      <c r="C35" s="8" t="s">
        <v>9787</v>
      </c>
      <c r="D35" s="8" t="s">
        <v>9788</v>
      </c>
      <c r="E35" s="8" t="s">
        <v>270</v>
      </c>
      <c r="F35" s="8" t="s">
        <v>9789</v>
      </c>
    </row>
    <row r="36" customHeight="1" spans="1:6">
      <c r="A36" s="6">
        <v>35</v>
      </c>
      <c r="B36" s="8" t="s">
        <v>9790</v>
      </c>
      <c r="C36" s="8" t="s">
        <v>9791</v>
      </c>
      <c r="D36" s="8" t="s">
        <v>9792</v>
      </c>
      <c r="E36" s="8" t="s">
        <v>9793</v>
      </c>
      <c r="F36" s="8" t="s">
        <v>9794</v>
      </c>
    </row>
    <row r="37" customHeight="1" spans="1:6">
      <c r="A37" s="6">
        <v>36</v>
      </c>
      <c r="B37" s="8" t="s">
        <v>9790</v>
      </c>
      <c r="C37" s="8" t="s">
        <v>9791</v>
      </c>
      <c r="D37" s="8" t="s">
        <v>9792</v>
      </c>
      <c r="E37" s="8" t="s">
        <v>9793</v>
      </c>
      <c r="F37" s="8" t="s">
        <v>9794</v>
      </c>
    </row>
    <row r="38" customHeight="1" spans="1:6">
      <c r="A38" s="6">
        <v>37</v>
      </c>
      <c r="B38" s="7" t="str">
        <f>"978-7-5225-0149-9"</f>
        <v>978-7-5225-0149-9</v>
      </c>
      <c r="C38" s="7" t="str">
        <f>"东方文学史通论"</f>
        <v>东方文学史通论</v>
      </c>
      <c r="D38" s="7" t="str">
        <f>"王向远著"</f>
        <v>王向远著</v>
      </c>
      <c r="E38" s="7" t="str">
        <f>"九州出版社"</f>
        <v>九州出版社</v>
      </c>
      <c r="F38" s="7" t="str">
        <f>"I109/89"</f>
        <v>I109/89</v>
      </c>
    </row>
    <row r="39" customHeight="1" spans="1:6">
      <c r="A39" s="6">
        <v>38</v>
      </c>
      <c r="B39" s="7" t="str">
        <f>"978-7-5225-0149-9"</f>
        <v>978-7-5225-0149-9</v>
      </c>
      <c r="C39" s="7" t="str">
        <f>"东方文学史通论"</f>
        <v>东方文学史通论</v>
      </c>
      <c r="D39" s="7" t="str">
        <f>"王向远著"</f>
        <v>王向远著</v>
      </c>
      <c r="E39" s="7" t="str">
        <f>"九州出版社"</f>
        <v>九州出版社</v>
      </c>
      <c r="F39" s="7" t="str">
        <f>"I109/89"</f>
        <v>I109/89</v>
      </c>
    </row>
    <row r="40" customHeight="1" spans="1:6">
      <c r="A40" s="6">
        <v>39</v>
      </c>
      <c r="B40" s="7" t="str">
        <f>"978-7-5146-2008-5"</f>
        <v>978-7-5146-2008-5</v>
      </c>
      <c r="C40" s="7" t="str">
        <f>"未竟的杰作：文学史上的60个遗憾"</f>
        <v>未竟的杰作：文学史上的60个遗憾</v>
      </c>
      <c r="D40" s="7" t="str">
        <f>"(英) 伯纳德·理查兹主编；沙丁译"</f>
        <v>(英) 伯纳德·理查兹主编；沙丁译</v>
      </c>
      <c r="E40" s="7" t="str">
        <f>"中国画报出版社"</f>
        <v>中国画报出版社</v>
      </c>
      <c r="F40" s="7" t="str">
        <f>"I109/90"</f>
        <v>I109/90</v>
      </c>
    </row>
    <row r="41" customHeight="1" spans="1:6">
      <c r="A41" s="6">
        <v>40</v>
      </c>
      <c r="B41" s="7" t="str">
        <f>"978-7-5146-2008-5"</f>
        <v>978-7-5146-2008-5</v>
      </c>
      <c r="C41" s="7" t="str">
        <f>"未竟的杰作：文学史上的60个遗憾"</f>
        <v>未竟的杰作：文学史上的60个遗憾</v>
      </c>
      <c r="D41" s="7" t="str">
        <f>"(英) 伯纳德·理查兹主编；沙丁译"</f>
        <v>(英) 伯纳德·理查兹主编；沙丁译</v>
      </c>
      <c r="E41" s="7" t="str">
        <f>"中国画报出版社"</f>
        <v>中国画报出版社</v>
      </c>
      <c r="F41" s="7" t="str">
        <f>"I109/90"</f>
        <v>I109/90</v>
      </c>
    </row>
    <row r="42" customHeight="1" spans="1:6">
      <c r="A42" s="6">
        <v>41</v>
      </c>
      <c r="B42" s="9" t="str">
        <f>"978-7-5217-2925-2"</f>
        <v>978-7-5217-2925-2</v>
      </c>
      <c r="C42" s="9" t="str">
        <f>"琥珀中的生命"</f>
        <v>琥珀中的生命</v>
      </c>
      <c r="D42" s="9" t="str">
        <f>"未来事务管理局编著"</f>
        <v>未来事务管理局编著</v>
      </c>
      <c r="E42" s="9" t="str">
        <f>"中信出版集团股份有限公司"</f>
        <v>中信出版集团股份有限公司</v>
      </c>
      <c r="F42" s="9" t="str">
        <f>"I14/751"</f>
        <v>I14/751</v>
      </c>
    </row>
    <row r="43" customHeight="1" spans="1:6">
      <c r="A43" s="6">
        <v>42</v>
      </c>
      <c r="B43" s="9" t="str">
        <f>"978-7-5217-2925-2"</f>
        <v>978-7-5217-2925-2</v>
      </c>
      <c r="C43" s="9" t="str">
        <f>"琥珀中的生命"</f>
        <v>琥珀中的生命</v>
      </c>
      <c r="D43" s="9" t="str">
        <f>"未来事务管理局编著"</f>
        <v>未来事务管理局编著</v>
      </c>
      <c r="E43" s="9" t="str">
        <f>"中信出版集团股份有限公司"</f>
        <v>中信出版集团股份有限公司</v>
      </c>
      <c r="F43" s="9" t="str">
        <f>"I14/751"</f>
        <v>I14/751</v>
      </c>
    </row>
    <row r="44" customHeight="1" spans="1:6">
      <c r="A44" s="6">
        <v>43</v>
      </c>
      <c r="B44" s="7" t="str">
        <f>"978-7-313-20768-5"</f>
        <v>978-7-313-20768-5</v>
      </c>
      <c r="C44" s="7" t="str">
        <f>"“一带一路”访问记：在华留学生的“回乡”见闻"</f>
        <v>“一带一路”访问记：在华留学生的“回乡”见闻</v>
      </c>
      <c r="D44" s="7" t="str">
        <f>"黄平， 左亚娜主编"</f>
        <v>黄平， 左亚娜主编</v>
      </c>
      <c r="E44" s="7" t="str">
        <f>"上海交通大学出版社"</f>
        <v>上海交通大学出版社</v>
      </c>
      <c r="F44" s="7" t="str">
        <f>"I15/15"</f>
        <v>I15/15</v>
      </c>
    </row>
    <row r="45" customHeight="1" spans="1:6">
      <c r="A45" s="6">
        <v>44</v>
      </c>
      <c r="B45" s="7" t="str">
        <f>"978-7-313-20768-5"</f>
        <v>978-7-313-20768-5</v>
      </c>
      <c r="C45" s="7" t="str">
        <f>"“一带一路”访问记：在华留学生的“回乡”见闻"</f>
        <v>“一带一路”访问记：在华留学生的“回乡”见闻</v>
      </c>
      <c r="D45" s="7" t="str">
        <f>"黄平， 左亚娜主编"</f>
        <v>黄平， 左亚娜主编</v>
      </c>
      <c r="E45" s="7" t="str">
        <f>"上海交通大学出版社"</f>
        <v>上海交通大学出版社</v>
      </c>
      <c r="F45" s="7" t="str">
        <f>"I15/15"</f>
        <v>I15/15</v>
      </c>
    </row>
    <row r="46" customHeight="1" spans="1:6">
      <c r="A46" s="6">
        <v>45</v>
      </c>
      <c r="B46" s="7" t="str">
        <f>"978-7-5671-4196-4"</f>
        <v>978-7-5671-4196-4</v>
      </c>
      <c r="C46" s="7" t="str">
        <f>"简明中国文学批评史教程"</f>
        <v>简明中国文学批评史教程</v>
      </c>
      <c r="D46" s="7" t="str">
        <f>"饶龙隼主编"</f>
        <v>饶龙隼主编</v>
      </c>
      <c r="E46" s="7" t="str">
        <f>"上海大学出版社"</f>
        <v>上海大学出版社</v>
      </c>
      <c r="F46" s="7" t="str">
        <f>"I206.09/36"</f>
        <v>I206.09/36</v>
      </c>
    </row>
    <row r="47" customHeight="1" spans="1:6">
      <c r="A47" s="6">
        <v>46</v>
      </c>
      <c r="B47" s="7" t="str">
        <f>"978-7-5671-4196-4"</f>
        <v>978-7-5671-4196-4</v>
      </c>
      <c r="C47" s="7" t="str">
        <f>"简明中国文学批评史教程"</f>
        <v>简明中国文学批评史教程</v>
      </c>
      <c r="D47" s="7" t="str">
        <f>"饶龙隼主编"</f>
        <v>饶龙隼主编</v>
      </c>
      <c r="E47" s="7" t="str">
        <f>"上海大学出版社"</f>
        <v>上海大学出版社</v>
      </c>
      <c r="F47" s="7" t="str">
        <f>"I206.09/36"</f>
        <v>I206.09/36</v>
      </c>
    </row>
    <row r="48" customHeight="1" spans="1:6">
      <c r="A48" s="6">
        <v>47</v>
      </c>
      <c r="B48" s="7" t="str">
        <f>"978-7-5598-3179-8"</f>
        <v>978-7-5598-3179-8</v>
      </c>
      <c r="C48" s="7" t="str">
        <f>"文心雕龙讲记"</f>
        <v>文心雕龙讲记</v>
      </c>
      <c r="D48" s="7" t="str">
        <f>"龚鹏程著"</f>
        <v>龚鹏程著</v>
      </c>
      <c r="E48" s="7" t="str">
        <f>"广西师范大学出版社"</f>
        <v>广西师范大学出版社</v>
      </c>
      <c r="F48" s="7" t="str">
        <f>"I206.2/466"</f>
        <v>I206.2/466</v>
      </c>
    </row>
    <row r="49" customHeight="1" spans="1:6">
      <c r="A49" s="6">
        <v>48</v>
      </c>
      <c r="B49" s="7" t="str">
        <f>"978-7-5598-3179-8"</f>
        <v>978-7-5598-3179-8</v>
      </c>
      <c r="C49" s="7" t="str">
        <f>"文心雕龙讲记"</f>
        <v>文心雕龙讲记</v>
      </c>
      <c r="D49" s="7" t="str">
        <f>"龚鹏程著"</f>
        <v>龚鹏程著</v>
      </c>
      <c r="E49" s="7" t="str">
        <f>"广西师范大学出版社"</f>
        <v>广西师范大学出版社</v>
      </c>
      <c r="F49" s="7" t="str">
        <f>"I206.2/466"</f>
        <v>I206.2/466</v>
      </c>
    </row>
    <row r="50" customHeight="1" spans="1:6">
      <c r="A50" s="6">
        <v>49</v>
      </c>
      <c r="B50" s="7" t="str">
        <f>"978-7-101-15257-9"</f>
        <v>978-7-101-15257-9</v>
      </c>
      <c r="C50" s="7" t="str">
        <f>"文選資料彙編．騷類卷"</f>
        <v>文選資料彙編．騷類卷</v>
      </c>
      <c r="D50" s="7" t="str">
        <f>" "</f>
        <v> </v>
      </c>
      <c r="E50" s="7" t="str">
        <f>"中華書局"</f>
        <v>中華書局</v>
      </c>
      <c r="F50" s="7" t="str">
        <f>"I206.2/467/1"</f>
        <v>I206.2/467/1</v>
      </c>
    </row>
    <row r="51" customHeight="1" spans="1:6">
      <c r="A51" s="6">
        <v>50</v>
      </c>
      <c r="B51" s="7" t="str">
        <f>"978-7-101-15257-9"</f>
        <v>978-7-101-15257-9</v>
      </c>
      <c r="C51" s="7" t="str">
        <f>"文選資料彙編．騷類卷"</f>
        <v>文選資料彙編．騷類卷</v>
      </c>
      <c r="D51" s="7" t="str">
        <f>" "</f>
        <v> </v>
      </c>
      <c r="E51" s="7" t="str">
        <f>"中華書局"</f>
        <v>中華書局</v>
      </c>
      <c r="F51" s="7" t="str">
        <f>"I206.2/467/1"</f>
        <v>I206.2/467/1</v>
      </c>
    </row>
    <row r="52" customHeight="1" spans="1:6">
      <c r="A52" s="6">
        <v>51</v>
      </c>
      <c r="B52" s="7" t="str">
        <f>"978-7-100-11360-1"</f>
        <v>978-7-100-11360-1</v>
      </c>
      <c r="C52" s="7" t="str">
        <f>"汉魏六朝文学与文献论稿"</f>
        <v>汉魏六朝文学与文献论稿</v>
      </c>
      <c r="D52" s="7" t="str">
        <f>"傅刚著"</f>
        <v>傅刚著</v>
      </c>
      <c r="E52" s="7" t="str">
        <f>"商务印书馆"</f>
        <v>商务印书馆</v>
      </c>
      <c r="F52" s="7" t="str">
        <f>"I206.2/468"</f>
        <v>I206.2/468</v>
      </c>
    </row>
    <row r="53" customHeight="1" spans="1:6">
      <c r="A53" s="6">
        <v>52</v>
      </c>
      <c r="B53" s="7" t="str">
        <f>"978-7-100-11360-1"</f>
        <v>978-7-100-11360-1</v>
      </c>
      <c r="C53" s="7" t="str">
        <f>"汉魏六朝文学与文献论稿"</f>
        <v>汉魏六朝文学与文献论稿</v>
      </c>
      <c r="D53" s="7" t="str">
        <f>"傅刚著"</f>
        <v>傅刚著</v>
      </c>
      <c r="E53" s="7" t="str">
        <f>"商务印书馆"</f>
        <v>商务印书馆</v>
      </c>
      <c r="F53" s="7" t="str">
        <f>"I206.2/468"</f>
        <v>I206.2/468</v>
      </c>
    </row>
    <row r="54" customHeight="1" spans="1:6">
      <c r="A54" s="6">
        <v>53</v>
      </c>
      <c r="B54" s="7" t="str">
        <f>"978-7-5039-6648-4"</f>
        <v>978-7-5039-6648-4</v>
      </c>
      <c r="C54" s="7" t="str">
        <f>"诠释与考证：中国现代史学大家的文学研究"</f>
        <v>诠释与考证：中国现代史学大家的文学研究</v>
      </c>
      <c r="D54" s="7" t="str">
        <f>"郭士礼， 严丹著"</f>
        <v>郭士礼， 严丹著</v>
      </c>
      <c r="E54" s="7" t="str">
        <f>"文化艺术出版社"</f>
        <v>文化艺术出版社</v>
      </c>
      <c r="F54" s="7" t="str">
        <f>"I206.2/469"</f>
        <v>I206.2/469</v>
      </c>
    </row>
    <row r="55" customHeight="1" spans="1:6">
      <c r="A55" s="6">
        <v>54</v>
      </c>
      <c r="B55" s="7" t="str">
        <f>"978-7-5039-6648-4"</f>
        <v>978-7-5039-6648-4</v>
      </c>
      <c r="C55" s="7" t="str">
        <f>"诠释与考证：中国现代史学大家的文学研究"</f>
        <v>诠释与考证：中国现代史学大家的文学研究</v>
      </c>
      <c r="D55" s="7" t="str">
        <f>"郭士礼， 严丹著"</f>
        <v>郭士礼， 严丹著</v>
      </c>
      <c r="E55" s="7" t="str">
        <f>"文化艺术出版社"</f>
        <v>文化艺术出版社</v>
      </c>
      <c r="F55" s="7" t="str">
        <f>"I206.2/469"</f>
        <v>I206.2/469</v>
      </c>
    </row>
    <row r="56" customHeight="1" spans="1:6">
      <c r="A56" s="6">
        <v>55</v>
      </c>
      <c r="B56" s="7" t="str">
        <f t="shared" ref="B56:B65" si="10">"978-7-5531-1464-4"</f>
        <v>978-7-5531-1464-4</v>
      </c>
      <c r="C56" s="7" t="str">
        <f>"宋代文話全編．第一册"</f>
        <v>宋代文話全編．第一册</v>
      </c>
      <c r="D56" s="7" t="str">
        <f t="shared" ref="D56:D65" si="11">"曾棗莊， 曾濤編纂"</f>
        <v>曾棗莊， 曾濤編纂</v>
      </c>
      <c r="E56" s="7" t="str">
        <f t="shared" ref="E56:E65" si="12">"巴蜀書社"</f>
        <v>巴蜀書社</v>
      </c>
      <c r="F56" s="7" t="str">
        <f>"I206.44/6/1"</f>
        <v>I206.44/6/1</v>
      </c>
    </row>
    <row r="57" customHeight="1" spans="1:6">
      <c r="A57" s="6">
        <v>56</v>
      </c>
      <c r="B57" s="7" t="str">
        <f t="shared" si="10"/>
        <v>978-7-5531-1464-4</v>
      </c>
      <c r="C57" s="7" t="str">
        <f>"宋代文話全編．第十册"</f>
        <v>宋代文話全編．第十册</v>
      </c>
      <c r="D57" s="7" t="str">
        <f t="shared" si="11"/>
        <v>曾棗莊， 曾濤編纂</v>
      </c>
      <c r="E57" s="7" t="str">
        <f t="shared" si="12"/>
        <v>巴蜀書社</v>
      </c>
      <c r="F57" s="7" t="str">
        <f>"I206.44/6/10"</f>
        <v>I206.44/6/10</v>
      </c>
    </row>
    <row r="58" customHeight="1" spans="1:6">
      <c r="A58" s="6">
        <v>57</v>
      </c>
      <c r="B58" s="7" t="str">
        <f t="shared" si="10"/>
        <v>978-7-5531-1464-4</v>
      </c>
      <c r="C58" s="7" t="str">
        <f>"宋代文話全編．第二册"</f>
        <v>宋代文話全編．第二册</v>
      </c>
      <c r="D58" s="7" t="str">
        <f t="shared" si="11"/>
        <v>曾棗莊， 曾濤編纂</v>
      </c>
      <c r="E58" s="7" t="str">
        <f t="shared" si="12"/>
        <v>巴蜀書社</v>
      </c>
      <c r="F58" s="7" t="str">
        <f>"I206.44/6/2"</f>
        <v>I206.44/6/2</v>
      </c>
    </row>
    <row r="59" customHeight="1" spans="1:6">
      <c r="A59" s="6">
        <v>58</v>
      </c>
      <c r="B59" s="7" t="str">
        <f t="shared" si="10"/>
        <v>978-7-5531-1464-4</v>
      </c>
      <c r="C59" s="7" t="str">
        <f>"宋代文話全編．第三册"</f>
        <v>宋代文話全編．第三册</v>
      </c>
      <c r="D59" s="7" t="str">
        <f t="shared" si="11"/>
        <v>曾棗莊， 曾濤編纂</v>
      </c>
      <c r="E59" s="7" t="str">
        <f t="shared" si="12"/>
        <v>巴蜀書社</v>
      </c>
      <c r="F59" s="7" t="str">
        <f>"I206.44/6/3"</f>
        <v>I206.44/6/3</v>
      </c>
    </row>
    <row r="60" customHeight="1" spans="1:6">
      <c r="A60" s="6">
        <v>59</v>
      </c>
      <c r="B60" s="7" t="str">
        <f t="shared" si="10"/>
        <v>978-7-5531-1464-4</v>
      </c>
      <c r="C60" s="7" t="str">
        <f>"宋代文話全編．第四册"</f>
        <v>宋代文話全編．第四册</v>
      </c>
      <c r="D60" s="7" t="str">
        <f t="shared" si="11"/>
        <v>曾棗莊， 曾濤編纂</v>
      </c>
      <c r="E60" s="7" t="str">
        <f t="shared" si="12"/>
        <v>巴蜀書社</v>
      </c>
      <c r="F60" s="7" t="str">
        <f>"I206.44/6/4"</f>
        <v>I206.44/6/4</v>
      </c>
    </row>
    <row r="61" customHeight="1" spans="1:6">
      <c r="A61" s="6">
        <v>60</v>
      </c>
      <c r="B61" s="7" t="str">
        <f t="shared" si="10"/>
        <v>978-7-5531-1464-4</v>
      </c>
      <c r="C61" s="7" t="str">
        <f>"宋代文話全編．第五册"</f>
        <v>宋代文話全編．第五册</v>
      </c>
      <c r="D61" s="7" t="str">
        <f t="shared" si="11"/>
        <v>曾棗莊， 曾濤編纂</v>
      </c>
      <c r="E61" s="7" t="str">
        <f t="shared" si="12"/>
        <v>巴蜀書社</v>
      </c>
      <c r="F61" s="7" t="str">
        <f>"I206.44/6/5"</f>
        <v>I206.44/6/5</v>
      </c>
    </row>
    <row r="62" customHeight="1" spans="1:6">
      <c r="A62" s="6">
        <v>61</v>
      </c>
      <c r="B62" s="7" t="str">
        <f t="shared" si="10"/>
        <v>978-7-5531-1464-4</v>
      </c>
      <c r="C62" s="7" t="str">
        <f>"宋代文話全編．第六册"</f>
        <v>宋代文話全編．第六册</v>
      </c>
      <c r="D62" s="7" t="str">
        <f t="shared" si="11"/>
        <v>曾棗莊， 曾濤編纂</v>
      </c>
      <c r="E62" s="7" t="str">
        <f t="shared" si="12"/>
        <v>巴蜀書社</v>
      </c>
      <c r="F62" s="7" t="str">
        <f>"I206.44/6/6"</f>
        <v>I206.44/6/6</v>
      </c>
    </row>
    <row r="63" customHeight="1" spans="1:6">
      <c r="A63" s="6">
        <v>62</v>
      </c>
      <c r="B63" s="7" t="str">
        <f t="shared" si="10"/>
        <v>978-7-5531-1464-4</v>
      </c>
      <c r="C63" s="7" t="str">
        <f>"宋代文話全編．第七册"</f>
        <v>宋代文話全編．第七册</v>
      </c>
      <c r="D63" s="7" t="str">
        <f t="shared" si="11"/>
        <v>曾棗莊， 曾濤編纂</v>
      </c>
      <c r="E63" s="7" t="str">
        <f t="shared" si="12"/>
        <v>巴蜀書社</v>
      </c>
      <c r="F63" s="7" t="str">
        <f>"I206.44/6/7"</f>
        <v>I206.44/6/7</v>
      </c>
    </row>
    <row r="64" customHeight="1" spans="1:6">
      <c r="A64" s="6">
        <v>63</v>
      </c>
      <c r="B64" s="7" t="str">
        <f t="shared" si="10"/>
        <v>978-7-5531-1464-4</v>
      </c>
      <c r="C64" s="7" t="str">
        <f>"宋代文話全編．第八册"</f>
        <v>宋代文話全編．第八册</v>
      </c>
      <c r="D64" s="7" t="str">
        <f t="shared" si="11"/>
        <v>曾棗莊， 曾濤編纂</v>
      </c>
      <c r="E64" s="7" t="str">
        <f t="shared" si="12"/>
        <v>巴蜀書社</v>
      </c>
      <c r="F64" s="7" t="str">
        <f>"I206.44/6/8"</f>
        <v>I206.44/6/8</v>
      </c>
    </row>
    <row r="65" customHeight="1" spans="1:6">
      <c r="A65" s="6">
        <v>64</v>
      </c>
      <c r="B65" s="7" t="str">
        <f t="shared" si="10"/>
        <v>978-7-5531-1464-4</v>
      </c>
      <c r="C65" s="7" t="str">
        <f>"宋代文話全編．第九册"</f>
        <v>宋代文話全編．第九册</v>
      </c>
      <c r="D65" s="7" t="str">
        <f t="shared" si="11"/>
        <v>曾棗莊， 曾濤編纂</v>
      </c>
      <c r="E65" s="7" t="str">
        <f t="shared" si="12"/>
        <v>巴蜀書社</v>
      </c>
      <c r="F65" s="7" t="str">
        <f>"I206.44/6/9"</f>
        <v>I206.44/6/9</v>
      </c>
    </row>
    <row r="66" customHeight="1" spans="1:6">
      <c r="A66" s="6">
        <v>65</v>
      </c>
      <c r="B66" s="7" t="str">
        <f>"978-7-100-19809-7"</f>
        <v>978-7-100-19809-7</v>
      </c>
      <c r="C66" s="7" t="str">
        <f>"文本的内外：现代主体与审美形式"</f>
        <v>文本的内外：现代主体与审美形式</v>
      </c>
      <c r="D66" s="7" t="str">
        <f>"吴晓东著"</f>
        <v>吴晓东著</v>
      </c>
      <c r="E66" s="7" t="str">
        <f>"商务印书馆"</f>
        <v>商务印书馆</v>
      </c>
      <c r="F66" s="7" t="str">
        <f>"I206.6/362"</f>
        <v>I206.6/362</v>
      </c>
    </row>
    <row r="67" customHeight="1" spans="1:6">
      <c r="A67" s="6">
        <v>66</v>
      </c>
      <c r="B67" s="7" t="str">
        <f>"978-7-100-19809-7"</f>
        <v>978-7-100-19809-7</v>
      </c>
      <c r="C67" s="7" t="str">
        <f>"文本的内外：现代主体与审美形式"</f>
        <v>文本的内外：现代主体与审美形式</v>
      </c>
      <c r="D67" s="7" t="str">
        <f>"吴晓东著"</f>
        <v>吴晓东著</v>
      </c>
      <c r="E67" s="7" t="str">
        <f>"商务印书馆"</f>
        <v>商务印书馆</v>
      </c>
      <c r="F67" s="7" t="str">
        <f>"I206.6/362"</f>
        <v>I206.6/362</v>
      </c>
    </row>
    <row r="68" customHeight="1" spans="1:6">
      <c r="A68" s="6">
        <v>67</v>
      </c>
      <c r="B68" s="7" t="str">
        <f>"978-7-5133-4541-5"</f>
        <v>978-7-5133-4541-5</v>
      </c>
      <c r="C68" s="7" t="str">
        <f>"考辨集"</f>
        <v>考辨集</v>
      </c>
      <c r="D68" s="7" t="str">
        <f t="shared" ref="D68:D72" si="13">"严家炎著"</f>
        <v>严家炎著</v>
      </c>
      <c r="E68" s="7" t="str">
        <f t="shared" ref="E68:E72" si="14">"新星出版社"</f>
        <v>新星出版社</v>
      </c>
      <c r="F68" s="7" t="str">
        <f>"I206.6/363"</f>
        <v>I206.6/363</v>
      </c>
    </row>
    <row r="69" customHeight="1" spans="1:6">
      <c r="A69" s="6">
        <v>68</v>
      </c>
      <c r="B69" s="7" t="str">
        <f>"978-7-5133-4542-2"</f>
        <v>978-7-5133-4542-2</v>
      </c>
      <c r="C69" s="7" t="str">
        <f>"知春集"</f>
        <v>知春集</v>
      </c>
      <c r="D69" s="7" t="str">
        <f t="shared" si="13"/>
        <v>严家炎著</v>
      </c>
      <c r="E69" s="7" t="str">
        <f t="shared" si="14"/>
        <v>新星出版社</v>
      </c>
      <c r="F69" s="7" t="str">
        <f>"I206.6/364"</f>
        <v>I206.6/364</v>
      </c>
    </row>
    <row r="70" customHeight="1" spans="1:6">
      <c r="A70" s="6">
        <v>69</v>
      </c>
      <c r="B70" s="7" t="str">
        <f>"978-7-5133-4543-9"</f>
        <v>978-7-5133-4543-9</v>
      </c>
      <c r="C70" s="7" t="str">
        <f>"求实集"</f>
        <v>求实集</v>
      </c>
      <c r="D70" s="7" t="str">
        <f t="shared" si="13"/>
        <v>严家炎著</v>
      </c>
      <c r="E70" s="7" t="str">
        <f t="shared" si="14"/>
        <v>新星出版社</v>
      </c>
      <c r="F70" s="7" t="str">
        <f>"I206.6/365"</f>
        <v>I206.6/365</v>
      </c>
    </row>
    <row r="71" customHeight="1" spans="1:6">
      <c r="A71" s="6">
        <v>70</v>
      </c>
      <c r="B71" s="7" t="str">
        <f>"978-7-5133-4547-7"</f>
        <v>978-7-5133-4547-7</v>
      </c>
      <c r="C71" s="7" t="str">
        <f>"问学集"</f>
        <v>问学集</v>
      </c>
      <c r="D71" s="7" t="str">
        <f t="shared" si="13"/>
        <v>严家炎著</v>
      </c>
      <c r="E71" s="7" t="str">
        <f t="shared" si="14"/>
        <v>新星出版社</v>
      </c>
      <c r="F71" s="7" t="str">
        <f>"I206.6/366"</f>
        <v>I206.6/366</v>
      </c>
    </row>
    <row r="72" customHeight="1" spans="1:6">
      <c r="A72" s="6">
        <v>71</v>
      </c>
      <c r="B72" s="7" t="str">
        <f>"978-7-5133-4548-4"</f>
        <v>978-7-5133-4548-4</v>
      </c>
      <c r="C72" s="7" t="str">
        <f>"朝闻集"</f>
        <v>朝闻集</v>
      </c>
      <c r="D72" s="7" t="str">
        <f t="shared" si="13"/>
        <v>严家炎著</v>
      </c>
      <c r="E72" s="7" t="str">
        <f t="shared" si="14"/>
        <v>新星出版社</v>
      </c>
      <c r="F72" s="7" t="str">
        <f>"I206.6/367"</f>
        <v>I206.6/367</v>
      </c>
    </row>
    <row r="73" customHeight="1" spans="1:6">
      <c r="A73" s="6">
        <v>72</v>
      </c>
      <c r="B73" s="9" t="str">
        <f>"978-7-5212-1100-9"</f>
        <v>978-7-5212-1100-9</v>
      </c>
      <c r="C73" s="9" t="str">
        <f>"莫言论"</f>
        <v>莫言论</v>
      </c>
      <c r="D73" s="9" t="str">
        <f>"张闳著"</f>
        <v>张闳著</v>
      </c>
      <c r="E73" s="9" t="str">
        <f t="shared" ref="E73:E82" si="15">"作家出版社"</f>
        <v>作家出版社</v>
      </c>
      <c r="F73" s="9" t="str">
        <f>"I206.7/637"</f>
        <v>I206.7/637</v>
      </c>
    </row>
    <row r="74" customHeight="1" spans="1:6">
      <c r="A74" s="6">
        <v>73</v>
      </c>
      <c r="B74" s="9" t="str">
        <f>"978-7-5212-1100-9"</f>
        <v>978-7-5212-1100-9</v>
      </c>
      <c r="C74" s="9" t="str">
        <f>"莫言论"</f>
        <v>莫言论</v>
      </c>
      <c r="D74" s="9" t="str">
        <f>"张闳著"</f>
        <v>张闳著</v>
      </c>
      <c r="E74" s="9" t="str">
        <f t="shared" si="15"/>
        <v>作家出版社</v>
      </c>
      <c r="F74" s="9" t="str">
        <f>"I206.7/637"</f>
        <v>I206.7/637</v>
      </c>
    </row>
    <row r="75" customHeight="1" spans="1:6">
      <c r="A75" s="6">
        <v>74</v>
      </c>
      <c r="B75" s="7" t="str">
        <f>"978-7-5476-1753-3"</f>
        <v>978-7-5476-1753-3</v>
      </c>
      <c r="C75" s="7" t="str">
        <f>"文学城市：文化想象与本土实践"</f>
        <v>文学城市：文化想象与本土实践</v>
      </c>
      <c r="D75" s="7" t="str">
        <f>"上海社会科学院文学研究所中国文学研究室编"</f>
        <v>上海社会科学院文学研究所中国文学研究室编</v>
      </c>
      <c r="E75" s="7" t="str">
        <f>"上海人民出版社"</f>
        <v>上海人民出版社</v>
      </c>
      <c r="F75" s="7" t="str">
        <f>"I206.7/638"</f>
        <v>I206.7/638</v>
      </c>
    </row>
    <row r="76" customHeight="1" spans="1:6">
      <c r="A76" s="6">
        <v>75</v>
      </c>
      <c r="B76" s="7" t="str">
        <f>"978-7-5476-1753-3"</f>
        <v>978-7-5476-1753-3</v>
      </c>
      <c r="C76" s="7" t="str">
        <f>"文学城市：文化想象与本土实践"</f>
        <v>文学城市：文化想象与本土实践</v>
      </c>
      <c r="D76" s="7" t="str">
        <f>"上海社会科学院文学研究所中国文学研究室编"</f>
        <v>上海社会科学院文学研究所中国文学研究室编</v>
      </c>
      <c r="E76" s="7" t="str">
        <f>"上海人民出版社"</f>
        <v>上海人民出版社</v>
      </c>
      <c r="F76" s="7" t="str">
        <f>"I206.7/638"</f>
        <v>I206.7/638</v>
      </c>
    </row>
    <row r="77" customHeight="1" spans="1:6">
      <c r="A77" s="6">
        <v>76</v>
      </c>
      <c r="B77" s="7" t="str">
        <f t="shared" ref="B77:B79" si="16">"978-7-5212-1469-7"</f>
        <v>978-7-5212-1469-7</v>
      </c>
      <c r="C77" s="7" t="str">
        <f t="shared" ref="C77:C79" si="17">"1980年代先锋文学批评研究：文学研究"</f>
        <v>1980年代先锋文学批评研究：文学研究</v>
      </c>
      <c r="D77" s="7" t="str">
        <f t="shared" ref="D77:D79" si="18">"崔庆蕾著"</f>
        <v>崔庆蕾著</v>
      </c>
      <c r="E77" s="7" t="str">
        <f t="shared" si="15"/>
        <v>作家出版社</v>
      </c>
      <c r="F77" s="7" t="str">
        <f t="shared" ref="F77:F79" si="19">"I206.7/639"</f>
        <v>I206.7/639</v>
      </c>
    </row>
    <row r="78" customHeight="1" spans="1:6">
      <c r="A78" s="6">
        <v>77</v>
      </c>
      <c r="B78" s="7" t="str">
        <f t="shared" si="16"/>
        <v>978-7-5212-1469-7</v>
      </c>
      <c r="C78" s="7" t="str">
        <f t="shared" si="17"/>
        <v>1980年代先锋文学批评研究：文学研究</v>
      </c>
      <c r="D78" s="7" t="str">
        <f t="shared" si="18"/>
        <v>崔庆蕾著</v>
      </c>
      <c r="E78" s="7" t="str">
        <f t="shared" si="15"/>
        <v>作家出版社</v>
      </c>
      <c r="F78" s="7" t="str">
        <f t="shared" si="19"/>
        <v>I206.7/639</v>
      </c>
    </row>
    <row r="79" customHeight="1" spans="1:6">
      <c r="A79" s="6">
        <v>78</v>
      </c>
      <c r="B79" s="7" t="str">
        <f t="shared" si="16"/>
        <v>978-7-5212-1469-7</v>
      </c>
      <c r="C79" s="7" t="str">
        <f t="shared" si="17"/>
        <v>1980年代先锋文学批评研究：文学研究</v>
      </c>
      <c r="D79" s="7" t="str">
        <f t="shared" si="18"/>
        <v>崔庆蕾著</v>
      </c>
      <c r="E79" s="7" t="str">
        <f t="shared" si="15"/>
        <v>作家出版社</v>
      </c>
      <c r="F79" s="7" t="str">
        <f t="shared" si="19"/>
        <v>I206.7/639</v>
      </c>
    </row>
    <row r="80" customHeight="1" spans="1:6">
      <c r="A80" s="6">
        <v>79</v>
      </c>
      <c r="B80" s="7" t="str">
        <f t="shared" ref="B80:B82" si="20">"978-7-5212-1474-1"</f>
        <v>978-7-5212-1474-1</v>
      </c>
      <c r="C80" s="7" t="str">
        <f t="shared" ref="C80:C82" si="21">"边界内外的凝视：中国当代文学研究笔记：评论集"</f>
        <v>边界内外的凝视：中国当代文学研究笔记：评论集</v>
      </c>
      <c r="D80" s="7" t="str">
        <f t="shared" ref="D80:D82" si="22">"刘诗宇著"</f>
        <v>刘诗宇著</v>
      </c>
      <c r="E80" s="7" t="str">
        <f t="shared" si="15"/>
        <v>作家出版社</v>
      </c>
      <c r="F80" s="7" t="str">
        <f t="shared" ref="F80:F82" si="23">"I206.7/640"</f>
        <v>I206.7/640</v>
      </c>
    </row>
    <row r="81" customHeight="1" spans="1:6">
      <c r="A81" s="6">
        <v>80</v>
      </c>
      <c r="B81" s="7" t="str">
        <f t="shared" si="20"/>
        <v>978-7-5212-1474-1</v>
      </c>
      <c r="C81" s="7" t="str">
        <f t="shared" si="21"/>
        <v>边界内外的凝视：中国当代文学研究笔记：评论集</v>
      </c>
      <c r="D81" s="7" t="str">
        <f t="shared" si="22"/>
        <v>刘诗宇著</v>
      </c>
      <c r="E81" s="7" t="str">
        <f t="shared" si="15"/>
        <v>作家出版社</v>
      </c>
      <c r="F81" s="7" t="str">
        <f t="shared" si="23"/>
        <v>I206.7/640</v>
      </c>
    </row>
    <row r="82" customHeight="1" spans="1:6">
      <c r="A82" s="6">
        <v>81</v>
      </c>
      <c r="B82" s="7" t="str">
        <f t="shared" si="20"/>
        <v>978-7-5212-1474-1</v>
      </c>
      <c r="C82" s="7" t="str">
        <f t="shared" si="21"/>
        <v>边界内外的凝视：中国当代文学研究笔记：评论集</v>
      </c>
      <c r="D82" s="7" t="str">
        <f t="shared" si="22"/>
        <v>刘诗宇著</v>
      </c>
      <c r="E82" s="7" t="str">
        <f t="shared" si="15"/>
        <v>作家出版社</v>
      </c>
      <c r="F82" s="7" t="str">
        <f t="shared" si="23"/>
        <v>I206.7/640</v>
      </c>
    </row>
    <row r="83" customHeight="1" spans="1:6">
      <c r="A83" s="6">
        <v>82</v>
      </c>
      <c r="B83" s="7" t="str">
        <f>"978-7-5225-0261-8"</f>
        <v>978-7-5225-0261-8</v>
      </c>
      <c r="C83" s="7" t="str">
        <f>"文学批评与反思"</f>
        <v>文学批评与反思</v>
      </c>
      <c r="D83" s="7" t="str">
        <f>"王洪岳著"</f>
        <v>王洪岳著</v>
      </c>
      <c r="E83" s="7" t="str">
        <f t="shared" ref="E83:E86" si="24">"九州出版社"</f>
        <v>九州出版社</v>
      </c>
      <c r="F83" s="7" t="str">
        <f>"I206.7/641"</f>
        <v>I206.7/641</v>
      </c>
    </row>
    <row r="84" customHeight="1" spans="1:6">
      <c r="A84" s="6">
        <v>83</v>
      </c>
      <c r="B84" s="7" t="str">
        <f>"978-7-5225-0261-8"</f>
        <v>978-7-5225-0261-8</v>
      </c>
      <c r="C84" s="7" t="str">
        <f>"文学批评与反思"</f>
        <v>文学批评与反思</v>
      </c>
      <c r="D84" s="7" t="str">
        <f>"王洪岳著"</f>
        <v>王洪岳著</v>
      </c>
      <c r="E84" s="7" t="str">
        <f t="shared" si="24"/>
        <v>九州出版社</v>
      </c>
      <c r="F84" s="7" t="str">
        <f>"I206.7/641"</f>
        <v>I206.7/641</v>
      </c>
    </row>
    <row r="85" customHeight="1" spans="1:6">
      <c r="A85" s="6">
        <v>84</v>
      </c>
      <c r="B85" s="7" t="str">
        <f>"978-7-5225-0093-5"</f>
        <v>978-7-5225-0093-5</v>
      </c>
      <c r="C85" s="7" t="str">
        <f>"中国当代生态文学创作理论与批评"</f>
        <v>中国当代生态文学创作理论与批评</v>
      </c>
      <c r="D85" s="7" t="str">
        <f>"刘文良著"</f>
        <v>刘文良著</v>
      </c>
      <c r="E85" s="7" t="str">
        <f t="shared" si="24"/>
        <v>九州出版社</v>
      </c>
      <c r="F85" s="7" t="str">
        <f>"I206.7/642"</f>
        <v>I206.7/642</v>
      </c>
    </row>
    <row r="86" customHeight="1" spans="1:6">
      <c r="A86" s="6">
        <v>85</v>
      </c>
      <c r="B86" s="7" t="str">
        <f>"978-7-5225-0093-5"</f>
        <v>978-7-5225-0093-5</v>
      </c>
      <c r="C86" s="7" t="str">
        <f>"中国当代生态文学创作理论与批评"</f>
        <v>中国当代生态文学创作理论与批评</v>
      </c>
      <c r="D86" s="7" t="str">
        <f>"刘文良著"</f>
        <v>刘文良著</v>
      </c>
      <c r="E86" s="7" t="str">
        <f t="shared" si="24"/>
        <v>九州出版社</v>
      </c>
      <c r="F86" s="7" t="str">
        <f>"I206.7/642"</f>
        <v>I206.7/642</v>
      </c>
    </row>
    <row r="87" customHeight="1" spans="1:6">
      <c r="A87" s="6">
        <v>86</v>
      </c>
      <c r="B87" s="7" t="str">
        <f>"978-7-5203-8207-6"</f>
        <v>978-7-5203-8207-6</v>
      </c>
      <c r="C87" s="7" t="str">
        <f>"艺术的终结与当代中国文艺理论建设"</f>
        <v>艺术的终结与当代中国文艺理论建设</v>
      </c>
      <c r="D87" s="7" t="str">
        <f>"张冰著"</f>
        <v>张冰著</v>
      </c>
      <c r="E87" s="7" t="str">
        <f>"中国社会科学出版社"</f>
        <v>中国社会科学出版社</v>
      </c>
      <c r="F87" s="7" t="str">
        <f>"I206.7/643"</f>
        <v>I206.7/643</v>
      </c>
    </row>
    <row r="88" customHeight="1" spans="1:6">
      <c r="A88" s="6">
        <v>87</v>
      </c>
      <c r="B88" s="7" t="str">
        <f>"978-7-5203-8207-6"</f>
        <v>978-7-5203-8207-6</v>
      </c>
      <c r="C88" s="7" t="str">
        <f>"艺术的终结与当代中国文艺理论建设"</f>
        <v>艺术的终结与当代中国文艺理论建设</v>
      </c>
      <c r="D88" s="7" t="str">
        <f>"张冰著"</f>
        <v>张冰著</v>
      </c>
      <c r="E88" s="7" t="str">
        <f>"中国社会科学出版社"</f>
        <v>中国社会科学出版社</v>
      </c>
      <c r="F88" s="7" t="str">
        <f>"I206.7/643"</f>
        <v>I206.7/643</v>
      </c>
    </row>
    <row r="89" customHeight="1" spans="1:6">
      <c r="A89" s="6">
        <v>88</v>
      </c>
      <c r="B89" s="7" t="str">
        <f>"978-7-5212-1113-9"</f>
        <v>978-7-5212-1113-9</v>
      </c>
      <c r="C89" s="7" t="str">
        <f>"北村论"</f>
        <v>北村论</v>
      </c>
      <c r="D89" s="7" t="str">
        <f>"马兵著"</f>
        <v>马兵著</v>
      </c>
      <c r="E89" s="7" t="str">
        <f t="shared" ref="E89:E95" si="25">"作家出版社"</f>
        <v>作家出版社</v>
      </c>
      <c r="F89" s="7" t="str">
        <f>"I206.7/644"</f>
        <v>I206.7/644</v>
      </c>
    </row>
    <row r="90" customHeight="1" spans="1:6">
      <c r="A90" s="6">
        <v>89</v>
      </c>
      <c r="B90" s="7" t="str">
        <f>"978-7-5212-1113-9"</f>
        <v>978-7-5212-1113-9</v>
      </c>
      <c r="C90" s="7" t="str">
        <f>"北村论"</f>
        <v>北村论</v>
      </c>
      <c r="D90" s="7" t="str">
        <f>"马兵著"</f>
        <v>马兵著</v>
      </c>
      <c r="E90" s="7" t="str">
        <f t="shared" si="25"/>
        <v>作家出版社</v>
      </c>
      <c r="F90" s="7" t="str">
        <f>"I206.7/644"</f>
        <v>I206.7/644</v>
      </c>
    </row>
    <row r="91" customHeight="1" spans="1:6">
      <c r="A91" s="6">
        <v>90</v>
      </c>
      <c r="B91" s="7" t="str">
        <f>"978-7-5212-1238-9"</f>
        <v>978-7-5212-1238-9</v>
      </c>
      <c r="C91" s="7" t="str">
        <f>"韩少功论"</f>
        <v>韩少功论</v>
      </c>
      <c r="D91" s="7" t="str">
        <f>"项静著"</f>
        <v>项静著</v>
      </c>
      <c r="E91" s="7" t="str">
        <f t="shared" si="25"/>
        <v>作家出版社</v>
      </c>
      <c r="F91" s="7" t="str">
        <f>"I206.7/645"</f>
        <v>I206.7/645</v>
      </c>
    </row>
    <row r="92" customHeight="1" spans="1:6">
      <c r="A92" s="6">
        <v>91</v>
      </c>
      <c r="B92" s="7" t="str">
        <f>"978-7-5212-1238-9"</f>
        <v>978-7-5212-1238-9</v>
      </c>
      <c r="C92" s="7" t="str">
        <f>"韩少功论"</f>
        <v>韩少功论</v>
      </c>
      <c r="D92" s="7" t="str">
        <f>"项静著"</f>
        <v>项静著</v>
      </c>
      <c r="E92" s="7" t="str">
        <f t="shared" si="25"/>
        <v>作家出版社</v>
      </c>
      <c r="F92" s="7" t="str">
        <f>"I206.7/645"</f>
        <v>I206.7/645</v>
      </c>
    </row>
    <row r="93" customHeight="1" spans="1:6">
      <c r="A93" s="6">
        <v>92</v>
      </c>
      <c r="B93" s="7" t="str">
        <f t="shared" ref="B93:B95" si="26">"978-7-5212-0435-3"</f>
        <v>978-7-5212-0435-3</v>
      </c>
      <c r="C93" s="7" t="str">
        <f t="shared" ref="C93:C95" si="27">"远行人必有故事"</f>
        <v>远行人必有故事</v>
      </c>
      <c r="D93" s="7" t="str">
        <f t="shared" ref="D93:D95" si="28">"张莉著"</f>
        <v>张莉著</v>
      </c>
      <c r="E93" s="7" t="str">
        <f t="shared" si="25"/>
        <v>作家出版社</v>
      </c>
      <c r="F93" s="7" t="str">
        <f t="shared" ref="F93:F95" si="29">"I206.7/646"</f>
        <v>I206.7/646</v>
      </c>
    </row>
    <row r="94" customHeight="1" spans="1:6">
      <c r="A94" s="6">
        <v>93</v>
      </c>
      <c r="B94" s="7" t="str">
        <f t="shared" si="26"/>
        <v>978-7-5212-0435-3</v>
      </c>
      <c r="C94" s="7" t="str">
        <f t="shared" si="27"/>
        <v>远行人必有故事</v>
      </c>
      <c r="D94" s="7" t="str">
        <f t="shared" si="28"/>
        <v>张莉著</v>
      </c>
      <c r="E94" s="7" t="str">
        <f t="shared" si="25"/>
        <v>作家出版社</v>
      </c>
      <c r="F94" s="7" t="str">
        <f t="shared" si="29"/>
        <v>I206.7/646</v>
      </c>
    </row>
    <row r="95" customHeight="1" spans="1:6">
      <c r="A95" s="6">
        <v>94</v>
      </c>
      <c r="B95" s="7" t="str">
        <f t="shared" si="26"/>
        <v>978-7-5212-0435-3</v>
      </c>
      <c r="C95" s="7" t="str">
        <f t="shared" si="27"/>
        <v>远行人必有故事</v>
      </c>
      <c r="D95" s="7" t="str">
        <f t="shared" si="28"/>
        <v>张莉著</v>
      </c>
      <c r="E95" s="7" t="str">
        <f t="shared" si="25"/>
        <v>作家出版社</v>
      </c>
      <c r="F95" s="7" t="str">
        <f t="shared" si="29"/>
        <v>I206.7/646</v>
      </c>
    </row>
    <row r="96" customHeight="1" spans="1:6">
      <c r="A96" s="6">
        <v>95</v>
      </c>
      <c r="B96" s="7" t="str">
        <f>"978-7-5695-1879-5"</f>
        <v>978-7-5695-1879-5</v>
      </c>
      <c r="C96" s="7" t="str">
        <f>"延安文艺与20世纪中国文学的价值体系重建"</f>
        <v>延安文艺与20世纪中国文学的价值体系重建</v>
      </c>
      <c r="D96" s="7" t="str">
        <f>"赵学勇著"</f>
        <v>赵学勇著</v>
      </c>
      <c r="E96" s="7" t="str">
        <f>"陕西师范大学出版总社"</f>
        <v>陕西师范大学出版总社</v>
      </c>
      <c r="F96" s="7" t="str">
        <f>"I206/214"</f>
        <v>I206/214</v>
      </c>
    </row>
    <row r="97" customHeight="1" spans="1:6">
      <c r="A97" s="6">
        <v>96</v>
      </c>
      <c r="B97" s="7" t="str">
        <f>"978-7-5695-1879-5"</f>
        <v>978-7-5695-1879-5</v>
      </c>
      <c r="C97" s="7" t="str">
        <f>"延安文艺与20世纪中国文学的价值体系重建"</f>
        <v>延安文艺与20世纪中国文学的价值体系重建</v>
      </c>
      <c r="D97" s="7" t="str">
        <f>"赵学勇著"</f>
        <v>赵学勇著</v>
      </c>
      <c r="E97" s="7" t="str">
        <f>"陕西师范大学出版总社"</f>
        <v>陕西师范大学出版总社</v>
      </c>
      <c r="F97" s="7" t="str">
        <f>"I206/214"</f>
        <v>I206/214</v>
      </c>
    </row>
    <row r="98" customHeight="1" spans="1:6">
      <c r="A98" s="6">
        <v>97</v>
      </c>
      <c r="B98" s="7" t="str">
        <f>"978-7-02-015970-3"</f>
        <v>978-7-02-015970-3</v>
      </c>
      <c r="C98" s="7" t="str">
        <f>"中国诗学史"</f>
        <v>中国诗学史</v>
      </c>
      <c r="D98" s="7" t="str">
        <f>"袁行霈 ... [等] 著"</f>
        <v>袁行霈 ... [等] 著</v>
      </c>
      <c r="E98" s="7" t="str">
        <f>"人民文学出版社"</f>
        <v>人民文学出版社</v>
      </c>
      <c r="F98" s="7" t="str">
        <f>"I207.209/64"</f>
        <v>I207.209/64</v>
      </c>
    </row>
    <row r="99" customHeight="1" spans="1:6">
      <c r="A99" s="6">
        <v>98</v>
      </c>
      <c r="B99" s="7" t="str">
        <f>"978-7-02-015970-3"</f>
        <v>978-7-02-015970-3</v>
      </c>
      <c r="C99" s="7" t="str">
        <f>"中国诗学史"</f>
        <v>中国诗学史</v>
      </c>
      <c r="D99" s="7" t="str">
        <f>"袁行霈 ... [等] 著"</f>
        <v>袁行霈 ... [等] 著</v>
      </c>
      <c r="E99" s="7" t="str">
        <f>"人民文学出版社"</f>
        <v>人民文学出版社</v>
      </c>
      <c r="F99" s="7" t="str">
        <f>"I207.209/64"</f>
        <v>I207.209/64</v>
      </c>
    </row>
    <row r="100" customHeight="1" spans="1:6">
      <c r="A100" s="6">
        <v>99</v>
      </c>
      <c r="B100" s="9" t="str">
        <f t="shared" ref="B100:B103" si="30">"978-7-101-15237-1"</f>
        <v>978-7-101-15237-1</v>
      </c>
      <c r="C100" s="9" t="str">
        <f>"语法与诗境：汉诗艺术之破析．上册"</f>
        <v>语法与诗境：汉诗艺术之破析．上册</v>
      </c>
      <c r="D100" s="9" t="str">
        <f t="shared" ref="D100:D103" si="31">"(美) 蔡宗齐著"</f>
        <v>(美) 蔡宗齐著</v>
      </c>
      <c r="E100" s="9" t="str">
        <f t="shared" ref="E100:E105" si="32">"中华书局"</f>
        <v>中华书局</v>
      </c>
      <c r="F100" s="9" t="str">
        <f>"I207.22/654/1"</f>
        <v>I207.22/654/1</v>
      </c>
    </row>
    <row r="101" customHeight="1" spans="1:6">
      <c r="A101" s="6">
        <v>100</v>
      </c>
      <c r="B101" s="9" t="str">
        <f t="shared" si="30"/>
        <v>978-7-101-15237-1</v>
      </c>
      <c r="C101" s="9" t="str">
        <f>"语法与诗境：汉诗艺术之破析．上册"</f>
        <v>语法与诗境：汉诗艺术之破析．上册</v>
      </c>
      <c r="D101" s="9" t="str">
        <f t="shared" si="31"/>
        <v>(美) 蔡宗齐著</v>
      </c>
      <c r="E101" s="9" t="str">
        <f t="shared" si="32"/>
        <v>中华书局</v>
      </c>
      <c r="F101" s="9" t="str">
        <f>"I207.22/654/1"</f>
        <v>I207.22/654/1</v>
      </c>
    </row>
    <row r="102" customHeight="1" spans="1:6">
      <c r="A102" s="6">
        <v>101</v>
      </c>
      <c r="B102" s="9" t="str">
        <f t="shared" si="30"/>
        <v>978-7-101-15237-1</v>
      </c>
      <c r="C102" s="9" t="str">
        <f>"语法与诗境：汉诗艺术之破析．下册"</f>
        <v>语法与诗境：汉诗艺术之破析．下册</v>
      </c>
      <c r="D102" s="9" t="str">
        <f t="shared" si="31"/>
        <v>(美) 蔡宗齐著</v>
      </c>
      <c r="E102" s="9" t="str">
        <f t="shared" si="32"/>
        <v>中华书局</v>
      </c>
      <c r="F102" s="9" t="str">
        <f>"I207.22/654/2"</f>
        <v>I207.22/654/2</v>
      </c>
    </row>
    <row r="103" customHeight="1" spans="1:6">
      <c r="A103" s="6">
        <v>102</v>
      </c>
      <c r="B103" s="9" t="str">
        <f t="shared" si="30"/>
        <v>978-7-101-15237-1</v>
      </c>
      <c r="C103" s="9" t="str">
        <f>"语法与诗境：汉诗艺术之破析．下册"</f>
        <v>语法与诗境：汉诗艺术之破析．下册</v>
      </c>
      <c r="D103" s="9" t="str">
        <f t="shared" si="31"/>
        <v>(美) 蔡宗齐著</v>
      </c>
      <c r="E103" s="9" t="str">
        <f t="shared" si="32"/>
        <v>中华书局</v>
      </c>
      <c r="F103" s="9" t="str">
        <f>"I207.22/654/2"</f>
        <v>I207.22/654/2</v>
      </c>
    </row>
    <row r="104" customHeight="1" spans="1:6">
      <c r="A104" s="6">
        <v>103</v>
      </c>
      <c r="B104" s="9" t="str">
        <f>"978-7-101-15200-5"</f>
        <v>978-7-101-15200-5</v>
      </c>
      <c r="C104" s="9" t="str">
        <f>"诗词曲与音乐文化"</f>
        <v>诗词曲与音乐文化</v>
      </c>
      <c r="D104" s="9" t="str">
        <f>"解玉峰著"</f>
        <v>解玉峰著</v>
      </c>
      <c r="E104" s="9" t="str">
        <f t="shared" si="32"/>
        <v>中华书局</v>
      </c>
      <c r="F104" s="9" t="str">
        <f>"I207.22/655"</f>
        <v>I207.22/655</v>
      </c>
    </row>
    <row r="105" customHeight="1" spans="1:6">
      <c r="A105" s="6">
        <v>104</v>
      </c>
      <c r="B105" s="9" t="str">
        <f>"978-7-101-15200-5"</f>
        <v>978-7-101-15200-5</v>
      </c>
      <c r="C105" s="9" t="str">
        <f>"诗词曲与音乐文化"</f>
        <v>诗词曲与音乐文化</v>
      </c>
      <c r="D105" s="9" t="str">
        <f>"解玉峰著"</f>
        <v>解玉峰著</v>
      </c>
      <c r="E105" s="9" t="str">
        <f t="shared" si="32"/>
        <v>中华书局</v>
      </c>
      <c r="F105" s="9" t="str">
        <f>"I207.22/655"</f>
        <v>I207.22/655</v>
      </c>
    </row>
    <row r="106" customHeight="1" spans="1:6">
      <c r="A106" s="6">
        <v>105</v>
      </c>
      <c r="B106" s="7" t="str">
        <f>"978-7-101-13195-6"</f>
        <v>978-7-101-13195-6</v>
      </c>
      <c r="C106" s="7" t="str">
        <f>"《玉臺新詠》與南朝文學．上册"</f>
        <v>《玉臺新詠》與南朝文學．上册</v>
      </c>
      <c r="D106" s="7" t="str">
        <f>"傅剛著"</f>
        <v>傅剛著</v>
      </c>
      <c r="E106" s="7" t="str">
        <f>"中華書局"</f>
        <v>中華書局</v>
      </c>
      <c r="F106" s="7" t="str">
        <f>"I207.22/656/1"</f>
        <v>I207.22/656/1</v>
      </c>
    </row>
    <row r="107" customHeight="1" spans="1:6">
      <c r="A107" s="6">
        <v>106</v>
      </c>
      <c r="B107" s="7" t="str">
        <f>"978-7-101-13195-6"</f>
        <v>978-7-101-13195-6</v>
      </c>
      <c r="C107" s="7" t="str">
        <f>"《玉臺新詠》與南朝文學．下册"</f>
        <v>《玉臺新詠》與南朝文學．下册</v>
      </c>
      <c r="D107" s="7" t="str">
        <f>"傅剛著"</f>
        <v>傅剛著</v>
      </c>
      <c r="E107" s="7" t="str">
        <f>"中華書局"</f>
        <v>中華書局</v>
      </c>
      <c r="F107" s="7" t="str">
        <f>"I207.22/656/2"</f>
        <v>I207.22/656/2</v>
      </c>
    </row>
    <row r="108" customHeight="1" spans="1:6">
      <c r="A108" s="6">
        <v>107</v>
      </c>
      <c r="B108" s="7" t="str">
        <f>"978-7-100-19682-6"</f>
        <v>978-7-100-19682-6</v>
      </c>
      <c r="C108" s="7" t="str">
        <f>"诗品考索"</f>
        <v>诗品考索</v>
      </c>
      <c r="D108" s="7" t="str">
        <f>"王发国著"</f>
        <v>王发国著</v>
      </c>
      <c r="E108" s="7" t="str">
        <f>"商务印书馆"</f>
        <v>商务印书馆</v>
      </c>
      <c r="F108" s="7" t="str">
        <f>"I207.22/657"</f>
        <v>I207.22/657</v>
      </c>
    </row>
    <row r="109" customHeight="1" spans="1:6">
      <c r="A109" s="6">
        <v>108</v>
      </c>
      <c r="B109" s="7" t="str">
        <f>"978-7-100-19682-6"</f>
        <v>978-7-100-19682-6</v>
      </c>
      <c r="C109" s="7" t="str">
        <f>"诗品考索"</f>
        <v>诗品考索</v>
      </c>
      <c r="D109" s="7" t="str">
        <f>"王发国著"</f>
        <v>王发国著</v>
      </c>
      <c r="E109" s="7" t="str">
        <f>"商务印书馆"</f>
        <v>商务印书馆</v>
      </c>
      <c r="F109" s="7" t="str">
        <f>"I207.22/657"</f>
        <v>I207.22/657</v>
      </c>
    </row>
    <row r="110" customHeight="1" spans="1:6">
      <c r="A110" s="6">
        <v>109</v>
      </c>
      <c r="B110" s="7" t="str">
        <f t="shared" ref="B110:B119" si="33">"978-7-5325-8755-1"</f>
        <v>978-7-5325-8755-1</v>
      </c>
      <c r="C110" s="7" t="str">
        <f>"清詩話全編．第一册：順治期一"</f>
        <v>清詩話全編．第一册：順治期一</v>
      </c>
      <c r="D110" s="7" t="str">
        <f t="shared" ref="D110:D119" si="34">"張寅彭編纂；楊焄點校"</f>
        <v>張寅彭編纂；楊焄點校</v>
      </c>
      <c r="E110" s="7" t="str">
        <f t="shared" ref="E110:E131" si="35">"上海古籍出版社"</f>
        <v>上海古籍出版社</v>
      </c>
      <c r="F110" s="7" t="str">
        <f>"I207.22/658/1"</f>
        <v>I207.22/658/1</v>
      </c>
    </row>
    <row r="111" customHeight="1" spans="1:6">
      <c r="A111" s="6">
        <v>110</v>
      </c>
      <c r="B111" s="7" t="str">
        <f t="shared" si="33"/>
        <v>978-7-5325-8755-1</v>
      </c>
      <c r="C111" s="7" t="str">
        <f>"清詩話全編．第十册：康熙期九雍正期"</f>
        <v>清詩話全編．第十册：康熙期九雍正期</v>
      </c>
      <c r="D111" s="7" t="str">
        <f t="shared" si="34"/>
        <v>張寅彭編纂；楊焄點校</v>
      </c>
      <c r="E111" s="7" t="str">
        <f t="shared" si="35"/>
        <v>上海古籍出版社</v>
      </c>
      <c r="F111" s="7" t="str">
        <f>"I207.22/658/10"</f>
        <v>I207.22/658/10</v>
      </c>
    </row>
    <row r="112" customHeight="1" spans="1:6">
      <c r="A112" s="6">
        <v>111</v>
      </c>
      <c r="B112" s="7" t="str">
        <f t="shared" si="33"/>
        <v>978-7-5325-8755-1</v>
      </c>
      <c r="C112" s="7" t="str">
        <f>"清詩話全編．第二册：順治期二康熙期一"</f>
        <v>清詩話全編．第二册：順治期二康熙期一</v>
      </c>
      <c r="D112" s="7" t="str">
        <f t="shared" si="34"/>
        <v>張寅彭編纂；楊焄點校</v>
      </c>
      <c r="E112" s="7" t="str">
        <f t="shared" si="35"/>
        <v>上海古籍出版社</v>
      </c>
      <c r="F112" s="7" t="str">
        <f>"I207.22/658/2"</f>
        <v>I207.22/658/2</v>
      </c>
    </row>
    <row r="113" customHeight="1" spans="1:6">
      <c r="A113" s="6">
        <v>112</v>
      </c>
      <c r="B113" s="7" t="str">
        <f t="shared" si="33"/>
        <v>978-7-5325-8755-1</v>
      </c>
      <c r="C113" s="7" t="str">
        <f>"清詩話全編．第三册：康熙期二"</f>
        <v>清詩話全編．第三册：康熙期二</v>
      </c>
      <c r="D113" s="7" t="str">
        <f t="shared" si="34"/>
        <v>張寅彭編纂；楊焄點校</v>
      </c>
      <c r="E113" s="7" t="str">
        <f t="shared" si="35"/>
        <v>上海古籍出版社</v>
      </c>
      <c r="F113" s="7" t="str">
        <f>"I207.22/658/3"</f>
        <v>I207.22/658/3</v>
      </c>
    </row>
    <row r="114" customHeight="1" spans="1:6">
      <c r="A114" s="6">
        <v>113</v>
      </c>
      <c r="B114" s="7" t="str">
        <f t="shared" si="33"/>
        <v>978-7-5325-8755-1</v>
      </c>
      <c r="C114" s="7" t="str">
        <f>"清詩話全編．第四册：康熙期三"</f>
        <v>清詩話全編．第四册：康熙期三</v>
      </c>
      <c r="D114" s="7" t="str">
        <f t="shared" si="34"/>
        <v>張寅彭編纂；楊焄點校</v>
      </c>
      <c r="E114" s="7" t="str">
        <f t="shared" si="35"/>
        <v>上海古籍出版社</v>
      </c>
      <c r="F114" s="7" t="str">
        <f>"I207.22/658/4"</f>
        <v>I207.22/658/4</v>
      </c>
    </row>
    <row r="115" customHeight="1" spans="1:6">
      <c r="A115" s="6">
        <v>114</v>
      </c>
      <c r="B115" s="7" t="str">
        <f t="shared" si="33"/>
        <v>978-7-5325-8755-1</v>
      </c>
      <c r="C115" s="7" t="str">
        <f>"清詩話全編．第五册：康熙期四"</f>
        <v>清詩話全編．第五册：康熙期四</v>
      </c>
      <c r="D115" s="7" t="str">
        <f t="shared" si="34"/>
        <v>張寅彭編纂；楊焄點校</v>
      </c>
      <c r="E115" s="7" t="str">
        <f t="shared" si="35"/>
        <v>上海古籍出版社</v>
      </c>
      <c r="F115" s="7" t="str">
        <f>"I207.22/658/5"</f>
        <v>I207.22/658/5</v>
      </c>
    </row>
    <row r="116" customHeight="1" spans="1:6">
      <c r="A116" s="6">
        <v>115</v>
      </c>
      <c r="B116" s="7" t="str">
        <f t="shared" si="33"/>
        <v>978-7-5325-8755-1</v>
      </c>
      <c r="C116" s="7" t="str">
        <f>"清詩話全編．第六册：康熙期五"</f>
        <v>清詩話全編．第六册：康熙期五</v>
      </c>
      <c r="D116" s="7" t="str">
        <f t="shared" si="34"/>
        <v>張寅彭編纂；楊焄點校</v>
      </c>
      <c r="E116" s="7" t="str">
        <f t="shared" si="35"/>
        <v>上海古籍出版社</v>
      </c>
      <c r="F116" s="7" t="str">
        <f>"I207.22/658/6"</f>
        <v>I207.22/658/6</v>
      </c>
    </row>
    <row r="117" customHeight="1" spans="1:6">
      <c r="A117" s="6">
        <v>116</v>
      </c>
      <c r="B117" s="7" t="str">
        <f t="shared" si="33"/>
        <v>978-7-5325-8755-1</v>
      </c>
      <c r="C117" s="7" t="str">
        <f>"清詩話全編．第七册：康熙期六"</f>
        <v>清詩話全編．第七册：康熙期六</v>
      </c>
      <c r="D117" s="7" t="str">
        <f t="shared" si="34"/>
        <v>張寅彭編纂；楊焄點校</v>
      </c>
      <c r="E117" s="7" t="str">
        <f t="shared" si="35"/>
        <v>上海古籍出版社</v>
      </c>
      <c r="F117" s="7" t="str">
        <f>"I207.22/658/7"</f>
        <v>I207.22/658/7</v>
      </c>
    </row>
    <row r="118" customHeight="1" spans="1:6">
      <c r="A118" s="6">
        <v>117</v>
      </c>
      <c r="B118" s="7" t="str">
        <f t="shared" si="33"/>
        <v>978-7-5325-8755-1</v>
      </c>
      <c r="C118" s="7" t="str">
        <f>"清詩話全編．第八册：康熙期七"</f>
        <v>清詩話全編．第八册：康熙期七</v>
      </c>
      <c r="D118" s="7" t="str">
        <f t="shared" si="34"/>
        <v>張寅彭編纂；楊焄點校</v>
      </c>
      <c r="E118" s="7" t="str">
        <f t="shared" si="35"/>
        <v>上海古籍出版社</v>
      </c>
      <c r="F118" s="7" t="str">
        <f>"I207.22/658/8"</f>
        <v>I207.22/658/8</v>
      </c>
    </row>
    <row r="119" customHeight="1" spans="1:6">
      <c r="A119" s="6">
        <v>118</v>
      </c>
      <c r="B119" s="7" t="str">
        <f t="shared" si="33"/>
        <v>978-7-5325-8755-1</v>
      </c>
      <c r="C119" s="7" t="str">
        <f>"清詩話全編．第九册：康熙期八"</f>
        <v>清詩話全編．第九册：康熙期八</v>
      </c>
      <c r="D119" s="7" t="str">
        <f t="shared" si="34"/>
        <v>張寅彭編纂；楊焄點校</v>
      </c>
      <c r="E119" s="7" t="str">
        <f t="shared" si="35"/>
        <v>上海古籍出版社</v>
      </c>
      <c r="F119" s="7" t="str">
        <f>"I207.22/658/9"</f>
        <v>I207.22/658/9</v>
      </c>
    </row>
    <row r="120" customHeight="1" spans="1:6">
      <c r="A120" s="6">
        <v>119</v>
      </c>
      <c r="B120" s="7" t="str">
        <f t="shared" ref="B120:B131" si="36">"978-7-5325-9694-2"</f>
        <v>978-7-5325-9694-2</v>
      </c>
      <c r="C120" s="7" t="str">
        <f>"清詩話全編．乾隆期．一"</f>
        <v>清詩話全編．乾隆期．一</v>
      </c>
      <c r="D120" s="7" t="str">
        <f t="shared" ref="D120:D131" si="37">"張寅彭編纂；劉奕點校"</f>
        <v>張寅彭編纂；劉奕點校</v>
      </c>
      <c r="E120" s="7" t="str">
        <f t="shared" si="35"/>
        <v>上海古籍出版社</v>
      </c>
      <c r="F120" s="7" t="str">
        <f>"I207.22/659/1"</f>
        <v>I207.22/659/1</v>
      </c>
    </row>
    <row r="121" customHeight="1" spans="1:6">
      <c r="A121" s="6">
        <v>120</v>
      </c>
      <c r="B121" s="7" t="str">
        <f t="shared" si="36"/>
        <v>978-7-5325-9694-2</v>
      </c>
      <c r="C121" s="7" t="str">
        <f>"清詩話全編．乾隆期．十"</f>
        <v>清詩話全編．乾隆期．十</v>
      </c>
      <c r="D121" s="7" t="str">
        <f t="shared" si="37"/>
        <v>張寅彭編纂；劉奕點校</v>
      </c>
      <c r="E121" s="7" t="str">
        <f t="shared" si="35"/>
        <v>上海古籍出版社</v>
      </c>
      <c r="F121" s="7" t="str">
        <f>"I207.22/659/10"</f>
        <v>I207.22/659/10</v>
      </c>
    </row>
    <row r="122" customHeight="1" spans="1:6">
      <c r="A122" s="6">
        <v>121</v>
      </c>
      <c r="B122" s="7" t="str">
        <f t="shared" si="36"/>
        <v>978-7-5325-9694-2</v>
      </c>
      <c r="C122" s="7" t="str">
        <f>"清詩話全編．乾隆期．十一"</f>
        <v>清詩話全編．乾隆期．十一</v>
      </c>
      <c r="D122" s="7" t="str">
        <f t="shared" si="37"/>
        <v>張寅彭編纂；劉奕點校</v>
      </c>
      <c r="E122" s="7" t="str">
        <f t="shared" si="35"/>
        <v>上海古籍出版社</v>
      </c>
      <c r="F122" s="7" t="str">
        <f>"I207.22/659/11"</f>
        <v>I207.22/659/11</v>
      </c>
    </row>
    <row r="123" customHeight="1" spans="1:6">
      <c r="A123" s="6">
        <v>122</v>
      </c>
      <c r="B123" s="7" t="str">
        <f t="shared" si="36"/>
        <v>978-7-5325-9694-2</v>
      </c>
      <c r="C123" s="7" t="str">
        <f>"清詩話全編．乾隆期．十二"</f>
        <v>清詩話全編．乾隆期．十二</v>
      </c>
      <c r="D123" s="7" t="str">
        <f t="shared" si="37"/>
        <v>張寅彭編纂；劉奕點校</v>
      </c>
      <c r="E123" s="7" t="str">
        <f t="shared" si="35"/>
        <v>上海古籍出版社</v>
      </c>
      <c r="F123" s="7" t="str">
        <f>"I207.22/659/12"</f>
        <v>I207.22/659/12</v>
      </c>
    </row>
    <row r="124" customHeight="1" spans="1:6">
      <c r="A124" s="6">
        <v>123</v>
      </c>
      <c r="B124" s="7" t="str">
        <f t="shared" si="36"/>
        <v>978-7-5325-9694-2</v>
      </c>
      <c r="C124" s="7" t="str">
        <f>"清詩話全編．乾隆期．二"</f>
        <v>清詩話全編．乾隆期．二</v>
      </c>
      <c r="D124" s="7" t="str">
        <f t="shared" si="37"/>
        <v>張寅彭編纂；劉奕點校</v>
      </c>
      <c r="E124" s="7" t="str">
        <f t="shared" si="35"/>
        <v>上海古籍出版社</v>
      </c>
      <c r="F124" s="7" t="str">
        <f>"I207.22/659/2"</f>
        <v>I207.22/659/2</v>
      </c>
    </row>
    <row r="125" customHeight="1" spans="1:6">
      <c r="A125" s="6">
        <v>124</v>
      </c>
      <c r="B125" s="7" t="str">
        <f t="shared" si="36"/>
        <v>978-7-5325-9694-2</v>
      </c>
      <c r="C125" s="7" t="str">
        <f>"清詩話全編．乾隆期．三"</f>
        <v>清詩話全編．乾隆期．三</v>
      </c>
      <c r="D125" s="7" t="str">
        <f t="shared" si="37"/>
        <v>張寅彭編纂；劉奕點校</v>
      </c>
      <c r="E125" s="7" t="str">
        <f t="shared" si="35"/>
        <v>上海古籍出版社</v>
      </c>
      <c r="F125" s="7" t="str">
        <f>"I207.22/659/3"</f>
        <v>I207.22/659/3</v>
      </c>
    </row>
    <row r="126" customHeight="1" spans="1:6">
      <c r="A126" s="6">
        <v>125</v>
      </c>
      <c r="B126" s="7" t="str">
        <f t="shared" si="36"/>
        <v>978-7-5325-9694-2</v>
      </c>
      <c r="C126" s="7" t="str">
        <f>"清詩話全編．乾隆期．四"</f>
        <v>清詩話全編．乾隆期．四</v>
      </c>
      <c r="D126" s="7" t="str">
        <f t="shared" si="37"/>
        <v>張寅彭編纂；劉奕點校</v>
      </c>
      <c r="E126" s="7" t="str">
        <f t="shared" si="35"/>
        <v>上海古籍出版社</v>
      </c>
      <c r="F126" s="7" t="str">
        <f>"I207.22/659/4"</f>
        <v>I207.22/659/4</v>
      </c>
    </row>
    <row r="127" customHeight="1" spans="1:6">
      <c r="A127" s="6">
        <v>126</v>
      </c>
      <c r="B127" s="7" t="str">
        <f t="shared" si="36"/>
        <v>978-7-5325-9694-2</v>
      </c>
      <c r="C127" s="7" t="str">
        <f>"清詩話全編．乾隆期．五"</f>
        <v>清詩話全編．乾隆期．五</v>
      </c>
      <c r="D127" s="7" t="str">
        <f t="shared" si="37"/>
        <v>張寅彭編纂；劉奕點校</v>
      </c>
      <c r="E127" s="7" t="str">
        <f t="shared" si="35"/>
        <v>上海古籍出版社</v>
      </c>
      <c r="F127" s="7" t="str">
        <f>"I207.22/659/5"</f>
        <v>I207.22/659/5</v>
      </c>
    </row>
    <row r="128" customHeight="1" spans="1:6">
      <c r="A128" s="6">
        <v>127</v>
      </c>
      <c r="B128" s="7" t="str">
        <f t="shared" si="36"/>
        <v>978-7-5325-9694-2</v>
      </c>
      <c r="C128" s="7" t="str">
        <f>"清詩話全編．乾隆期．六"</f>
        <v>清詩話全編．乾隆期．六</v>
      </c>
      <c r="D128" s="7" t="str">
        <f t="shared" si="37"/>
        <v>張寅彭編纂；劉奕點校</v>
      </c>
      <c r="E128" s="7" t="str">
        <f t="shared" si="35"/>
        <v>上海古籍出版社</v>
      </c>
      <c r="F128" s="7" t="str">
        <f>"I207.22/659/6"</f>
        <v>I207.22/659/6</v>
      </c>
    </row>
    <row r="129" customHeight="1" spans="1:6">
      <c r="A129" s="6">
        <v>128</v>
      </c>
      <c r="B129" s="7" t="str">
        <f t="shared" si="36"/>
        <v>978-7-5325-9694-2</v>
      </c>
      <c r="C129" s="7" t="str">
        <f>"清詩話全編．乾隆期．七"</f>
        <v>清詩話全編．乾隆期．七</v>
      </c>
      <c r="D129" s="7" t="str">
        <f t="shared" si="37"/>
        <v>張寅彭編纂；劉奕點校</v>
      </c>
      <c r="E129" s="7" t="str">
        <f t="shared" si="35"/>
        <v>上海古籍出版社</v>
      </c>
      <c r="F129" s="7" t="str">
        <f>"I207.22/659/7"</f>
        <v>I207.22/659/7</v>
      </c>
    </row>
    <row r="130" customHeight="1" spans="1:6">
      <c r="A130" s="6">
        <v>129</v>
      </c>
      <c r="B130" s="7" t="str">
        <f t="shared" si="36"/>
        <v>978-7-5325-9694-2</v>
      </c>
      <c r="C130" s="7" t="str">
        <f>"清詩話全編．乾隆期．八"</f>
        <v>清詩話全編．乾隆期．八</v>
      </c>
      <c r="D130" s="7" t="str">
        <f t="shared" si="37"/>
        <v>張寅彭編纂；劉奕點校</v>
      </c>
      <c r="E130" s="7" t="str">
        <f t="shared" si="35"/>
        <v>上海古籍出版社</v>
      </c>
      <c r="F130" s="7" t="str">
        <f>"I207.22/659/8"</f>
        <v>I207.22/659/8</v>
      </c>
    </row>
    <row r="131" customHeight="1" spans="1:6">
      <c r="A131" s="6">
        <v>130</v>
      </c>
      <c r="B131" s="7" t="str">
        <f t="shared" si="36"/>
        <v>978-7-5325-9694-2</v>
      </c>
      <c r="C131" s="7" t="str">
        <f>"清詩話全編．乾隆期．九"</f>
        <v>清詩話全編．乾隆期．九</v>
      </c>
      <c r="D131" s="7" t="str">
        <f t="shared" si="37"/>
        <v>張寅彭編纂；劉奕點校</v>
      </c>
      <c r="E131" s="7" t="str">
        <f t="shared" si="35"/>
        <v>上海古籍出版社</v>
      </c>
      <c r="F131" s="7" t="str">
        <f>"I207.22/659/9"</f>
        <v>I207.22/659/9</v>
      </c>
    </row>
    <row r="132" customHeight="1" spans="1:6">
      <c r="A132" s="6">
        <v>131</v>
      </c>
      <c r="B132" s="8" t="s">
        <v>9795</v>
      </c>
      <c r="C132" s="8" t="s">
        <v>9796</v>
      </c>
      <c r="D132" s="8" t="s">
        <v>9797</v>
      </c>
      <c r="E132" s="8" t="s">
        <v>298</v>
      </c>
      <c r="F132" s="8" t="s">
        <v>9798</v>
      </c>
    </row>
    <row r="133" customHeight="1" spans="1:6">
      <c r="A133" s="6">
        <v>132</v>
      </c>
      <c r="B133" s="8" t="s">
        <v>9795</v>
      </c>
      <c r="C133" s="8" t="s">
        <v>9796</v>
      </c>
      <c r="D133" s="8" t="s">
        <v>9797</v>
      </c>
      <c r="E133" s="8" t="s">
        <v>298</v>
      </c>
      <c r="F133" s="8" t="s">
        <v>9798</v>
      </c>
    </row>
    <row r="134" customHeight="1" spans="1:6">
      <c r="A134" s="6">
        <v>133</v>
      </c>
      <c r="B134" s="8" t="s">
        <v>9799</v>
      </c>
      <c r="C134" s="8" t="s">
        <v>9800</v>
      </c>
      <c r="D134" s="8" t="s">
        <v>9801</v>
      </c>
      <c r="E134" s="8" t="s">
        <v>298</v>
      </c>
      <c r="F134" s="8" t="s">
        <v>9802</v>
      </c>
    </row>
    <row r="135" customHeight="1" spans="1:6">
      <c r="A135" s="6">
        <v>134</v>
      </c>
      <c r="B135" s="8" t="s">
        <v>9799</v>
      </c>
      <c r="C135" s="8" t="s">
        <v>9800</v>
      </c>
      <c r="D135" s="8" t="s">
        <v>9801</v>
      </c>
      <c r="E135" s="8" t="s">
        <v>298</v>
      </c>
      <c r="F135" s="8" t="s">
        <v>9802</v>
      </c>
    </row>
    <row r="136" customHeight="1" spans="1:6">
      <c r="A136" s="6">
        <v>135</v>
      </c>
      <c r="B136" s="7" t="str">
        <f>"978-7-5531-1428-6"</f>
        <v>978-7-5531-1428-6</v>
      </c>
      <c r="C136" s="7" t="str">
        <f>"毛傳鄭箋補正"</f>
        <v>毛傳鄭箋補正</v>
      </c>
      <c r="D136" s="7" t="str">
        <f>"陳緒平著"</f>
        <v>陳緒平著</v>
      </c>
      <c r="E136" s="7" t="str">
        <f>"巴蜀書社"</f>
        <v>巴蜀書社</v>
      </c>
      <c r="F136" s="7" t="str">
        <f>"I207.222/265"</f>
        <v>I207.222/265</v>
      </c>
    </row>
    <row r="137" customHeight="1" spans="1:6">
      <c r="A137" s="6">
        <v>136</v>
      </c>
      <c r="B137" s="7" t="str">
        <f>"978-7-5531-1428-6"</f>
        <v>978-7-5531-1428-6</v>
      </c>
      <c r="C137" s="7" t="str">
        <f>"毛傳鄭箋補正"</f>
        <v>毛傳鄭箋補正</v>
      </c>
      <c r="D137" s="7" t="str">
        <f>"陳緒平著"</f>
        <v>陳緒平著</v>
      </c>
      <c r="E137" s="7" t="str">
        <f>"巴蜀書社"</f>
        <v>巴蜀書社</v>
      </c>
      <c r="F137" s="7" t="str">
        <f>"I207.222/265"</f>
        <v>I207.222/265</v>
      </c>
    </row>
    <row r="138" customHeight="1" spans="1:6">
      <c r="A138" s="6">
        <v>137</v>
      </c>
      <c r="B138" s="7" t="str">
        <f>"978-7-303-26323-3"</f>
        <v>978-7-303-26323-3</v>
      </c>
      <c r="C138" s="7" t="str">
        <f>"《诗经》讲读"</f>
        <v>《诗经》讲读</v>
      </c>
      <c r="D138" s="7" t="str">
        <f>"李山著"</f>
        <v>李山著</v>
      </c>
      <c r="E138" s="7" t="str">
        <f>"北京师范大学出版社"</f>
        <v>北京师范大学出版社</v>
      </c>
      <c r="F138" s="7" t="str">
        <f>"I207.222/266"</f>
        <v>I207.222/266</v>
      </c>
    </row>
    <row r="139" customHeight="1" spans="1:6">
      <c r="A139" s="6">
        <v>138</v>
      </c>
      <c r="B139" s="7" t="str">
        <f>"978-7-303-26323-3"</f>
        <v>978-7-303-26323-3</v>
      </c>
      <c r="C139" s="7" t="str">
        <f>"《诗经》讲读"</f>
        <v>《诗经》讲读</v>
      </c>
      <c r="D139" s="7" t="str">
        <f>"李山著"</f>
        <v>李山著</v>
      </c>
      <c r="E139" s="7" t="str">
        <f>"北京师范大学出版社"</f>
        <v>北京师范大学出版社</v>
      </c>
      <c r="F139" s="7" t="str">
        <f>"I207.222/266"</f>
        <v>I207.222/266</v>
      </c>
    </row>
    <row r="140" customHeight="1" spans="1:6">
      <c r="A140" s="6">
        <v>139</v>
      </c>
      <c r="B140" s="7" t="str">
        <f>"978-7-101-14170-2"</f>
        <v>978-7-101-14170-2</v>
      </c>
      <c r="C140" s="7" t="str">
        <f>"东亚《诗经》学研究"</f>
        <v>东亚《诗经》学研究</v>
      </c>
      <c r="D140" s="7" t="str">
        <f>"张宝三著"</f>
        <v>张宝三著</v>
      </c>
      <c r="E140" s="7" t="str">
        <f>"中华书局"</f>
        <v>中华书局</v>
      </c>
      <c r="F140" s="7" t="str">
        <f>"I207.222/267"</f>
        <v>I207.222/267</v>
      </c>
    </row>
    <row r="141" customHeight="1" spans="1:6">
      <c r="A141" s="6">
        <v>140</v>
      </c>
      <c r="B141" s="7" t="str">
        <f>"978-7-101-14170-2"</f>
        <v>978-7-101-14170-2</v>
      </c>
      <c r="C141" s="7" t="str">
        <f>"东亚《诗经》学研究"</f>
        <v>东亚《诗经》学研究</v>
      </c>
      <c r="D141" s="7" t="str">
        <f>"张宝三著"</f>
        <v>张宝三著</v>
      </c>
      <c r="E141" s="7" t="str">
        <f>"中华书局"</f>
        <v>中华书局</v>
      </c>
      <c r="F141" s="7" t="str">
        <f>"I207.222/267"</f>
        <v>I207.222/267</v>
      </c>
    </row>
    <row r="142" customHeight="1" spans="1:6">
      <c r="A142" s="6">
        <v>141</v>
      </c>
      <c r="B142" s="8" t="s">
        <v>9803</v>
      </c>
      <c r="C142" s="8" t="s">
        <v>9804</v>
      </c>
      <c r="D142" s="8" t="s">
        <v>9805</v>
      </c>
      <c r="E142" s="8" t="s">
        <v>810</v>
      </c>
      <c r="F142" s="8" t="s">
        <v>9806</v>
      </c>
    </row>
    <row r="143" customHeight="1" spans="1:6">
      <c r="A143" s="6">
        <v>142</v>
      </c>
      <c r="B143" s="8" t="s">
        <v>9803</v>
      </c>
      <c r="C143" s="8" t="s">
        <v>9804</v>
      </c>
      <c r="D143" s="8" t="s">
        <v>9805</v>
      </c>
      <c r="E143" s="8" t="s">
        <v>810</v>
      </c>
      <c r="F143" s="8" t="s">
        <v>9806</v>
      </c>
    </row>
    <row r="144" customHeight="1" spans="1:6">
      <c r="A144" s="6">
        <v>143</v>
      </c>
      <c r="B144" s="8" t="s">
        <v>9807</v>
      </c>
      <c r="C144" s="8" t="s">
        <v>9808</v>
      </c>
      <c r="D144" s="8" t="s">
        <v>9809</v>
      </c>
      <c r="E144" s="8" t="s">
        <v>330</v>
      </c>
      <c r="F144" s="8" t="s">
        <v>9810</v>
      </c>
    </row>
    <row r="145" customHeight="1" spans="1:6">
      <c r="A145" s="6">
        <v>144</v>
      </c>
      <c r="B145" s="8" t="s">
        <v>9807</v>
      </c>
      <c r="C145" s="8" t="s">
        <v>9808</v>
      </c>
      <c r="D145" s="8" t="s">
        <v>9809</v>
      </c>
      <c r="E145" s="8" t="s">
        <v>330</v>
      </c>
      <c r="F145" s="8" t="s">
        <v>9810</v>
      </c>
    </row>
    <row r="146" customHeight="1" spans="1:6">
      <c r="A146" s="6">
        <v>145</v>
      </c>
      <c r="B146" s="7" t="str">
        <f t="shared" ref="B146:B148" si="38">"978-7-200-12361-6"</f>
        <v>978-7-200-12361-6</v>
      </c>
      <c r="C146" s="7" t="str">
        <f t="shared" ref="C146:C148" si="39">"唐诗研究"</f>
        <v>唐诗研究</v>
      </c>
      <c r="D146" s="7" t="str">
        <f t="shared" ref="D146:D148" si="40">"胡云翼著"</f>
        <v>胡云翼著</v>
      </c>
      <c r="E146" s="7" t="str">
        <f t="shared" ref="E146:E148" si="41">"北京出版社"</f>
        <v>北京出版社</v>
      </c>
      <c r="F146" s="7" t="str">
        <f t="shared" ref="F146:F148" si="42">"I207.227.42/101"</f>
        <v>I207.227.42/101</v>
      </c>
    </row>
    <row r="147" customHeight="1" spans="1:6">
      <c r="A147" s="6">
        <v>146</v>
      </c>
      <c r="B147" s="7" t="str">
        <f t="shared" si="38"/>
        <v>978-7-200-12361-6</v>
      </c>
      <c r="C147" s="7" t="str">
        <f t="shared" si="39"/>
        <v>唐诗研究</v>
      </c>
      <c r="D147" s="7" t="str">
        <f t="shared" si="40"/>
        <v>胡云翼著</v>
      </c>
      <c r="E147" s="7" t="str">
        <f t="shared" si="41"/>
        <v>北京出版社</v>
      </c>
      <c r="F147" s="7" t="str">
        <f t="shared" si="42"/>
        <v>I207.227.42/101</v>
      </c>
    </row>
    <row r="148" customHeight="1" spans="1:6">
      <c r="A148" s="6">
        <v>147</v>
      </c>
      <c r="B148" s="7" t="str">
        <f t="shared" si="38"/>
        <v>978-7-200-12361-6</v>
      </c>
      <c r="C148" s="7" t="str">
        <f t="shared" si="39"/>
        <v>唐诗研究</v>
      </c>
      <c r="D148" s="7" t="str">
        <f t="shared" si="40"/>
        <v>胡云翼著</v>
      </c>
      <c r="E148" s="7" t="str">
        <f t="shared" si="41"/>
        <v>北京出版社</v>
      </c>
      <c r="F148" s="7" t="str">
        <f t="shared" si="42"/>
        <v>I207.227.42/101</v>
      </c>
    </row>
    <row r="149" customHeight="1" spans="1:6">
      <c r="A149" s="6">
        <v>148</v>
      </c>
      <c r="B149" s="7" t="str">
        <f>"978-7-5203-7468-2"</f>
        <v>978-7-5203-7468-2</v>
      </c>
      <c r="C149" s="7" t="str">
        <f>"民国时期唐诗学研究"</f>
        <v>民国时期唐诗学研究</v>
      </c>
      <c r="D149" s="7" t="str">
        <f>"赵耀锋著"</f>
        <v>赵耀锋著</v>
      </c>
      <c r="E149" s="7" t="str">
        <f>"中国社会科学出版社"</f>
        <v>中国社会科学出版社</v>
      </c>
      <c r="F149" s="7" t="str">
        <f>"I207.227.42/102"</f>
        <v>I207.227.42/102</v>
      </c>
    </row>
    <row r="150" customHeight="1" spans="1:6">
      <c r="A150" s="6">
        <v>149</v>
      </c>
      <c r="B150" s="7" t="str">
        <f>"978-7-108-06997-9"</f>
        <v>978-7-108-06997-9</v>
      </c>
      <c r="C150" s="7" t="str">
        <f>"唐诗杂论 诗与批评"</f>
        <v>唐诗杂论 诗与批评</v>
      </c>
      <c r="D150" s="7" t="str">
        <f>"闻一多著"</f>
        <v>闻一多著</v>
      </c>
      <c r="E150" s="7" t="str">
        <f>"三联书店"</f>
        <v>三联书店</v>
      </c>
      <c r="F150" s="7" t="str">
        <f>"I207.227.42/103"</f>
        <v>I207.227.42/103</v>
      </c>
    </row>
    <row r="151" customHeight="1" spans="1:6">
      <c r="A151" s="6">
        <v>150</v>
      </c>
      <c r="B151" s="7" t="str">
        <f>"978-7-108-06997-9"</f>
        <v>978-7-108-06997-9</v>
      </c>
      <c r="C151" s="7" t="str">
        <f>"唐诗杂论 诗与批评"</f>
        <v>唐诗杂论 诗与批评</v>
      </c>
      <c r="D151" s="7" t="str">
        <f>"闻一多著"</f>
        <v>闻一多著</v>
      </c>
      <c r="E151" s="7" t="str">
        <f>"三联书店"</f>
        <v>三联书店</v>
      </c>
      <c r="F151" s="7" t="str">
        <f>"I207.227.42/103"</f>
        <v>I207.227.42/103</v>
      </c>
    </row>
    <row r="152" customHeight="1" spans="1:6">
      <c r="A152" s="6">
        <v>151</v>
      </c>
      <c r="B152" s="8" t="s">
        <v>9811</v>
      </c>
      <c r="C152" s="8" t="s">
        <v>9812</v>
      </c>
      <c r="D152" s="8" t="s">
        <v>9813</v>
      </c>
      <c r="E152" s="8" t="s">
        <v>261</v>
      </c>
      <c r="F152" s="8" t="s">
        <v>9814</v>
      </c>
    </row>
    <row r="153" customHeight="1" spans="1:6">
      <c r="A153" s="6">
        <v>152</v>
      </c>
      <c r="B153" s="8" t="s">
        <v>9811</v>
      </c>
      <c r="C153" s="8" t="s">
        <v>9812</v>
      </c>
      <c r="D153" s="8" t="s">
        <v>9813</v>
      </c>
      <c r="E153" s="8" t="s">
        <v>261</v>
      </c>
      <c r="F153" s="8" t="s">
        <v>9814</v>
      </c>
    </row>
    <row r="154" customHeight="1" spans="1:6">
      <c r="A154" s="6">
        <v>153</v>
      </c>
      <c r="B154" s="8" t="s">
        <v>9811</v>
      </c>
      <c r="C154" s="8" t="s">
        <v>9812</v>
      </c>
      <c r="D154" s="8" t="s">
        <v>9813</v>
      </c>
      <c r="E154" s="8" t="s">
        <v>261</v>
      </c>
      <c r="F154" s="8" t="s">
        <v>9814</v>
      </c>
    </row>
    <row r="155" customHeight="1" spans="1:6">
      <c r="A155" s="6">
        <v>154</v>
      </c>
      <c r="B155" s="8" t="s">
        <v>9815</v>
      </c>
      <c r="C155" s="8" t="s">
        <v>9816</v>
      </c>
      <c r="D155" s="8" t="s">
        <v>9817</v>
      </c>
      <c r="E155" s="8" t="s">
        <v>261</v>
      </c>
      <c r="F155" s="8" t="s">
        <v>9818</v>
      </c>
    </row>
    <row r="156" customHeight="1" spans="1:6">
      <c r="A156" s="6">
        <v>155</v>
      </c>
      <c r="B156" s="8" t="s">
        <v>9815</v>
      </c>
      <c r="C156" s="8" t="s">
        <v>9816</v>
      </c>
      <c r="D156" s="8" t="s">
        <v>9817</v>
      </c>
      <c r="E156" s="8" t="s">
        <v>261</v>
      </c>
      <c r="F156" s="8" t="s">
        <v>9818</v>
      </c>
    </row>
    <row r="157" customHeight="1" spans="1:6">
      <c r="A157" s="6">
        <v>156</v>
      </c>
      <c r="B157" s="8" t="s">
        <v>9815</v>
      </c>
      <c r="C157" s="8" t="s">
        <v>9816</v>
      </c>
      <c r="D157" s="8" t="s">
        <v>9817</v>
      </c>
      <c r="E157" s="8" t="s">
        <v>261</v>
      </c>
      <c r="F157" s="8" t="s">
        <v>9818</v>
      </c>
    </row>
    <row r="158" customHeight="1" spans="1:6">
      <c r="A158" s="6">
        <v>157</v>
      </c>
      <c r="B158" s="8" t="s">
        <v>9819</v>
      </c>
      <c r="C158" s="8" t="s">
        <v>9820</v>
      </c>
      <c r="D158" s="8" t="s">
        <v>9821</v>
      </c>
      <c r="E158" s="8" t="s">
        <v>270</v>
      </c>
      <c r="F158" s="8" t="s">
        <v>9822</v>
      </c>
    </row>
    <row r="159" customHeight="1" spans="1:6">
      <c r="A159" s="6">
        <v>158</v>
      </c>
      <c r="B159" s="8" t="s">
        <v>9819</v>
      </c>
      <c r="C159" s="8" t="s">
        <v>9820</v>
      </c>
      <c r="D159" s="8" t="s">
        <v>9821</v>
      </c>
      <c r="E159" s="8" t="s">
        <v>270</v>
      </c>
      <c r="F159" s="8" t="s">
        <v>9822</v>
      </c>
    </row>
    <row r="160" customHeight="1" spans="1:6">
      <c r="A160" s="6">
        <v>159</v>
      </c>
      <c r="B160" s="7" t="str">
        <f>"978-7-101-14198-6"</f>
        <v>978-7-101-14198-6</v>
      </c>
      <c r="C160" s="7" t="str">
        <f>"白居易诗歌精解"</f>
        <v>白居易诗歌精解</v>
      </c>
      <c r="D160" s="7" t="str">
        <f>"郭杰篆"</f>
        <v>郭杰篆</v>
      </c>
      <c r="E160" s="7" t="str">
        <f>"中华书局"</f>
        <v>中华书局</v>
      </c>
      <c r="F160" s="7" t="str">
        <f>"I207.227.424/13"</f>
        <v>I207.227.424/13</v>
      </c>
    </row>
    <row r="161" customHeight="1" spans="1:6">
      <c r="A161" s="6">
        <v>160</v>
      </c>
      <c r="B161" s="7" t="str">
        <f>"978-7-101-14198-6"</f>
        <v>978-7-101-14198-6</v>
      </c>
      <c r="C161" s="7" t="str">
        <f>"白居易诗歌精解"</f>
        <v>白居易诗歌精解</v>
      </c>
      <c r="D161" s="7" t="str">
        <f>"郭杰篆"</f>
        <v>郭杰篆</v>
      </c>
      <c r="E161" s="7" t="str">
        <f>"中华书局"</f>
        <v>中华书局</v>
      </c>
      <c r="F161" s="7" t="str">
        <f>"I207.227.424/13"</f>
        <v>I207.227.424/13</v>
      </c>
    </row>
    <row r="162" customHeight="1" spans="1:6">
      <c r="A162" s="6">
        <v>161</v>
      </c>
      <c r="B162" s="7" t="str">
        <f>"978-7-5690-4504-8"</f>
        <v>978-7-5690-4504-8</v>
      </c>
      <c r="C162" s="7" t="str">
        <f>"杨慎诗歌赏析"</f>
        <v>杨慎诗歌赏析</v>
      </c>
      <c r="D162" s="7" t="str">
        <f>"严铭著"</f>
        <v>严铭著</v>
      </c>
      <c r="E162" s="7" t="str">
        <f>"四川大学出版社"</f>
        <v>四川大学出版社</v>
      </c>
      <c r="F162" s="7" t="str">
        <f>"I207.227.48/4"</f>
        <v>I207.227.48/4</v>
      </c>
    </row>
    <row r="163" customHeight="1" spans="1:6">
      <c r="A163" s="6">
        <v>162</v>
      </c>
      <c r="B163" s="7" t="str">
        <f>"978-7-5690-4504-8"</f>
        <v>978-7-5690-4504-8</v>
      </c>
      <c r="C163" s="7" t="str">
        <f>"杨慎诗歌赏析"</f>
        <v>杨慎诗歌赏析</v>
      </c>
      <c r="D163" s="7" t="str">
        <f>"严铭著"</f>
        <v>严铭著</v>
      </c>
      <c r="E163" s="7" t="str">
        <f>"四川大学出版社"</f>
        <v>四川大学出版社</v>
      </c>
      <c r="F163" s="7" t="str">
        <f>"I207.227.48/4"</f>
        <v>I207.227.48/4</v>
      </c>
    </row>
    <row r="164" customHeight="1" spans="1:6">
      <c r="A164" s="6">
        <v>163</v>
      </c>
      <c r="B164" s="7" t="str">
        <f t="shared" ref="B164:B166" si="43">"978-7-200-13008-9"</f>
        <v>978-7-200-13008-9</v>
      </c>
      <c r="C164" s="7" t="str">
        <f t="shared" ref="C164:C166" si="44">"好诗不厌百回读"</f>
        <v>好诗不厌百回读</v>
      </c>
      <c r="D164" s="7" t="str">
        <f t="shared" ref="D164:D166" si="45">"袁行霈著"</f>
        <v>袁行霈著</v>
      </c>
      <c r="E164" s="7" t="str">
        <f t="shared" ref="E164:E166" si="46">"北京出版社"</f>
        <v>北京出版社</v>
      </c>
      <c r="F164" s="7" t="str">
        <f t="shared" ref="F164:F166" si="47">"I207.227/183-2"</f>
        <v>I207.227/183-2</v>
      </c>
    </row>
    <row r="165" customHeight="1" spans="1:6">
      <c r="A165" s="6">
        <v>164</v>
      </c>
      <c r="B165" s="7" t="str">
        <f t="shared" si="43"/>
        <v>978-7-200-13008-9</v>
      </c>
      <c r="C165" s="7" t="str">
        <f t="shared" si="44"/>
        <v>好诗不厌百回读</v>
      </c>
      <c r="D165" s="7" t="str">
        <f t="shared" si="45"/>
        <v>袁行霈著</v>
      </c>
      <c r="E165" s="7" t="str">
        <f t="shared" si="46"/>
        <v>北京出版社</v>
      </c>
      <c r="F165" s="7" t="str">
        <f t="shared" si="47"/>
        <v>I207.227/183-2</v>
      </c>
    </row>
    <row r="166" customHeight="1" spans="1:6">
      <c r="A166" s="6">
        <v>165</v>
      </c>
      <c r="B166" s="7" t="str">
        <f t="shared" si="43"/>
        <v>978-7-200-13008-9</v>
      </c>
      <c r="C166" s="7" t="str">
        <f t="shared" si="44"/>
        <v>好诗不厌百回读</v>
      </c>
      <c r="D166" s="7" t="str">
        <f t="shared" si="45"/>
        <v>袁行霈著</v>
      </c>
      <c r="E166" s="7" t="str">
        <f t="shared" si="46"/>
        <v>北京出版社</v>
      </c>
      <c r="F166" s="7" t="str">
        <f t="shared" si="47"/>
        <v>I207.227/183-2</v>
      </c>
    </row>
    <row r="167" customHeight="1" spans="1:6">
      <c r="A167" s="6">
        <v>166</v>
      </c>
      <c r="B167" s="7" t="str">
        <f t="shared" ref="B167:B169" si="48">"978-7-101-15274-6"</f>
        <v>978-7-101-15274-6</v>
      </c>
      <c r="C167" s="7" t="str">
        <f>"律诗文体建构与礼乐文化传统．上册"</f>
        <v>律诗文体建构与礼乐文化传统．上册</v>
      </c>
      <c r="D167" s="7" t="str">
        <f t="shared" ref="D167:D169" si="49">"张国安著"</f>
        <v>张国安著</v>
      </c>
      <c r="E167" s="7" t="str">
        <f t="shared" ref="E167:E169" si="50">"中华书局"</f>
        <v>中华书局</v>
      </c>
      <c r="F167" s="7" t="str">
        <f>"I207.227/380/1"</f>
        <v>I207.227/380/1</v>
      </c>
    </row>
    <row r="168" customHeight="1" spans="1:6">
      <c r="A168" s="6">
        <v>167</v>
      </c>
      <c r="B168" s="7" t="str">
        <f t="shared" si="48"/>
        <v>978-7-101-15274-6</v>
      </c>
      <c r="C168" s="7" t="str">
        <f>"律诗文体建构与礼乐文化传统．中册"</f>
        <v>律诗文体建构与礼乐文化传统．中册</v>
      </c>
      <c r="D168" s="7" t="str">
        <f t="shared" si="49"/>
        <v>张国安著</v>
      </c>
      <c r="E168" s="7" t="str">
        <f t="shared" si="50"/>
        <v>中华书局</v>
      </c>
      <c r="F168" s="7" t="str">
        <f>"I207.227/380/2"</f>
        <v>I207.227/380/2</v>
      </c>
    </row>
    <row r="169" customHeight="1" spans="1:6">
      <c r="A169" s="6">
        <v>168</v>
      </c>
      <c r="B169" s="7" t="str">
        <f t="shared" si="48"/>
        <v>978-7-101-15274-6</v>
      </c>
      <c r="C169" s="7" t="str">
        <f>"律诗文体建构与礼乐文化传统．下册"</f>
        <v>律诗文体建构与礼乐文化传统．下册</v>
      </c>
      <c r="D169" s="7" t="str">
        <f t="shared" si="49"/>
        <v>张国安著</v>
      </c>
      <c r="E169" s="7" t="str">
        <f t="shared" si="50"/>
        <v>中华书局</v>
      </c>
      <c r="F169" s="7" t="str">
        <f>"I207.227/380/3"</f>
        <v>I207.227/380/3</v>
      </c>
    </row>
    <row r="170" customHeight="1" spans="1:6">
      <c r="A170" s="6">
        <v>169</v>
      </c>
      <c r="B170" s="7" t="str">
        <f>"978-7-5690-4253-5"</f>
        <v>978-7-5690-4253-5</v>
      </c>
      <c r="C170" s="7" t="str">
        <f>"花间词新注"</f>
        <v>花间词新注</v>
      </c>
      <c r="D170" s="7" t="str">
        <f>"陈明， 赵毅著"</f>
        <v>陈明， 赵毅著</v>
      </c>
      <c r="E170" s="7" t="str">
        <f>"四川大学出版社"</f>
        <v>四川大学出版社</v>
      </c>
      <c r="F170" s="7" t="str">
        <f>"I207.23/502=2D"</f>
        <v>I207.23/502=2D</v>
      </c>
    </row>
    <row r="171" customHeight="1" spans="1:6">
      <c r="A171" s="6">
        <v>170</v>
      </c>
      <c r="B171" s="7" t="str">
        <f>"978-7-5690-4253-5"</f>
        <v>978-7-5690-4253-5</v>
      </c>
      <c r="C171" s="7" t="str">
        <f>"花间词新注"</f>
        <v>花间词新注</v>
      </c>
      <c r="D171" s="7" t="str">
        <f>"陈明， 赵毅著"</f>
        <v>陈明， 赵毅著</v>
      </c>
      <c r="E171" s="7" t="str">
        <f>"四川大学出版社"</f>
        <v>四川大学出版社</v>
      </c>
      <c r="F171" s="7" t="str">
        <f>"I207.23/502=2D"</f>
        <v>I207.23/502=2D</v>
      </c>
    </row>
    <row r="172" customHeight="1" spans="1:6">
      <c r="A172" s="6">
        <v>171</v>
      </c>
      <c r="B172" s="7" t="str">
        <f t="shared" ref="B172:B179" si="51">"978-7-5201-6083-4"</f>
        <v>978-7-5201-6083-4</v>
      </c>
      <c r="C172" s="7" t="str">
        <f>"民國詞話叢編．第一册"</f>
        <v>民國詞話叢編．第一册</v>
      </c>
      <c r="D172" s="7" t="str">
        <f t="shared" ref="D172:D179" si="52">"孫克強， 楊傳慶， 和希林編"</f>
        <v>孫克強， 楊傳慶， 和希林編</v>
      </c>
      <c r="E172" s="7" t="str">
        <f t="shared" ref="E172:E179" si="53">"社會科學文獻出版社"</f>
        <v>社會科學文獻出版社</v>
      </c>
      <c r="F172" s="7" t="str">
        <f>"I207.23/503/1"</f>
        <v>I207.23/503/1</v>
      </c>
    </row>
    <row r="173" customHeight="1" spans="1:6">
      <c r="A173" s="6">
        <v>172</v>
      </c>
      <c r="B173" s="7" t="str">
        <f t="shared" si="51"/>
        <v>978-7-5201-6083-4</v>
      </c>
      <c r="C173" s="7" t="str">
        <f>"民國詞話叢編．第二册"</f>
        <v>民國詞話叢編．第二册</v>
      </c>
      <c r="D173" s="7" t="str">
        <f t="shared" si="52"/>
        <v>孫克強， 楊傳慶， 和希林編</v>
      </c>
      <c r="E173" s="7" t="str">
        <f t="shared" si="53"/>
        <v>社會科學文獻出版社</v>
      </c>
      <c r="F173" s="7" t="str">
        <f>"I207.23/503/2"</f>
        <v>I207.23/503/2</v>
      </c>
    </row>
    <row r="174" customHeight="1" spans="1:6">
      <c r="A174" s="6">
        <v>173</v>
      </c>
      <c r="B174" s="7" t="str">
        <f t="shared" si="51"/>
        <v>978-7-5201-6083-4</v>
      </c>
      <c r="C174" s="7" t="str">
        <f>"民國詞話叢編．第三册"</f>
        <v>民國詞話叢編．第三册</v>
      </c>
      <c r="D174" s="7" t="str">
        <f t="shared" si="52"/>
        <v>孫克強， 楊傳慶， 和希林編</v>
      </c>
      <c r="E174" s="7" t="str">
        <f t="shared" si="53"/>
        <v>社會科學文獻出版社</v>
      </c>
      <c r="F174" s="7" t="str">
        <f>"I207.23/503/3"</f>
        <v>I207.23/503/3</v>
      </c>
    </row>
    <row r="175" customHeight="1" spans="1:6">
      <c r="A175" s="6">
        <v>174</v>
      </c>
      <c r="B175" s="7" t="str">
        <f t="shared" si="51"/>
        <v>978-7-5201-6083-4</v>
      </c>
      <c r="C175" s="7" t="str">
        <f>"民國詞話叢編．第四册"</f>
        <v>民國詞話叢編．第四册</v>
      </c>
      <c r="D175" s="7" t="str">
        <f t="shared" si="52"/>
        <v>孫克強， 楊傳慶， 和希林編</v>
      </c>
      <c r="E175" s="7" t="str">
        <f t="shared" si="53"/>
        <v>社會科學文獻出版社</v>
      </c>
      <c r="F175" s="7" t="str">
        <f>"I207.23/503/4"</f>
        <v>I207.23/503/4</v>
      </c>
    </row>
    <row r="176" customHeight="1" spans="1:6">
      <c r="A176" s="6">
        <v>175</v>
      </c>
      <c r="B176" s="7" t="str">
        <f t="shared" si="51"/>
        <v>978-7-5201-6083-4</v>
      </c>
      <c r="C176" s="7" t="str">
        <f>"民國詞話叢編．第五册"</f>
        <v>民國詞話叢編．第五册</v>
      </c>
      <c r="D176" s="7" t="str">
        <f t="shared" si="52"/>
        <v>孫克強， 楊傳慶， 和希林編</v>
      </c>
      <c r="E176" s="7" t="str">
        <f t="shared" si="53"/>
        <v>社會科學文獻出版社</v>
      </c>
      <c r="F176" s="7" t="str">
        <f>"I207.23/503/5"</f>
        <v>I207.23/503/5</v>
      </c>
    </row>
    <row r="177" customHeight="1" spans="1:6">
      <c r="A177" s="6">
        <v>176</v>
      </c>
      <c r="B177" s="7" t="str">
        <f t="shared" si="51"/>
        <v>978-7-5201-6083-4</v>
      </c>
      <c r="C177" s="7" t="str">
        <f>"民國詞話叢編．第六册"</f>
        <v>民國詞話叢編．第六册</v>
      </c>
      <c r="D177" s="7" t="str">
        <f t="shared" si="52"/>
        <v>孫克強， 楊傳慶， 和希林編</v>
      </c>
      <c r="E177" s="7" t="str">
        <f t="shared" si="53"/>
        <v>社會科學文獻出版社</v>
      </c>
      <c r="F177" s="7" t="str">
        <f>"I207.23/503/6"</f>
        <v>I207.23/503/6</v>
      </c>
    </row>
    <row r="178" customHeight="1" spans="1:6">
      <c r="A178" s="6">
        <v>177</v>
      </c>
      <c r="B178" s="7" t="str">
        <f t="shared" si="51"/>
        <v>978-7-5201-6083-4</v>
      </c>
      <c r="C178" s="7" t="str">
        <f>"民國詞話叢編．第七册"</f>
        <v>民國詞話叢編．第七册</v>
      </c>
      <c r="D178" s="7" t="str">
        <f t="shared" si="52"/>
        <v>孫克強， 楊傳慶， 和希林編</v>
      </c>
      <c r="E178" s="7" t="str">
        <f t="shared" si="53"/>
        <v>社會科學文獻出版社</v>
      </c>
      <c r="F178" s="7" t="str">
        <f>"I207.23/503/7"</f>
        <v>I207.23/503/7</v>
      </c>
    </row>
    <row r="179" customHeight="1" spans="1:6">
      <c r="A179" s="6">
        <v>178</v>
      </c>
      <c r="B179" s="7" t="str">
        <f t="shared" si="51"/>
        <v>978-7-5201-6083-4</v>
      </c>
      <c r="C179" s="7" t="str">
        <f>"民國詞話叢編．第八册"</f>
        <v>民國詞話叢編．第八册</v>
      </c>
      <c r="D179" s="7" t="str">
        <f t="shared" si="52"/>
        <v>孫克強， 楊傳慶， 和希林編</v>
      </c>
      <c r="E179" s="7" t="str">
        <f t="shared" si="53"/>
        <v>社會科學文獻出版社</v>
      </c>
      <c r="F179" s="7" t="str">
        <f>"I207.23/503/8"</f>
        <v>I207.23/503/8</v>
      </c>
    </row>
    <row r="180" customHeight="1" spans="1:6">
      <c r="A180" s="6">
        <v>179</v>
      </c>
      <c r="B180" s="7" t="str">
        <f>"978-7-108-07003-6"</f>
        <v>978-7-108-07003-6</v>
      </c>
      <c r="C180" s="7" t="str">
        <f>"宋词纵谈"</f>
        <v>宋词纵谈</v>
      </c>
      <c r="D180" s="7" t="str">
        <f>"陈迩冬著"</f>
        <v>陈迩冬著</v>
      </c>
      <c r="E180" s="7" t="str">
        <f>"三联书店"</f>
        <v>三联书店</v>
      </c>
      <c r="F180" s="7" t="str">
        <f>"I207.23/504"</f>
        <v>I207.23/504</v>
      </c>
    </row>
    <row r="181" customHeight="1" spans="1:6">
      <c r="A181" s="6">
        <v>180</v>
      </c>
      <c r="B181" s="7" t="str">
        <f>"978-7-108-07003-6"</f>
        <v>978-7-108-07003-6</v>
      </c>
      <c r="C181" s="7" t="str">
        <f>"宋词纵谈"</f>
        <v>宋词纵谈</v>
      </c>
      <c r="D181" s="7" t="str">
        <f>"陈迩冬著"</f>
        <v>陈迩冬著</v>
      </c>
      <c r="E181" s="7" t="str">
        <f>"三联书店"</f>
        <v>三联书店</v>
      </c>
      <c r="F181" s="7" t="str">
        <f>"I207.23/504"</f>
        <v>I207.23/504</v>
      </c>
    </row>
    <row r="182" customHeight="1" spans="1:6">
      <c r="A182" s="6">
        <v>181</v>
      </c>
      <c r="B182" s="7" t="str">
        <f>"978-7-5217-3062-3"</f>
        <v>978-7-5217-3062-3</v>
      </c>
      <c r="C182" s="7" t="str">
        <f>"苏轼词八讲"</f>
        <v>苏轼词八讲</v>
      </c>
      <c r="D182" s="7" t="str">
        <f>"刘少雄著；林玟玲整理"</f>
        <v>刘少雄著；林玟玲整理</v>
      </c>
      <c r="E182" s="7" t="str">
        <f>"中信出版集团股份有限公司"</f>
        <v>中信出版集团股份有限公司</v>
      </c>
      <c r="F182" s="7" t="str">
        <f>"I207.23/505"</f>
        <v>I207.23/505</v>
      </c>
    </row>
    <row r="183" customHeight="1" spans="1:6">
      <c r="A183" s="6">
        <v>182</v>
      </c>
      <c r="B183" s="7" t="str">
        <f>"978-7-5217-3062-3"</f>
        <v>978-7-5217-3062-3</v>
      </c>
      <c r="C183" s="7" t="str">
        <f>"苏轼词八讲"</f>
        <v>苏轼词八讲</v>
      </c>
      <c r="D183" s="7" t="str">
        <f>"刘少雄著；林玟玲整理"</f>
        <v>刘少雄著；林玟玲整理</v>
      </c>
      <c r="E183" s="7" t="str">
        <f>"中信出版集团股份有限公司"</f>
        <v>中信出版集团股份有限公司</v>
      </c>
      <c r="F183" s="7" t="str">
        <f>"I207.23/505"</f>
        <v>I207.23/505</v>
      </c>
    </row>
    <row r="184" customHeight="1" spans="1:6">
      <c r="A184" s="6">
        <v>183</v>
      </c>
      <c r="B184" s="8" t="s">
        <v>9823</v>
      </c>
      <c r="C184" s="8" t="s">
        <v>9824</v>
      </c>
      <c r="D184" s="8" t="s">
        <v>9825</v>
      </c>
      <c r="E184" s="8" t="s">
        <v>9826</v>
      </c>
      <c r="F184" s="8" t="s">
        <v>9827</v>
      </c>
    </row>
    <row r="185" customHeight="1" spans="1:6">
      <c r="A185" s="6">
        <v>184</v>
      </c>
      <c r="B185" s="8" t="s">
        <v>9823</v>
      </c>
      <c r="C185" s="8" t="s">
        <v>9824</v>
      </c>
      <c r="D185" s="8" t="s">
        <v>9825</v>
      </c>
      <c r="E185" s="8" t="s">
        <v>9826</v>
      </c>
      <c r="F185" s="8" t="s">
        <v>9827</v>
      </c>
    </row>
    <row r="186" customHeight="1" spans="1:6">
      <c r="A186" s="6">
        <v>185</v>
      </c>
      <c r="B186" s="7" t="str">
        <f t="shared" ref="B186:B188" si="54">"978-7-5690-4797-4"</f>
        <v>978-7-5690-4797-4</v>
      </c>
      <c r="C186" s="7" t="str">
        <f t="shared" ref="C186:C188" si="55">"新诗创作与评论"</f>
        <v>新诗创作与评论</v>
      </c>
      <c r="D186" s="7" t="str">
        <f t="shared" ref="D186:D188" si="56">"刘正伟著"</f>
        <v>刘正伟著</v>
      </c>
      <c r="E186" s="7" t="str">
        <f t="shared" ref="E186:E188" si="57">"四川大学出版社"</f>
        <v>四川大学出版社</v>
      </c>
      <c r="F186" s="7" t="str">
        <f t="shared" ref="F186:F188" si="58">"I207.25/109"</f>
        <v>I207.25/109</v>
      </c>
    </row>
    <row r="187" customHeight="1" spans="1:6">
      <c r="A187" s="6">
        <v>186</v>
      </c>
      <c r="B187" s="7" t="str">
        <f t="shared" si="54"/>
        <v>978-7-5690-4797-4</v>
      </c>
      <c r="C187" s="7" t="str">
        <f t="shared" si="55"/>
        <v>新诗创作与评论</v>
      </c>
      <c r="D187" s="7" t="str">
        <f t="shared" si="56"/>
        <v>刘正伟著</v>
      </c>
      <c r="E187" s="7" t="str">
        <f t="shared" si="57"/>
        <v>四川大学出版社</v>
      </c>
      <c r="F187" s="7" t="str">
        <f t="shared" si="58"/>
        <v>I207.25/109</v>
      </c>
    </row>
    <row r="188" customHeight="1" spans="1:6">
      <c r="A188" s="6">
        <v>187</v>
      </c>
      <c r="B188" s="7" t="str">
        <f t="shared" si="54"/>
        <v>978-7-5690-4797-4</v>
      </c>
      <c r="C188" s="7" t="str">
        <f t="shared" si="55"/>
        <v>新诗创作与评论</v>
      </c>
      <c r="D188" s="7" t="str">
        <f t="shared" si="56"/>
        <v>刘正伟著</v>
      </c>
      <c r="E188" s="7" t="str">
        <f t="shared" si="57"/>
        <v>四川大学出版社</v>
      </c>
      <c r="F188" s="7" t="str">
        <f t="shared" si="58"/>
        <v>I207.25/109</v>
      </c>
    </row>
    <row r="189" customHeight="1" spans="1:6">
      <c r="A189" s="6">
        <v>188</v>
      </c>
      <c r="B189" s="9" t="str">
        <f>"978-7-101-15248-7"</f>
        <v>978-7-101-15248-7</v>
      </c>
      <c r="C189" s="9" t="str">
        <f>"錄鬼簿校訂"</f>
        <v>錄鬼簿校訂</v>
      </c>
      <c r="D189" s="9" t="str">
        <f>"(元) 鍾嗣成撰；(明) 佚名續；王鋼校訂"</f>
        <v>(元) 鍾嗣成撰；(明) 佚名續；王鋼校訂</v>
      </c>
      <c r="E189" s="9" t="str">
        <f>"中華書局"</f>
        <v>中華書局</v>
      </c>
      <c r="F189" s="9" t="str">
        <f>"I207.37/101"</f>
        <v>I207.37/101</v>
      </c>
    </row>
    <row r="190" customHeight="1" spans="1:6">
      <c r="A190" s="6">
        <v>189</v>
      </c>
      <c r="B190" s="9" t="str">
        <f>"978-7-101-15248-7"</f>
        <v>978-7-101-15248-7</v>
      </c>
      <c r="C190" s="9" t="str">
        <f>"錄鬼簿校訂"</f>
        <v>錄鬼簿校訂</v>
      </c>
      <c r="D190" s="9" t="str">
        <f>"(元) 鍾嗣成撰；(明) 佚名續；王鋼校訂"</f>
        <v>(元) 鍾嗣成撰；(明) 佚名續；王鋼校訂</v>
      </c>
      <c r="E190" s="9" t="str">
        <f>"中華書局"</f>
        <v>中華書局</v>
      </c>
      <c r="F190" s="9" t="str">
        <f>"I207.37/101"</f>
        <v>I207.37/101</v>
      </c>
    </row>
    <row r="191" customHeight="1" spans="1:6">
      <c r="A191" s="6">
        <v>190</v>
      </c>
      <c r="B191" s="8" t="s">
        <v>9828</v>
      </c>
      <c r="C191" s="8" t="s">
        <v>9829</v>
      </c>
      <c r="D191" s="8" t="s">
        <v>9830</v>
      </c>
      <c r="E191" s="8" t="s">
        <v>189</v>
      </c>
      <c r="F191" s="8" t="s">
        <v>9831</v>
      </c>
    </row>
    <row r="192" customHeight="1" spans="1:6">
      <c r="A192" s="6">
        <v>191</v>
      </c>
      <c r="B192" s="8" t="s">
        <v>9828</v>
      </c>
      <c r="C192" s="8" t="s">
        <v>9829</v>
      </c>
      <c r="D192" s="8" t="s">
        <v>9830</v>
      </c>
      <c r="E192" s="8" t="s">
        <v>189</v>
      </c>
      <c r="F192" s="8" t="s">
        <v>9831</v>
      </c>
    </row>
    <row r="193" customHeight="1" spans="1:6">
      <c r="A193" s="6">
        <v>192</v>
      </c>
      <c r="B193" s="8" t="s">
        <v>9832</v>
      </c>
      <c r="C193" s="8" t="s">
        <v>9833</v>
      </c>
      <c r="D193" s="8" t="s">
        <v>7061</v>
      </c>
      <c r="E193" s="8" t="s">
        <v>261</v>
      </c>
      <c r="F193" s="8" t="s">
        <v>9834</v>
      </c>
    </row>
    <row r="194" customHeight="1" spans="1:6">
      <c r="A194" s="6">
        <v>193</v>
      </c>
      <c r="B194" s="8" t="s">
        <v>9832</v>
      </c>
      <c r="C194" s="8" t="s">
        <v>9833</v>
      </c>
      <c r="D194" s="8" t="s">
        <v>7061</v>
      </c>
      <c r="E194" s="8" t="s">
        <v>261</v>
      </c>
      <c r="F194" s="8" t="s">
        <v>9834</v>
      </c>
    </row>
    <row r="195" customHeight="1" spans="1:6">
      <c r="A195" s="6">
        <v>194</v>
      </c>
      <c r="B195" s="8" t="s">
        <v>9832</v>
      </c>
      <c r="C195" s="8" t="s">
        <v>9833</v>
      </c>
      <c r="D195" s="8" t="s">
        <v>7061</v>
      </c>
      <c r="E195" s="8" t="s">
        <v>261</v>
      </c>
      <c r="F195" s="8" t="s">
        <v>9834</v>
      </c>
    </row>
    <row r="196" customHeight="1" spans="1:6">
      <c r="A196" s="6">
        <v>195</v>
      </c>
      <c r="B196" s="8" t="s">
        <v>9835</v>
      </c>
      <c r="C196" s="8" t="s">
        <v>9836</v>
      </c>
      <c r="D196" s="8" t="s">
        <v>9837</v>
      </c>
      <c r="E196" s="8" t="s">
        <v>33</v>
      </c>
      <c r="F196" s="8" t="s">
        <v>9838</v>
      </c>
    </row>
    <row r="197" customHeight="1" spans="1:6">
      <c r="A197" s="6">
        <v>196</v>
      </c>
      <c r="B197" s="8" t="s">
        <v>9835</v>
      </c>
      <c r="C197" s="8" t="s">
        <v>9836</v>
      </c>
      <c r="D197" s="8" t="s">
        <v>9837</v>
      </c>
      <c r="E197" s="8" t="s">
        <v>33</v>
      </c>
      <c r="F197" s="8" t="s">
        <v>9838</v>
      </c>
    </row>
    <row r="198" customHeight="1" spans="1:6">
      <c r="A198" s="6">
        <v>197</v>
      </c>
      <c r="B198" s="7" t="str">
        <f t="shared" ref="B198:B201" si="59">"978-7-5142-3300-1"</f>
        <v>978-7-5142-3300-1</v>
      </c>
      <c r="C198" s="7" t="str">
        <f>"红楼梦真相．上卷"</f>
        <v>红楼梦真相．上卷</v>
      </c>
      <c r="D198" s="7" t="str">
        <f t="shared" ref="D198:D201" si="60">"董耀昌著"</f>
        <v>董耀昌著</v>
      </c>
      <c r="E198" s="7" t="str">
        <f t="shared" ref="E198:E201" si="61">"文化发展出版社"</f>
        <v>文化发展出版社</v>
      </c>
      <c r="F198" s="7" t="str">
        <f>"I207.411/365/1"</f>
        <v>I207.411/365/1</v>
      </c>
    </row>
    <row r="199" customHeight="1" spans="1:6">
      <c r="A199" s="6">
        <v>198</v>
      </c>
      <c r="B199" s="7" t="str">
        <f t="shared" si="59"/>
        <v>978-7-5142-3300-1</v>
      </c>
      <c r="C199" s="7" t="str">
        <f>"红楼梦真相．上卷"</f>
        <v>红楼梦真相．上卷</v>
      </c>
      <c r="D199" s="7" t="str">
        <f t="shared" si="60"/>
        <v>董耀昌著</v>
      </c>
      <c r="E199" s="7" t="str">
        <f t="shared" si="61"/>
        <v>文化发展出版社</v>
      </c>
      <c r="F199" s="7" t="str">
        <f>"I207.411/365/1"</f>
        <v>I207.411/365/1</v>
      </c>
    </row>
    <row r="200" customHeight="1" spans="1:6">
      <c r="A200" s="6">
        <v>199</v>
      </c>
      <c r="B200" s="7" t="str">
        <f t="shared" si="59"/>
        <v>978-7-5142-3300-1</v>
      </c>
      <c r="C200" s="7" t="str">
        <f>"红楼梦真相．下卷"</f>
        <v>红楼梦真相．下卷</v>
      </c>
      <c r="D200" s="7" t="str">
        <f t="shared" si="60"/>
        <v>董耀昌著</v>
      </c>
      <c r="E200" s="7" t="str">
        <f t="shared" si="61"/>
        <v>文化发展出版社</v>
      </c>
      <c r="F200" s="7" t="str">
        <f>"I207.411/365/2"</f>
        <v>I207.411/365/2</v>
      </c>
    </row>
    <row r="201" customHeight="1" spans="1:6">
      <c r="A201" s="6">
        <v>200</v>
      </c>
      <c r="B201" s="7" t="str">
        <f t="shared" si="59"/>
        <v>978-7-5142-3300-1</v>
      </c>
      <c r="C201" s="7" t="str">
        <f>"红楼梦真相．下卷"</f>
        <v>红楼梦真相．下卷</v>
      </c>
      <c r="D201" s="7" t="str">
        <f t="shared" si="60"/>
        <v>董耀昌著</v>
      </c>
      <c r="E201" s="7" t="str">
        <f t="shared" si="61"/>
        <v>文化发展出版社</v>
      </c>
      <c r="F201" s="7" t="str">
        <f>"I207.411/365/2"</f>
        <v>I207.411/365/2</v>
      </c>
    </row>
    <row r="202" customHeight="1" spans="1:6">
      <c r="A202" s="6">
        <v>201</v>
      </c>
      <c r="B202" s="8" t="s">
        <v>9839</v>
      </c>
      <c r="C202" s="8" t="s">
        <v>9840</v>
      </c>
      <c r="D202" s="8" t="s">
        <v>9841</v>
      </c>
      <c r="E202" s="8" t="s">
        <v>9842</v>
      </c>
      <c r="F202" s="8" t="s">
        <v>9843</v>
      </c>
    </row>
    <row r="203" customHeight="1" spans="1:6">
      <c r="A203" s="6">
        <v>202</v>
      </c>
      <c r="B203" s="8" t="s">
        <v>9839</v>
      </c>
      <c r="C203" s="8" t="s">
        <v>9840</v>
      </c>
      <c r="D203" s="8" t="s">
        <v>9841</v>
      </c>
      <c r="E203" s="8" t="s">
        <v>9842</v>
      </c>
      <c r="F203" s="8" t="s">
        <v>9843</v>
      </c>
    </row>
    <row r="204" customHeight="1" spans="1:6">
      <c r="A204" s="6">
        <v>203</v>
      </c>
      <c r="B204" s="8" t="s">
        <v>9844</v>
      </c>
      <c r="C204" s="8" t="s">
        <v>9845</v>
      </c>
      <c r="D204" s="8" t="s">
        <v>9846</v>
      </c>
      <c r="E204" s="8" t="s">
        <v>316</v>
      </c>
      <c r="F204" s="8" t="s">
        <v>9847</v>
      </c>
    </row>
    <row r="205" customHeight="1" spans="1:6">
      <c r="A205" s="6">
        <v>204</v>
      </c>
      <c r="B205" s="8" t="s">
        <v>9844</v>
      </c>
      <c r="C205" s="8" t="s">
        <v>9845</v>
      </c>
      <c r="D205" s="8" t="s">
        <v>9846</v>
      </c>
      <c r="E205" s="8" t="s">
        <v>316</v>
      </c>
      <c r="F205" s="8" t="s">
        <v>9847</v>
      </c>
    </row>
    <row r="206" customHeight="1" spans="1:6">
      <c r="A206" s="6">
        <v>205</v>
      </c>
      <c r="B206" s="7" t="str">
        <f>"978-7-108-07000-5"</f>
        <v>978-7-108-07000-5</v>
      </c>
      <c r="C206" s="7" t="str">
        <f>"闲话三分"</f>
        <v>闲话三分</v>
      </c>
      <c r="D206" s="7" t="str">
        <f>"陈迩冬著"</f>
        <v>陈迩冬著</v>
      </c>
      <c r="E206" s="7" t="str">
        <f>"三联书店"</f>
        <v>三联书店</v>
      </c>
      <c r="F206" s="7" t="str">
        <f>"I207.413/86"</f>
        <v>I207.413/86</v>
      </c>
    </row>
    <row r="207" customHeight="1" spans="1:6">
      <c r="A207" s="6">
        <v>206</v>
      </c>
      <c r="B207" s="7" t="str">
        <f>"978-7-108-07000-5"</f>
        <v>978-7-108-07000-5</v>
      </c>
      <c r="C207" s="7" t="str">
        <f>"闲话三分"</f>
        <v>闲话三分</v>
      </c>
      <c r="D207" s="7" t="str">
        <f>"陈迩冬著"</f>
        <v>陈迩冬著</v>
      </c>
      <c r="E207" s="7" t="str">
        <f>"三联书店"</f>
        <v>三联书店</v>
      </c>
      <c r="F207" s="7" t="str">
        <f>"I207.413/86"</f>
        <v>I207.413/86</v>
      </c>
    </row>
    <row r="208" customHeight="1" spans="1:6">
      <c r="A208" s="6">
        <v>207</v>
      </c>
      <c r="B208" s="8" t="s">
        <v>9848</v>
      </c>
      <c r="C208" s="8" t="s">
        <v>9849</v>
      </c>
      <c r="D208" s="8" t="s">
        <v>9850</v>
      </c>
      <c r="E208" s="8" t="s">
        <v>261</v>
      </c>
      <c r="F208" s="8" t="s">
        <v>9851</v>
      </c>
    </row>
    <row r="209" customHeight="1" spans="1:6">
      <c r="A209" s="6">
        <v>208</v>
      </c>
      <c r="B209" s="8" t="s">
        <v>9848</v>
      </c>
      <c r="C209" s="8" t="s">
        <v>9849</v>
      </c>
      <c r="D209" s="8" t="s">
        <v>9850</v>
      </c>
      <c r="E209" s="8" t="s">
        <v>261</v>
      </c>
      <c r="F209" s="8" t="s">
        <v>9851</v>
      </c>
    </row>
    <row r="210" customHeight="1" spans="1:6">
      <c r="A210" s="6">
        <v>209</v>
      </c>
      <c r="B210" s="8" t="s">
        <v>9848</v>
      </c>
      <c r="C210" s="8" t="s">
        <v>9849</v>
      </c>
      <c r="D210" s="8" t="s">
        <v>9850</v>
      </c>
      <c r="E210" s="8" t="s">
        <v>261</v>
      </c>
      <c r="F210" s="8" t="s">
        <v>9851</v>
      </c>
    </row>
    <row r="211" customHeight="1" spans="1:6">
      <c r="A211" s="6">
        <v>210</v>
      </c>
      <c r="B211" s="7" t="str">
        <f>"978-7-5139-3592-0"</f>
        <v>978-7-5139-3592-0</v>
      </c>
      <c r="C211" s="7" t="str">
        <f>"金瓶梅的艺术：凡夫俗子的宝卷"</f>
        <v>金瓶梅的艺术：凡夫俗子的宝卷</v>
      </c>
      <c r="D211" s="7" t="str">
        <f>"孙述宇著"</f>
        <v>孙述宇著</v>
      </c>
      <c r="E211" s="7" t="str">
        <f>"民主与建设出版社"</f>
        <v>民主与建设出版社</v>
      </c>
      <c r="F211" s="7" t="str">
        <f>"I207.419/158"</f>
        <v>I207.419/158</v>
      </c>
    </row>
    <row r="212" customHeight="1" spans="1:6">
      <c r="A212" s="6">
        <v>211</v>
      </c>
      <c r="B212" s="7" t="str">
        <f>"978-7-5139-3592-0"</f>
        <v>978-7-5139-3592-0</v>
      </c>
      <c r="C212" s="7" t="str">
        <f>"金瓶梅的艺术：凡夫俗子的宝卷"</f>
        <v>金瓶梅的艺术：凡夫俗子的宝卷</v>
      </c>
      <c r="D212" s="7" t="str">
        <f>"孙述宇著"</f>
        <v>孙述宇著</v>
      </c>
      <c r="E212" s="7" t="str">
        <f>"民主与建设出版社"</f>
        <v>民主与建设出版社</v>
      </c>
      <c r="F212" s="7" t="str">
        <f>"I207.419/158"</f>
        <v>I207.419/158</v>
      </c>
    </row>
    <row r="213" customHeight="1" spans="1:6">
      <c r="A213" s="6">
        <v>212</v>
      </c>
      <c r="B213" s="7" t="str">
        <f t="shared" ref="B213:B215" si="62">"978-7-5520-3651-0"</f>
        <v>978-7-5520-3651-0</v>
      </c>
      <c r="C213" s="7" t="str">
        <f t="shared" ref="C213:C215" si="63">"悲剧意识与“新时期”小说"</f>
        <v>悲剧意识与“新时期”小说</v>
      </c>
      <c r="D213" s="7" t="str">
        <f t="shared" ref="D213:D215" si="64">"贾艳艳著"</f>
        <v>贾艳艳著</v>
      </c>
      <c r="E213" s="7" t="str">
        <f t="shared" ref="E213:E215" si="65">"上海社会科学院出版社"</f>
        <v>上海社会科学院出版社</v>
      </c>
      <c r="F213" s="7" t="str">
        <f t="shared" ref="F213:F215" si="66">"I207.42/196"</f>
        <v>I207.42/196</v>
      </c>
    </row>
    <row r="214" customHeight="1" spans="1:6">
      <c r="A214" s="6">
        <v>213</v>
      </c>
      <c r="B214" s="7" t="str">
        <f t="shared" si="62"/>
        <v>978-7-5520-3651-0</v>
      </c>
      <c r="C214" s="7" t="str">
        <f t="shared" si="63"/>
        <v>悲剧意识与“新时期”小说</v>
      </c>
      <c r="D214" s="7" t="str">
        <f t="shared" si="64"/>
        <v>贾艳艳著</v>
      </c>
      <c r="E214" s="7" t="str">
        <f t="shared" si="65"/>
        <v>上海社会科学院出版社</v>
      </c>
      <c r="F214" s="7" t="str">
        <f t="shared" si="66"/>
        <v>I207.42/196</v>
      </c>
    </row>
    <row r="215" customHeight="1" spans="1:6">
      <c r="A215" s="6">
        <v>214</v>
      </c>
      <c r="B215" s="7" t="str">
        <f t="shared" si="62"/>
        <v>978-7-5520-3651-0</v>
      </c>
      <c r="C215" s="7" t="str">
        <f t="shared" si="63"/>
        <v>悲剧意识与“新时期”小说</v>
      </c>
      <c r="D215" s="7" t="str">
        <f t="shared" si="64"/>
        <v>贾艳艳著</v>
      </c>
      <c r="E215" s="7" t="str">
        <f t="shared" si="65"/>
        <v>上海社会科学院出版社</v>
      </c>
      <c r="F215" s="7" t="str">
        <f t="shared" si="66"/>
        <v>I207.42/196</v>
      </c>
    </row>
    <row r="216" customHeight="1" spans="1:6">
      <c r="A216" s="6">
        <v>215</v>
      </c>
      <c r="B216" s="7" t="str">
        <f>"978-7-5133-4544-6"</f>
        <v>978-7-5133-4544-6</v>
      </c>
      <c r="C216" s="7" t="str">
        <f>"中国现代小说流派史"</f>
        <v>中国现代小说流派史</v>
      </c>
      <c r="D216" s="7" t="str">
        <f>"严家炎著"</f>
        <v>严家炎著</v>
      </c>
      <c r="E216" s="7" t="str">
        <f>"新星出版社"</f>
        <v>新星出版社</v>
      </c>
      <c r="F216" s="7" t="str">
        <f>"I207.42/197"</f>
        <v>I207.42/197</v>
      </c>
    </row>
    <row r="217" customHeight="1" spans="1:6">
      <c r="A217" s="6">
        <v>216</v>
      </c>
      <c r="B217" s="7" t="str">
        <f>"978-7-5133-4546-0"</f>
        <v>978-7-5133-4546-0</v>
      </c>
      <c r="C217" s="7" t="str">
        <f>"金庸小说论稿"</f>
        <v>金庸小说论稿</v>
      </c>
      <c r="D217" s="7" t="str">
        <f>"严家炎著"</f>
        <v>严家炎著</v>
      </c>
      <c r="E217" s="7" t="str">
        <f>"新星出版社"</f>
        <v>新星出版社</v>
      </c>
      <c r="F217" s="7" t="str">
        <f>"I207.425/11"</f>
        <v>I207.425/11</v>
      </c>
    </row>
    <row r="218" customHeight="1" spans="1:6">
      <c r="A218" s="6">
        <v>217</v>
      </c>
      <c r="B218" s="7" t="str">
        <f>"978-7-5212-1399-7"</f>
        <v>978-7-5212-1399-7</v>
      </c>
      <c r="C218" s="7" t="str">
        <f>"生命与时代的交响：王蒙《笑的风》评论集"</f>
        <v>生命与时代的交响：王蒙《笑的风》评论集</v>
      </c>
      <c r="D218" s="7" t="str">
        <f>"温奉桥编"</f>
        <v>温奉桥编</v>
      </c>
      <c r="E218" s="7" t="str">
        <f>"作家出版社"</f>
        <v>作家出版社</v>
      </c>
      <c r="F218" s="7" t="str">
        <f>"I207.425/91"</f>
        <v>I207.425/91</v>
      </c>
    </row>
    <row r="219" customHeight="1" spans="1:6">
      <c r="A219" s="6">
        <v>218</v>
      </c>
      <c r="B219" s="7" t="str">
        <f>"978-7-5212-1399-7"</f>
        <v>978-7-5212-1399-7</v>
      </c>
      <c r="C219" s="7" t="str">
        <f>"生命与时代的交响：王蒙《笑的风》评论集"</f>
        <v>生命与时代的交响：王蒙《笑的风》评论集</v>
      </c>
      <c r="D219" s="7" t="str">
        <f>"温奉桥编"</f>
        <v>温奉桥编</v>
      </c>
      <c r="E219" s="7" t="str">
        <f>"作家出版社"</f>
        <v>作家出版社</v>
      </c>
      <c r="F219" s="7" t="str">
        <f>"I207.425/91"</f>
        <v>I207.425/91</v>
      </c>
    </row>
    <row r="220" customHeight="1" spans="1:6">
      <c r="A220" s="6">
        <v>219</v>
      </c>
      <c r="B220" s="7" t="str">
        <f t="shared" ref="B220:B222" si="67">"978-7-5339-6482-5"</f>
        <v>978-7-5339-6482-5</v>
      </c>
      <c r="C220" s="7" t="str">
        <f t="shared" ref="C220:C222" si="68">"六神磊磊读金庸"</f>
        <v>六神磊磊读金庸</v>
      </c>
      <c r="D220" s="7" t="str">
        <f t="shared" ref="D220:D222" si="69">"六神磊磊著"</f>
        <v>六神磊磊著</v>
      </c>
      <c r="E220" s="7" t="str">
        <f t="shared" ref="E220:E222" si="70">"浙江文艺出版社"</f>
        <v>浙江文艺出版社</v>
      </c>
      <c r="F220" s="7" t="str">
        <f t="shared" ref="F220:F222" si="71">"I207.425/92"</f>
        <v>I207.425/92</v>
      </c>
    </row>
    <row r="221" customHeight="1" spans="1:6">
      <c r="A221" s="6">
        <v>220</v>
      </c>
      <c r="B221" s="7" t="str">
        <f t="shared" si="67"/>
        <v>978-7-5339-6482-5</v>
      </c>
      <c r="C221" s="7" t="str">
        <f t="shared" si="68"/>
        <v>六神磊磊读金庸</v>
      </c>
      <c r="D221" s="7" t="str">
        <f t="shared" si="69"/>
        <v>六神磊磊著</v>
      </c>
      <c r="E221" s="7" t="str">
        <f t="shared" si="70"/>
        <v>浙江文艺出版社</v>
      </c>
      <c r="F221" s="7" t="str">
        <f t="shared" si="71"/>
        <v>I207.425/92</v>
      </c>
    </row>
    <row r="222" customHeight="1" spans="1:6">
      <c r="A222" s="6">
        <v>221</v>
      </c>
      <c r="B222" s="7" t="str">
        <f t="shared" si="67"/>
        <v>978-7-5339-6482-5</v>
      </c>
      <c r="C222" s="7" t="str">
        <f t="shared" si="68"/>
        <v>六神磊磊读金庸</v>
      </c>
      <c r="D222" s="7" t="str">
        <f t="shared" si="69"/>
        <v>六神磊磊著</v>
      </c>
      <c r="E222" s="7" t="str">
        <f t="shared" si="70"/>
        <v>浙江文艺出版社</v>
      </c>
      <c r="F222" s="7" t="str">
        <f t="shared" si="71"/>
        <v>I207.425/92</v>
      </c>
    </row>
    <row r="223" customHeight="1" spans="1:6">
      <c r="A223" s="6">
        <v>222</v>
      </c>
      <c r="B223" s="7" t="str">
        <f>"978-7-5161-8550-6"</f>
        <v>978-7-5161-8550-6</v>
      </c>
      <c r="C223" s="7" t="str">
        <f>"《史记》战争文学研究"</f>
        <v>《史记》战争文学研究</v>
      </c>
      <c r="D223" s="7" t="str">
        <f>"王俊杰著"</f>
        <v>王俊杰著</v>
      </c>
      <c r="E223" s="7" t="str">
        <f>"中国社会科学出版社"</f>
        <v>中国社会科学出版社</v>
      </c>
      <c r="F223" s="7" t="str">
        <f>"I207.62/116"</f>
        <v>I207.62/116</v>
      </c>
    </row>
    <row r="224" customHeight="1" spans="1:6">
      <c r="A224" s="6">
        <v>223</v>
      </c>
      <c r="B224" s="7" t="str">
        <f>"978-7-5212-0331-8"</f>
        <v>978-7-5212-0331-8</v>
      </c>
      <c r="C224" s="7" t="str">
        <f>"民族文学：现场与思考"</f>
        <v>民族文学：现场与思考</v>
      </c>
      <c r="D224" s="7" t="str">
        <f>"石一宁著"</f>
        <v>石一宁著</v>
      </c>
      <c r="E224" s="7" t="str">
        <f>"作家出版社"</f>
        <v>作家出版社</v>
      </c>
      <c r="F224" s="7" t="str">
        <f>"I207.9/27"</f>
        <v>I207.9/27</v>
      </c>
    </row>
    <row r="225" customHeight="1" spans="1:6">
      <c r="A225" s="6">
        <v>224</v>
      </c>
      <c r="B225" s="7" t="str">
        <f>"978-7-5212-0331-8"</f>
        <v>978-7-5212-0331-8</v>
      </c>
      <c r="C225" s="7" t="str">
        <f>"民族文学：现场与思考"</f>
        <v>民族文学：现场与思考</v>
      </c>
      <c r="D225" s="7" t="str">
        <f>"石一宁著"</f>
        <v>石一宁著</v>
      </c>
      <c r="E225" s="7" t="str">
        <f>"作家出版社"</f>
        <v>作家出版社</v>
      </c>
      <c r="F225" s="7" t="str">
        <f>"I207.9/27"</f>
        <v>I207.9/27</v>
      </c>
    </row>
    <row r="226" customHeight="1" spans="1:6">
      <c r="A226" s="6">
        <v>225</v>
      </c>
      <c r="B226" s="7" t="str">
        <f>"978-7-101-15045-2"</f>
        <v>978-7-101-15045-2</v>
      </c>
      <c r="C226" s="7" t="str">
        <f>"中华佛教文学史"</f>
        <v>中华佛教文学史</v>
      </c>
      <c r="D226" s="7" t="str">
        <f>"孙昌武著"</f>
        <v>孙昌武著</v>
      </c>
      <c r="E226" s="7" t="str">
        <f>"中华书局"</f>
        <v>中华书局</v>
      </c>
      <c r="F226" s="7" t="str">
        <f>"I207.99/20"</f>
        <v>I207.99/20</v>
      </c>
    </row>
    <row r="227" customHeight="1" spans="1:6">
      <c r="A227" s="6">
        <v>226</v>
      </c>
      <c r="B227" s="7" t="str">
        <f>"978-7-101-15045-2"</f>
        <v>978-7-101-15045-2</v>
      </c>
      <c r="C227" s="7" t="str">
        <f>"中华佛教文学史"</f>
        <v>中华佛教文学史</v>
      </c>
      <c r="D227" s="7" t="str">
        <f>"孙昌武著"</f>
        <v>孙昌武著</v>
      </c>
      <c r="E227" s="7" t="str">
        <f>"中华书局"</f>
        <v>中华书局</v>
      </c>
      <c r="F227" s="7" t="str">
        <f>"I207.99/20"</f>
        <v>I207.99/20</v>
      </c>
    </row>
    <row r="228" customHeight="1" spans="1:6">
      <c r="A228" s="6">
        <v>227</v>
      </c>
      <c r="B228" s="8" t="s">
        <v>9852</v>
      </c>
      <c r="C228" s="8" t="s">
        <v>9853</v>
      </c>
      <c r="D228" s="8" t="s">
        <v>9854</v>
      </c>
      <c r="E228" s="8" t="s">
        <v>9855</v>
      </c>
      <c r="F228" s="8" t="s">
        <v>9856</v>
      </c>
    </row>
    <row r="229" customHeight="1" spans="1:6">
      <c r="A229" s="6">
        <v>228</v>
      </c>
      <c r="B229" s="8" t="s">
        <v>9852</v>
      </c>
      <c r="C229" s="8" t="s">
        <v>9853</v>
      </c>
      <c r="D229" s="8" t="s">
        <v>9854</v>
      </c>
      <c r="E229" s="8" t="s">
        <v>9855</v>
      </c>
      <c r="F229" s="8" t="s">
        <v>9856</v>
      </c>
    </row>
    <row r="230" customHeight="1" spans="1:6">
      <c r="A230" s="6">
        <v>229</v>
      </c>
      <c r="B230" s="8" t="s">
        <v>9852</v>
      </c>
      <c r="C230" s="8" t="s">
        <v>9857</v>
      </c>
      <c r="D230" s="8" t="s">
        <v>9854</v>
      </c>
      <c r="E230" s="8" t="s">
        <v>9855</v>
      </c>
      <c r="F230" s="8" t="s">
        <v>9858</v>
      </c>
    </row>
    <row r="231" customHeight="1" spans="1:6">
      <c r="A231" s="6">
        <v>230</v>
      </c>
      <c r="B231" s="8" t="s">
        <v>9852</v>
      </c>
      <c r="C231" s="8" t="s">
        <v>9857</v>
      </c>
      <c r="D231" s="8" t="s">
        <v>9854</v>
      </c>
      <c r="E231" s="8" t="s">
        <v>9855</v>
      </c>
      <c r="F231" s="8" t="s">
        <v>9858</v>
      </c>
    </row>
    <row r="232" customHeight="1" spans="1:6">
      <c r="A232" s="6">
        <v>231</v>
      </c>
      <c r="B232" s="7" t="str">
        <f>"978-7-309-15451-1"</f>
        <v>978-7-309-15451-1</v>
      </c>
      <c r="C232" s="7" t="str">
        <f>"文学史的张力．上"</f>
        <v>文学史的张力．上</v>
      </c>
      <c r="D232" s="7" t="str">
        <f>"刘跃进著"</f>
        <v>刘跃进著</v>
      </c>
      <c r="E232" s="7" t="str">
        <f>"复旦大学出版社"</f>
        <v>复旦大学出版社</v>
      </c>
      <c r="F232" s="7" t="str">
        <f>"I209.7/55/1"</f>
        <v>I209.7/55/1</v>
      </c>
    </row>
    <row r="233" customHeight="1" spans="1:6">
      <c r="A233" s="6">
        <v>232</v>
      </c>
      <c r="B233" s="7" t="str">
        <f>"978-7-309-15451-1"</f>
        <v>978-7-309-15451-1</v>
      </c>
      <c r="C233" s="7" t="str">
        <f>"文学史的张力．下"</f>
        <v>文学史的张力．下</v>
      </c>
      <c r="D233" s="7" t="str">
        <f>"刘跃进著"</f>
        <v>刘跃进著</v>
      </c>
      <c r="E233" s="7" t="str">
        <f>"复旦大学出版社"</f>
        <v>复旦大学出版社</v>
      </c>
      <c r="F233" s="7" t="str">
        <f>"I209.7/55/2"</f>
        <v>I209.7/55/2</v>
      </c>
    </row>
    <row r="234" customHeight="1" spans="1:6">
      <c r="A234" s="6">
        <v>233</v>
      </c>
      <c r="B234" s="8" t="s">
        <v>9859</v>
      </c>
      <c r="C234" s="8" t="s">
        <v>9860</v>
      </c>
      <c r="D234" s="8" t="s">
        <v>9861</v>
      </c>
      <c r="E234" s="8" t="s">
        <v>261</v>
      </c>
      <c r="F234" s="8" t="s">
        <v>9862</v>
      </c>
    </row>
    <row r="235" customHeight="1" spans="1:6">
      <c r="A235" s="6">
        <v>234</v>
      </c>
      <c r="B235" s="8" t="s">
        <v>9859</v>
      </c>
      <c r="C235" s="8" t="s">
        <v>9860</v>
      </c>
      <c r="D235" s="8" t="s">
        <v>9861</v>
      </c>
      <c r="E235" s="8" t="s">
        <v>261</v>
      </c>
      <c r="F235" s="8" t="s">
        <v>9862</v>
      </c>
    </row>
    <row r="236" customHeight="1" spans="1:6">
      <c r="A236" s="6">
        <v>235</v>
      </c>
      <c r="B236" s="8" t="s">
        <v>9859</v>
      </c>
      <c r="C236" s="8" t="s">
        <v>9860</v>
      </c>
      <c r="D236" s="8" t="s">
        <v>9861</v>
      </c>
      <c r="E236" s="8" t="s">
        <v>261</v>
      </c>
      <c r="F236" s="8" t="s">
        <v>9862</v>
      </c>
    </row>
    <row r="237" customHeight="1" spans="1:6">
      <c r="A237" s="6">
        <v>236</v>
      </c>
      <c r="B237" s="7" t="str">
        <f>"978-7-5194-6268-0"</f>
        <v>978-7-5194-6268-0</v>
      </c>
      <c r="C237" s="7" t="str">
        <f>"鲁迅小说修辞论"</f>
        <v>鲁迅小说修辞论</v>
      </c>
      <c r="D237" s="7" t="str">
        <f>"许祖华著"</f>
        <v>许祖华著</v>
      </c>
      <c r="E237" s="7" t="str">
        <f>"光明日报出版社"</f>
        <v>光明日报出版社</v>
      </c>
      <c r="F237" s="7" t="str">
        <f>"I210.97/71"</f>
        <v>I210.97/71</v>
      </c>
    </row>
    <row r="238" customHeight="1" spans="1:6">
      <c r="A238" s="6">
        <v>237</v>
      </c>
      <c r="B238" s="7" t="str">
        <f>"978-7-5194-6268-0"</f>
        <v>978-7-5194-6268-0</v>
      </c>
      <c r="C238" s="7" t="str">
        <f>"鲁迅小说修辞论"</f>
        <v>鲁迅小说修辞论</v>
      </c>
      <c r="D238" s="7" t="str">
        <f>"许祖华著"</f>
        <v>许祖华著</v>
      </c>
      <c r="E238" s="7" t="str">
        <f>"光明日报出版社"</f>
        <v>光明日报出版社</v>
      </c>
      <c r="F238" s="7" t="str">
        <f>"I210.97/71"</f>
        <v>I210.97/71</v>
      </c>
    </row>
    <row r="239" customHeight="1" spans="1:6">
      <c r="A239" s="6">
        <v>238</v>
      </c>
      <c r="B239" s="8" t="s">
        <v>9863</v>
      </c>
      <c r="C239" s="8" t="s">
        <v>9864</v>
      </c>
      <c r="D239" s="8" t="s">
        <v>9865</v>
      </c>
      <c r="E239" s="8" t="s">
        <v>261</v>
      </c>
      <c r="F239" s="8" t="s">
        <v>9866</v>
      </c>
    </row>
    <row r="240" customHeight="1" spans="1:6">
      <c r="A240" s="6">
        <v>239</v>
      </c>
      <c r="B240" s="8" t="s">
        <v>9863</v>
      </c>
      <c r="C240" s="8" t="s">
        <v>9864</v>
      </c>
      <c r="D240" s="8" t="s">
        <v>9865</v>
      </c>
      <c r="E240" s="8" t="s">
        <v>261</v>
      </c>
      <c r="F240" s="8" t="s">
        <v>9866</v>
      </c>
    </row>
    <row r="241" customHeight="1" spans="1:6">
      <c r="A241" s="6">
        <v>240</v>
      </c>
      <c r="B241" s="8" t="s">
        <v>9863</v>
      </c>
      <c r="C241" s="8" t="s">
        <v>9864</v>
      </c>
      <c r="D241" s="8" t="s">
        <v>9865</v>
      </c>
      <c r="E241" s="8" t="s">
        <v>261</v>
      </c>
      <c r="F241" s="8" t="s">
        <v>9866</v>
      </c>
    </row>
    <row r="242" customHeight="1" spans="1:6">
      <c r="A242" s="6">
        <v>241</v>
      </c>
      <c r="B242" s="8" t="s">
        <v>9867</v>
      </c>
      <c r="C242" s="8" t="s">
        <v>9868</v>
      </c>
      <c r="D242" s="8" t="s">
        <v>9865</v>
      </c>
      <c r="E242" s="8" t="s">
        <v>4365</v>
      </c>
      <c r="F242" s="8" t="s">
        <v>9869</v>
      </c>
    </row>
    <row r="243" customHeight="1" spans="1:6">
      <c r="A243" s="6">
        <v>242</v>
      </c>
      <c r="B243" s="8" t="s">
        <v>9867</v>
      </c>
      <c r="C243" s="8" t="s">
        <v>9868</v>
      </c>
      <c r="D243" s="8" t="s">
        <v>9865</v>
      </c>
      <c r="E243" s="8" t="s">
        <v>4365</v>
      </c>
      <c r="F243" s="8" t="s">
        <v>9869</v>
      </c>
    </row>
    <row r="244" customHeight="1" spans="1:6">
      <c r="A244" s="6">
        <v>243</v>
      </c>
      <c r="B244" s="7" t="str">
        <f>"978-7-5133-4545-3"</f>
        <v>978-7-5133-4545-3</v>
      </c>
      <c r="C244" s="7" t="str">
        <f>"论鲁迅的复调小说"</f>
        <v>论鲁迅的复调小说</v>
      </c>
      <c r="D244" s="7" t="str">
        <f>"严家炎著"</f>
        <v>严家炎著</v>
      </c>
      <c r="E244" s="7" t="str">
        <f>"新星出版社"</f>
        <v>新星出版社</v>
      </c>
      <c r="F244" s="7" t="str">
        <f>"I210.97-53/3"</f>
        <v>I210.97-53/3</v>
      </c>
    </row>
    <row r="245" customHeight="1" spans="1:6">
      <c r="A245" s="6">
        <v>244</v>
      </c>
      <c r="B245" s="8" t="s">
        <v>9870</v>
      </c>
      <c r="C245" s="8" t="s">
        <v>9871</v>
      </c>
      <c r="D245" s="8" t="s">
        <v>9872</v>
      </c>
      <c r="E245" s="8" t="s">
        <v>298</v>
      </c>
      <c r="F245" s="8" t="s">
        <v>9873</v>
      </c>
    </row>
    <row r="246" customHeight="1" spans="1:6">
      <c r="A246" s="6">
        <v>245</v>
      </c>
      <c r="B246" s="8" t="s">
        <v>9870</v>
      </c>
      <c r="C246" s="8" t="s">
        <v>9871</v>
      </c>
      <c r="D246" s="8" t="s">
        <v>9872</v>
      </c>
      <c r="E246" s="8" t="s">
        <v>298</v>
      </c>
      <c r="F246" s="8" t="s">
        <v>9873</v>
      </c>
    </row>
    <row r="247" customHeight="1" spans="1:6">
      <c r="A247" s="6">
        <v>246</v>
      </c>
      <c r="B247" s="7" t="str">
        <f>"978-7-101-15284-5"</f>
        <v>978-7-101-15284-5</v>
      </c>
      <c r="C247" s="7" t="str">
        <f>"李翱文集校注"</f>
        <v>李翱文集校注</v>
      </c>
      <c r="D247" s="7" t="str">
        <f>"(唐) 李翱撰；郝潤華， 杜學林校注"</f>
        <v>(唐) 李翱撰；郝潤華， 杜學林校注</v>
      </c>
      <c r="E247" s="7" t="str">
        <f t="shared" ref="E247:E261" si="72">"中華書局"</f>
        <v>中華書局</v>
      </c>
      <c r="F247" s="7" t="str">
        <f>"I214.22/6"</f>
        <v>I214.22/6</v>
      </c>
    </row>
    <row r="248" customHeight="1" spans="1:6">
      <c r="A248" s="6">
        <v>247</v>
      </c>
      <c r="B248" s="7" t="str">
        <f>"978-7-101-15284-5"</f>
        <v>978-7-101-15284-5</v>
      </c>
      <c r="C248" s="7" t="str">
        <f>"李翱文集校注"</f>
        <v>李翱文集校注</v>
      </c>
      <c r="D248" s="7" t="str">
        <f>"(唐) 李翱撰；郝潤華， 杜學林校注"</f>
        <v>(唐) 李翱撰；郝潤華， 杜學林校注</v>
      </c>
      <c r="E248" s="7" t="str">
        <f t="shared" si="72"/>
        <v>中華書局</v>
      </c>
      <c r="F248" s="7" t="str">
        <f>"I214.22/6"</f>
        <v>I214.22/6</v>
      </c>
    </row>
    <row r="249" customHeight="1" spans="1:6">
      <c r="A249" s="6">
        <v>248</v>
      </c>
      <c r="B249" s="7" t="str">
        <f t="shared" ref="B249:B252" si="73">"978-7-101-14517-5"</f>
        <v>978-7-101-14517-5</v>
      </c>
      <c r="C249" s="7" t="str">
        <f>"范仲淹全集．1"</f>
        <v>范仲淹全集．1</v>
      </c>
      <c r="D249" s="7" t="str">
        <f t="shared" ref="D249:D252" si="74">"(宋) 范仲淹撰；李勇先， 劉琳， 王蓉貴點校"</f>
        <v>(宋) 范仲淹撰；李勇先， 劉琳， 王蓉貴點校</v>
      </c>
      <c r="E249" s="7" t="str">
        <f t="shared" si="72"/>
        <v>中華書局</v>
      </c>
      <c r="F249" s="7" t="str">
        <f>"I214.412/29/1"</f>
        <v>I214.412/29/1</v>
      </c>
    </row>
    <row r="250" customHeight="1" spans="1:6">
      <c r="A250" s="6">
        <v>249</v>
      </c>
      <c r="B250" s="7" t="str">
        <f t="shared" si="73"/>
        <v>978-7-101-14517-5</v>
      </c>
      <c r="C250" s="7" t="str">
        <f>"范仲淹全集．2"</f>
        <v>范仲淹全集．2</v>
      </c>
      <c r="D250" s="7" t="str">
        <f t="shared" si="74"/>
        <v>(宋) 范仲淹撰；李勇先， 劉琳， 王蓉貴點校</v>
      </c>
      <c r="E250" s="7" t="str">
        <f t="shared" si="72"/>
        <v>中華書局</v>
      </c>
      <c r="F250" s="7" t="str">
        <f>"I214.412/29/2"</f>
        <v>I214.412/29/2</v>
      </c>
    </row>
    <row r="251" customHeight="1" spans="1:6">
      <c r="A251" s="6">
        <v>250</v>
      </c>
      <c r="B251" s="7" t="str">
        <f t="shared" si="73"/>
        <v>978-7-101-14517-5</v>
      </c>
      <c r="C251" s="7" t="str">
        <f>"范仲淹全集．3"</f>
        <v>范仲淹全集．3</v>
      </c>
      <c r="D251" s="7" t="str">
        <f t="shared" si="74"/>
        <v>(宋) 范仲淹撰；李勇先， 劉琳， 王蓉貴點校</v>
      </c>
      <c r="E251" s="7" t="str">
        <f t="shared" si="72"/>
        <v>中華書局</v>
      </c>
      <c r="F251" s="7" t="str">
        <f>"I214.412/29/3"</f>
        <v>I214.412/29/3</v>
      </c>
    </row>
    <row r="252" customHeight="1" spans="1:6">
      <c r="A252" s="6">
        <v>251</v>
      </c>
      <c r="B252" s="7" t="str">
        <f t="shared" si="73"/>
        <v>978-7-101-14517-5</v>
      </c>
      <c r="C252" s="7" t="str">
        <f>"范仲淹全集．4"</f>
        <v>范仲淹全集．4</v>
      </c>
      <c r="D252" s="7" t="str">
        <f t="shared" si="74"/>
        <v>(宋) 范仲淹撰；李勇先， 劉琳， 王蓉貴點校</v>
      </c>
      <c r="E252" s="7" t="str">
        <f t="shared" si="72"/>
        <v>中華書局</v>
      </c>
      <c r="F252" s="7" t="str">
        <f>"I214.412/29/4"</f>
        <v>I214.412/29/4</v>
      </c>
    </row>
    <row r="253" customHeight="1" spans="1:6">
      <c r="A253" s="6">
        <v>252</v>
      </c>
      <c r="B253" s="7" t="str">
        <f t="shared" ref="B253:B256" si="75">"978-7-101-14366-9"</f>
        <v>978-7-101-14366-9</v>
      </c>
      <c r="C253" s="7" t="str">
        <f>"唐伯虎集箋註．上册"</f>
        <v>唐伯虎集箋註．上册</v>
      </c>
      <c r="D253" s="7" t="str">
        <f t="shared" ref="D253:D256" si="76">"(明) 唐寅撰；陳書良， 周柳燕箋註"</f>
        <v>(明) 唐寅撰；陳書良， 周柳燕箋註</v>
      </c>
      <c r="E253" s="7" t="str">
        <f t="shared" si="72"/>
        <v>中華書局</v>
      </c>
      <c r="F253" s="7" t="str">
        <f>"I214.82/31/1"</f>
        <v>I214.82/31/1</v>
      </c>
    </row>
    <row r="254" customHeight="1" spans="1:6">
      <c r="A254" s="6">
        <v>253</v>
      </c>
      <c r="B254" s="7" t="str">
        <f t="shared" si="75"/>
        <v>978-7-101-14366-9</v>
      </c>
      <c r="C254" s="7" t="str">
        <f>"唐伯虎集箋註．上册"</f>
        <v>唐伯虎集箋註．上册</v>
      </c>
      <c r="D254" s="7" t="str">
        <f t="shared" si="76"/>
        <v>(明) 唐寅撰；陳書良， 周柳燕箋註</v>
      </c>
      <c r="E254" s="7" t="str">
        <f t="shared" si="72"/>
        <v>中華書局</v>
      </c>
      <c r="F254" s="7" t="str">
        <f>"I214.82/31/1"</f>
        <v>I214.82/31/1</v>
      </c>
    </row>
    <row r="255" customHeight="1" spans="1:6">
      <c r="A255" s="6">
        <v>254</v>
      </c>
      <c r="B255" s="7" t="str">
        <f t="shared" si="75"/>
        <v>978-7-101-14366-9</v>
      </c>
      <c r="C255" s="7" t="str">
        <f>"唐伯虎集箋註．下册"</f>
        <v>唐伯虎集箋註．下册</v>
      </c>
      <c r="D255" s="7" t="str">
        <f t="shared" si="76"/>
        <v>(明) 唐寅撰；陳書良， 周柳燕箋註</v>
      </c>
      <c r="E255" s="7" t="str">
        <f t="shared" si="72"/>
        <v>中華書局</v>
      </c>
      <c r="F255" s="7" t="str">
        <f>"I214.82/31/2"</f>
        <v>I214.82/31/2</v>
      </c>
    </row>
    <row r="256" customHeight="1" spans="1:6">
      <c r="A256" s="6">
        <v>255</v>
      </c>
      <c r="B256" s="7" t="str">
        <f t="shared" si="75"/>
        <v>978-7-101-14366-9</v>
      </c>
      <c r="C256" s="7" t="str">
        <f>"唐伯虎集箋註．下册"</f>
        <v>唐伯虎集箋註．下册</v>
      </c>
      <c r="D256" s="7" t="str">
        <f t="shared" si="76"/>
        <v>(明) 唐寅撰；陳書良， 周柳燕箋註</v>
      </c>
      <c r="E256" s="7" t="str">
        <f t="shared" si="72"/>
        <v>中華書局</v>
      </c>
      <c r="F256" s="7" t="str">
        <f>"I214.82/31/2"</f>
        <v>I214.82/31/2</v>
      </c>
    </row>
    <row r="257" customHeight="1" spans="1:6">
      <c r="A257" s="6">
        <v>256</v>
      </c>
      <c r="B257" s="7" t="str">
        <f t="shared" ref="B257:B261" si="77">"978-7-101-13667-8"</f>
        <v>978-7-101-13667-8</v>
      </c>
      <c r="C257" s="7" t="str">
        <f>"李夢陽集校箋．第一册"</f>
        <v>李夢陽集校箋．第一册</v>
      </c>
      <c r="D257" s="7" t="str">
        <f t="shared" ref="D257:D261" si="78">"(明) 李夢陽撰；郝潤華校箋"</f>
        <v>(明) 李夢陽撰；郝潤華校箋</v>
      </c>
      <c r="E257" s="7" t="str">
        <f t="shared" si="72"/>
        <v>中華書局</v>
      </c>
      <c r="F257" s="7" t="str">
        <f>"I214.82/32/1"</f>
        <v>I214.82/32/1</v>
      </c>
    </row>
    <row r="258" customHeight="1" spans="1:6">
      <c r="A258" s="6">
        <v>257</v>
      </c>
      <c r="B258" s="7" t="str">
        <f t="shared" si="77"/>
        <v>978-7-101-13667-8</v>
      </c>
      <c r="C258" s="7" t="str">
        <f>"李夢陽集校箋．第二册"</f>
        <v>李夢陽集校箋．第二册</v>
      </c>
      <c r="D258" s="7" t="str">
        <f t="shared" si="78"/>
        <v>(明) 李夢陽撰；郝潤華校箋</v>
      </c>
      <c r="E258" s="7" t="str">
        <f t="shared" si="72"/>
        <v>中華書局</v>
      </c>
      <c r="F258" s="7" t="str">
        <f>"I214.82/32/2"</f>
        <v>I214.82/32/2</v>
      </c>
    </row>
    <row r="259" customHeight="1" spans="1:6">
      <c r="A259" s="6">
        <v>258</v>
      </c>
      <c r="B259" s="7" t="str">
        <f t="shared" si="77"/>
        <v>978-7-101-13667-8</v>
      </c>
      <c r="C259" s="7" t="str">
        <f>"李夢陽集校箋．第三册"</f>
        <v>李夢陽集校箋．第三册</v>
      </c>
      <c r="D259" s="7" t="str">
        <f t="shared" si="78"/>
        <v>(明) 李夢陽撰；郝潤華校箋</v>
      </c>
      <c r="E259" s="7" t="str">
        <f t="shared" si="72"/>
        <v>中華書局</v>
      </c>
      <c r="F259" s="7" t="str">
        <f>"I214.82/32/3"</f>
        <v>I214.82/32/3</v>
      </c>
    </row>
    <row r="260" customHeight="1" spans="1:6">
      <c r="A260" s="6">
        <v>259</v>
      </c>
      <c r="B260" s="7" t="str">
        <f t="shared" si="77"/>
        <v>978-7-101-13667-8</v>
      </c>
      <c r="C260" s="7" t="str">
        <f>"李夢陽集校箋．第四册"</f>
        <v>李夢陽集校箋．第四册</v>
      </c>
      <c r="D260" s="7" t="str">
        <f t="shared" si="78"/>
        <v>(明) 李夢陽撰；郝潤華校箋</v>
      </c>
      <c r="E260" s="7" t="str">
        <f t="shared" si="72"/>
        <v>中華書局</v>
      </c>
      <c r="F260" s="7" t="str">
        <f>"I214.82/32/4"</f>
        <v>I214.82/32/4</v>
      </c>
    </row>
    <row r="261" customHeight="1" spans="1:6">
      <c r="A261" s="6">
        <v>260</v>
      </c>
      <c r="B261" s="7" t="str">
        <f t="shared" si="77"/>
        <v>978-7-101-13667-8</v>
      </c>
      <c r="C261" s="7" t="str">
        <f>"李夢陽集校箋．第五册"</f>
        <v>李夢陽集校箋．第五册</v>
      </c>
      <c r="D261" s="7" t="str">
        <f t="shared" si="78"/>
        <v>(明) 李夢陽撰；郝潤華校箋</v>
      </c>
      <c r="E261" s="7" t="str">
        <f t="shared" si="72"/>
        <v>中華書局</v>
      </c>
      <c r="F261" s="7" t="str">
        <f>"I214.82/32/5"</f>
        <v>I214.82/32/5</v>
      </c>
    </row>
    <row r="262" customHeight="1" spans="1:6">
      <c r="A262" s="6">
        <v>261</v>
      </c>
      <c r="B262" s="8" t="s">
        <v>9874</v>
      </c>
      <c r="C262" s="8" t="s">
        <v>9875</v>
      </c>
      <c r="D262" s="8" t="s">
        <v>9876</v>
      </c>
      <c r="E262" s="8" t="s">
        <v>189</v>
      </c>
      <c r="F262" s="8" t="s">
        <v>9877</v>
      </c>
    </row>
    <row r="263" customHeight="1" spans="1:6">
      <c r="A263" s="6">
        <v>262</v>
      </c>
      <c r="B263" s="8" t="s">
        <v>9874</v>
      </c>
      <c r="C263" s="8" t="s">
        <v>9875</v>
      </c>
      <c r="D263" s="8" t="s">
        <v>9876</v>
      </c>
      <c r="E263" s="8" t="s">
        <v>189</v>
      </c>
      <c r="F263" s="8" t="s">
        <v>9877</v>
      </c>
    </row>
    <row r="264" customHeight="1" spans="1:6">
      <c r="A264" s="6">
        <v>263</v>
      </c>
      <c r="B264" s="7" t="str">
        <f t="shared" ref="B264:B266" si="79">"978-7-5426-7462-3"</f>
        <v>978-7-5426-7462-3</v>
      </c>
      <c r="C264" s="7" t="str">
        <f t="shared" ref="C264:C266" si="80">"家住苏州"</f>
        <v>家住苏州</v>
      </c>
      <c r="D264" s="7" t="str">
        <f t="shared" ref="D264:D266" si="81">"叶圣陶著；商金林编"</f>
        <v>叶圣陶著；商金林编</v>
      </c>
      <c r="E264" s="7" t="str">
        <f t="shared" ref="E264:E266" si="82">"上海三联书店"</f>
        <v>上海三联书店</v>
      </c>
      <c r="F264" s="7" t="str">
        <f t="shared" ref="F264:F266" si="83">"I217.42/28"</f>
        <v>I217.42/28</v>
      </c>
    </row>
    <row r="265" customHeight="1" spans="1:6">
      <c r="A265" s="6">
        <v>264</v>
      </c>
      <c r="B265" s="7" t="str">
        <f t="shared" si="79"/>
        <v>978-7-5426-7462-3</v>
      </c>
      <c r="C265" s="7" t="str">
        <f t="shared" si="80"/>
        <v>家住苏州</v>
      </c>
      <c r="D265" s="7" t="str">
        <f t="shared" si="81"/>
        <v>叶圣陶著；商金林编</v>
      </c>
      <c r="E265" s="7" t="str">
        <f t="shared" si="82"/>
        <v>上海三联书店</v>
      </c>
      <c r="F265" s="7" t="str">
        <f t="shared" si="83"/>
        <v>I217.42/28</v>
      </c>
    </row>
    <row r="266" customHeight="1" spans="1:6">
      <c r="A266" s="6">
        <v>265</v>
      </c>
      <c r="B266" s="7" t="str">
        <f t="shared" si="79"/>
        <v>978-7-5426-7462-3</v>
      </c>
      <c r="C266" s="7" t="str">
        <f t="shared" si="80"/>
        <v>家住苏州</v>
      </c>
      <c r="D266" s="7" t="str">
        <f t="shared" si="81"/>
        <v>叶圣陶著；商金林编</v>
      </c>
      <c r="E266" s="7" t="str">
        <f t="shared" si="82"/>
        <v>上海三联书店</v>
      </c>
      <c r="F266" s="7" t="str">
        <f t="shared" si="83"/>
        <v>I217.42/28</v>
      </c>
    </row>
    <row r="267" customHeight="1" spans="1:6">
      <c r="A267" s="6">
        <v>266</v>
      </c>
      <c r="B267" s="7" t="str">
        <f>"978-7-108-07016-6"</f>
        <v>978-7-108-07016-6</v>
      </c>
      <c r="C267" s="7" t="str">
        <f>"梨园春秋笔：马连良文集"</f>
        <v>梨园春秋笔：马连良文集</v>
      </c>
      <c r="D267" s="7" t="str">
        <f>"马连良艺术研究会编纂；马龙主编"</f>
        <v>马连良艺术研究会编纂；马龙主编</v>
      </c>
      <c r="E267" s="7" t="str">
        <f>"三联书店"</f>
        <v>三联书店</v>
      </c>
      <c r="F267" s="7" t="str">
        <f>"I217.61/360"</f>
        <v>I217.61/360</v>
      </c>
    </row>
    <row r="268" customHeight="1" spans="1:6">
      <c r="A268" s="6">
        <v>267</v>
      </c>
      <c r="B268" s="7" t="str">
        <f>"978-7-108-07016-6"</f>
        <v>978-7-108-07016-6</v>
      </c>
      <c r="C268" s="7" t="str">
        <f>"梨园春秋笔：马连良文集"</f>
        <v>梨园春秋笔：马连良文集</v>
      </c>
      <c r="D268" s="7" t="str">
        <f>"马连良艺术研究会编纂；马龙主编"</f>
        <v>马连良艺术研究会编纂；马龙主编</v>
      </c>
      <c r="E268" s="7" t="str">
        <f>"三联书店"</f>
        <v>三联书店</v>
      </c>
      <c r="F268" s="7" t="str">
        <f>"I217.61/360"</f>
        <v>I217.61/360</v>
      </c>
    </row>
    <row r="269" customHeight="1" spans="1:6">
      <c r="A269" s="6">
        <v>268</v>
      </c>
      <c r="B269" s="8" t="s">
        <v>9878</v>
      </c>
      <c r="C269" s="8" t="s">
        <v>9879</v>
      </c>
      <c r="D269" s="8" t="s">
        <v>9880</v>
      </c>
      <c r="E269" s="8" t="s">
        <v>9881</v>
      </c>
      <c r="F269" s="8" t="s">
        <v>9882</v>
      </c>
    </row>
    <row r="270" customHeight="1" spans="1:6">
      <c r="A270" s="6">
        <v>269</v>
      </c>
      <c r="B270" s="8" t="s">
        <v>9878</v>
      </c>
      <c r="C270" s="8" t="s">
        <v>9879</v>
      </c>
      <c r="D270" s="8" t="s">
        <v>9880</v>
      </c>
      <c r="E270" s="8" t="s">
        <v>9881</v>
      </c>
      <c r="F270" s="8" t="s">
        <v>9882</v>
      </c>
    </row>
    <row r="271" customHeight="1" spans="1:6">
      <c r="A271" s="6">
        <v>270</v>
      </c>
      <c r="B271" s="9" t="str">
        <f>"7-310-02187-8"</f>
        <v>7-310-02187-8</v>
      </c>
      <c r="C271" s="9" t="str">
        <f>"多面折射的光影：叶嘉莹自选集"</f>
        <v>多面折射的光影：叶嘉莹自选集</v>
      </c>
      <c r="D271" s="9" t="str">
        <f>" "</f>
        <v> </v>
      </c>
      <c r="E271" s="9" t="str">
        <f>"南开大学出版社"</f>
        <v>南开大学出版社</v>
      </c>
      <c r="F271" s="9" t="str">
        <f>"I217.62/512-2"</f>
        <v>I217.62/512-2</v>
      </c>
    </row>
    <row r="272" customHeight="1" spans="1:6">
      <c r="A272" s="6">
        <v>271</v>
      </c>
      <c r="B272" s="9" t="str">
        <f>"7-310-02187-8"</f>
        <v>7-310-02187-8</v>
      </c>
      <c r="C272" s="9" t="str">
        <f>"多面折射的光影：叶嘉莹自选集"</f>
        <v>多面折射的光影：叶嘉莹自选集</v>
      </c>
      <c r="D272" s="9" t="str">
        <f>" "</f>
        <v> </v>
      </c>
      <c r="E272" s="9" t="str">
        <f>"南开大学出版社"</f>
        <v>南开大学出版社</v>
      </c>
      <c r="F272" s="9" t="str">
        <f>"I217.62/512-2"</f>
        <v>I217.62/512-2</v>
      </c>
    </row>
    <row r="273" customHeight="1" spans="1:6">
      <c r="A273" s="6">
        <v>272</v>
      </c>
      <c r="B273" s="7" t="str">
        <f>"978-7-5411-5840-7"</f>
        <v>978-7-5411-5840-7</v>
      </c>
      <c r="C273" s="7" t="str">
        <f>"风雨人生"</f>
        <v>风雨人生</v>
      </c>
      <c r="D273" s="7" t="str">
        <f>"马识途著"</f>
        <v>马识途著</v>
      </c>
      <c r="E273" s="7" t="str">
        <f>"四川文艺出版社"</f>
        <v>四川文艺出版社</v>
      </c>
      <c r="F273" s="7" t="str">
        <f>"I217.62/514=2D"</f>
        <v>I217.62/514=2D</v>
      </c>
    </row>
    <row r="274" customHeight="1" spans="1:6">
      <c r="A274" s="6">
        <v>273</v>
      </c>
      <c r="B274" s="7" t="str">
        <f>"978-7-5411-5840-7"</f>
        <v>978-7-5411-5840-7</v>
      </c>
      <c r="C274" s="7" t="str">
        <f>"风雨人生"</f>
        <v>风雨人生</v>
      </c>
      <c r="D274" s="7" t="str">
        <f>"马识途著"</f>
        <v>马识途著</v>
      </c>
      <c r="E274" s="7" t="str">
        <f>"四川文艺出版社"</f>
        <v>四川文艺出版社</v>
      </c>
      <c r="F274" s="7" t="str">
        <f>"I217.62/514=2D"</f>
        <v>I217.62/514=2D</v>
      </c>
    </row>
    <row r="275" customHeight="1" spans="1:6">
      <c r="A275" s="6">
        <v>274</v>
      </c>
      <c r="B275" s="8" t="s">
        <v>9883</v>
      </c>
      <c r="C275" s="8" t="s">
        <v>9884</v>
      </c>
      <c r="D275" s="8" t="s">
        <v>9885</v>
      </c>
      <c r="E275" s="8" t="s">
        <v>316</v>
      </c>
      <c r="F275" s="8" t="s">
        <v>9886</v>
      </c>
    </row>
    <row r="276" customHeight="1" spans="1:6">
      <c r="A276" s="6">
        <v>275</v>
      </c>
      <c r="B276" s="8" t="s">
        <v>9883</v>
      </c>
      <c r="C276" s="8" t="s">
        <v>9884</v>
      </c>
      <c r="D276" s="8" t="s">
        <v>9885</v>
      </c>
      <c r="E276" s="8" t="s">
        <v>316</v>
      </c>
      <c r="F276" s="8" t="s">
        <v>9886</v>
      </c>
    </row>
    <row r="277" customHeight="1" spans="1:6">
      <c r="A277" s="6">
        <v>276</v>
      </c>
      <c r="B277" s="8" t="s">
        <v>9883</v>
      </c>
      <c r="C277" s="8" t="s">
        <v>9887</v>
      </c>
      <c r="D277" s="8" t="s">
        <v>9885</v>
      </c>
      <c r="E277" s="8" t="s">
        <v>316</v>
      </c>
      <c r="F277" s="8" t="s">
        <v>9888</v>
      </c>
    </row>
    <row r="278" customHeight="1" spans="1:6">
      <c r="A278" s="6">
        <v>277</v>
      </c>
      <c r="B278" s="8" t="s">
        <v>9883</v>
      </c>
      <c r="C278" s="8" t="s">
        <v>9887</v>
      </c>
      <c r="D278" s="8" t="s">
        <v>9885</v>
      </c>
      <c r="E278" s="8" t="s">
        <v>316</v>
      </c>
      <c r="F278" s="8" t="s">
        <v>9888</v>
      </c>
    </row>
    <row r="279" customHeight="1" spans="1:6">
      <c r="A279" s="6">
        <v>278</v>
      </c>
      <c r="B279" s="8" t="s">
        <v>9883</v>
      </c>
      <c r="C279" s="8" t="s">
        <v>9889</v>
      </c>
      <c r="D279" s="8" t="s">
        <v>9885</v>
      </c>
      <c r="E279" s="8" t="s">
        <v>316</v>
      </c>
      <c r="F279" s="8" t="s">
        <v>9890</v>
      </c>
    </row>
    <row r="280" customHeight="1" spans="1:6">
      <c r="A280" s="6">
        <v>279</v>
      </c>
      <c r="B280" s="8" t="s">
        <v>9883</v>
      </c>
      <c r="C280" s="8" t="s">
        <v>9889</v>
      </c>
      <c r="D280" s="8" t="s">
        <v>9885</v>
      </c>
      <c r="E280" s="8" t="s">
        <v>316</v>
      </c>
      <c r="F280" s="8" t="s">
        <v>9890</v>
      </c>
    </row>
    <row r="281" customHeight="1" spans="1:6">
      <c r="A281" s="6">
        <v>280</v>
      </c>
      <c r="B281" s="8" t="s">
        <v>9891</v>
      </c>
      <c r="C281" s="8" t="s">
        <v>9892</v>
      </c>
      <c r="D281" s="8" t="s">
        <v>9893</v>
      </c>
      <c r="E281" s="8" t="s">
        <v>9894</v>
      </c>
      <c r="F281" s="8" t="s">
        <v>9895</v>
      </c>
    </row>
    <row r="282" customHeight="1" spans="1:6">
      <c r="A282" s="6">
        <v>281</v>
      </c>
      <c r="B282" s="8" t="s">
        <v>9891</v>
      </c>
      <c r="C282" s="8" t="s">
        <v>9892</v>
      </c>
      <c r="D282" s="8" t="s">
        <v>9893</v>
      </c>
      <c r="E282" s="8" t="s">
        <v>9894</v>
      </c>
      <c r="F282" s="8" t="s">
        <v>9895</v>
      </c>
    </row>
    <row r="283" customHeight="1" spans="1:6">
      <c r="A283" s="6">
        <v>282</v>
      </c>
      <c r="B283" s="8" t="s">
        <v>9891</v>
      </c>
      <c r="C283" s="8" t="s">
        <v>9892</v>
      </c>
      <c r="D283" s="8" t="s">
        <v>9893</v>
      </c>
      <c r="E283" s="8" t="s">
        <v>9894</v>
      </c>
      <c r="F283" s="8" t="s">
        <v>9895</v>
      </c>
    </row>
    <row r="284" customHeight="1" spans="1:6">
      <c r="A284" s="6">
        <v>283</v>
      </c>
      <c r="B284" s="8" t="s">
        <v>9896</v>
      </c>
      <c r="C284" s="8" t="s">
        <v>9897</v>
      </c>
      <c r="D284" s="8" t="s">
        <v>9898</v>
      </c>
      <c r="E284" s="8" t="s">
        <v>316</v>
      </c>
      <c r="F284" s="8" t="s">
        <v>9899</v>
      </c>
    </row>
    <row r="285" customHeight="1" spans="1:6">
      <c r="A285" s="6">
        <v>284</v>
      </c>
      <c r="B285" s="8" t="s">
        <v>9896</v>
      </c>
      <c r="C285" s="8" t="s">
        <v>9897</v>
      </c>
      <c r="D285" s="8" t="s">
        <v>9898</v>
      </c>
      <c r="E285" s="8" t="s">
        <v>316</v>
      </c>
      <c r="F285" s="8" t="s">
        <v>9899</v>
      </c>
    </row>
    <row r="286" customHeight="1" spans="1:6">
      <c r="A286" s="6">
        <v>285</v>
      </c>
      <c r="B286" s="8" t="s">
        <v>9896</v>
      </c>
      <c r="C286" s="8" t="s">
        <v>9900</v>
      </c>
      <c r="D286" s="8" t="s">
        <v>9898</v>
      </c>
      <c r="E286" s="8" t="s">
        <v>316</v>
      </c>
      <c r="F286" s="8" t="s">
        <v>9901</v>
      </c>
    </row>
    <row r="287" customHeight="1" spans="1:6">
      <c r="A287" s="6">
        <v>286</v>
      </c>
      <c r="B287" s="8" t="s">
        <v>9896</v>
      </c>
      <c r="C287" s="8" t="s">
        <v>9900</v>
      </c>
      <c r="D287" s="8" t="s">
        <v>9898</v>
      </c>
      <c r="E287" s="8" t="s">
        <v>316</v>
      </c>
      <c r="F287" s="8" t="s">
        <v>9901</v>
      </c>
    </row>
    <row r="288" customHeight="1" spans="1:6">
      <c r="A288" s="6">
        <v>287</v>
      </c>
      <c r="B288" s="8" t="s">
        <v>9896</v>
      </c>
      <c r="C288" s="8" t="s">
        <v>9902</v>
      </c>
      <c r="D288" s="8" t="s">
        <v>9898</v>
      </c>
      <c r="E288" s="8" t="s">
        <v>316</v>
      </c>
      <c r="F288" s="8" t="s">
        <v>9903</v>
      </c>
    </row>
    <row r="289" customHeight="1" spans="1:6">
      <c r="A289" s="6">
        <v>288</v>
      </c>
      <c r="B289" s="8" t="s">
        <v>9896</v>
      </c>
      <c r="C289" s="8" t="s">
        <v>9902</v>
      </c>
      <c r="D289" s="8" t="s">
        <v>9898</v>
      </c>
      <c r="E289" s="8" t="s">
        <v>316</v>
      </c>
      <c r="F289" s="8" t="s">
        <v>9903</v>
      </c>
    </row>
    <row r="290" customHeight="1" spans="1:6">
      <c r="A290" s="6">
        <v>289</v>
      </c>
      <c r="B290" s="8" t="s">
        <v>9904</v>
      </c>
      <c r="C290" s="8" t="s">
        <v>9905</v>
      </c>
      <c r="D290" s="8" t="s">
        <v>9906</v>
      </c>
      <c r="E290" s="8" t="s">
        <v>9907</v>
      </c>
      <c r="F290" s="8" t="s">
        <v>9908</v>
      </c>
    </row>
    <row r="291" customHeight="1" spans="1:6">
      <c r="A291" s="6">
        <v>290</v>
      </c>
      <c r="B291" s="8" t="s">
        <v>9904</v>
      </c>
      <c r="C291" s="8" t="s">
        <v>9905</v>
      </c>
      <c r="D291" s="8" t="s">
        <v>9906</v>
      </c>
      <c r="E291" s="8" t="s">
        <v>9907</v>
      </c>
      <c r="F291" s="8" t="s">
        <v>9908</v>
      </c>
    </row>
    <row r="292" customHeight="1" spans="1:6">
      <c r="A292" s="6">
        <v>291</v>
      </c>
      <c r="B292" s="8" t="s">
        <v>9904</v>
      </c>
      <c r="C292" s="8" t="s">
        <v>9909</v>
      </c>
      <c r="D292" s="8" t="s">
        <v>9906</v>
      </c>
      <c r="E292" s="8" t="s">
        <v>9907</v>
      </c>
      <c r="F292" s="8" t="s">
        <v>9910</v>
      </c>
    </row>
    <row r="293" customHeight="1" spans="1:6">
      <c r="A293" s="6">
        <v>292</v>
      </c>
      <c r="B293" s="8" t="s">
        <v>9904</v>
      </c>
      <c r="C293" s="8" t="s">
        <v>9909</v>
      </c>
      <c r="D293" s="8" t="s">
        <v>9906</v>
      </c>
      <c r="E293" s="8" t="s">
        <v>9907</v>
      </c>
      <c r="F293" s="8" t="s">
        <v>9910</v>
      </c>
    </row>
    <row r="294" customHeight="1" spans="1:6">
      <c r="A294" s="6">
        <v>293</v>
      </c>
      <c r="B294" s="7" t="str">
        <f>"978-7-101-11235-1"</f>
        <v>978-7-101-11235-1</v>
      </c>
      <c r="C294" s="7" t="str">
        <f>"楚辭校釋"</f>
        <v>楚辭校釋</v>
      </c>
      <c r="D294" s="7" t="str">
        <f>"王泗原著"</f>
        <v>王泗原著</v>
      </c>
      <c r="E294" s="7" t="str">
        <f t="shared" ref="E294:E297" si="84">"中華書局"</f>
        <v>中華書局</v>
      </c>
      <c r="F294" s="7" t="str">
        <f>"I222.3/58"</f>
        <v>I222.3/58</v>
      </c>
    </row>
    <row r="295" customHeight="1" spans="1:6">
      <c r="A295" s="6">
        <v>294</v>
      </c>
      <c r="B295" s="7" t="str">
        <f>"978-7-101-11235-1"</f>
        <v>978-7-101-11235-1</v>
      </c>
      <c r="C295" s="7" t="str">
        <f>"楚辭校釋"</f>
        <v>楚辭校釋</v>
      </c>
      <c r="D295" s="7" t="str">
        <f>"王泗原著"</f>
        <v>王泗原著</v>
      </c>
      <c r="E295" s="7" t="str">
        <f t="shared" si="84"/>
        <v>中華書局</v>
      </c>
      <c r="F295" s="7" t="str">
        <f>"I222.3/58"</f>
        <v>I222.3/58</v>
      </c>
    </row>
    <row r="296" customHeight="1" spans="1:6">
      <c r="A296" s="6">
        <v>295</v>
      </c>
      <c r="B296" s="7" t="str">
        <f>"978-7-101-14776-6"</f>
        <v>978-7-101-14776-6</v>
      </c>
      <c r="C296" s="7" t="str">
        <f>"杜工部詩選注"</f>
        <v>杜工部詩選注</v>
      </c>
      <c r="D296" s="7" t="str">
        <f>"(唐) 杜甫著；(元) 董養性注；孫微， 王冰雅， 金莎莎點校"</f>
        <v>(唐) 杜甫著；(元) 董養性注；孫微， 王冰雅， 金莎莎點校</v>
      </c>
      <c r="E296" s="7" t="str">
        <f t="shared" si="84"/>
        <v>中華書局</v>
      </c>
      <c r="F296" s="7" t="str">
        <f>"I222.742.3/2"</f>
        <v>I222.742.3/2</v>
      </c>
    </row>
    <row r="297" customHeight="1" spans="1:6">
      <c r="A297" s="6">
        <v>296</v>
      </c>
      <c r="B297" s="7" t="str">
        <f>"978-7-101-14776-6"</f>
        <v>978-7-101-14776-6</v>
      </c>
      <c r="C297" s="7" t="str">
        <f>"杜工部詩選注"</f>
        <v>杜工部詩選注</v>
      </c>
      <c r="D297" s="7" t="str">
        <f>"(唐) 杜甫著；(元) 董養性注；孫微， 王冰雅， 金莎莎點校"</f>
        <v>(唐) 杜甫著；(元) 董養性注；孫微， 王冰雅， 金莎莎點校</v>
      </c>
      <c r="E297" s="7" t="str">
        <f t="shared" si="84"/>
        <v>中華書局</v>
      </c>
      <c r="F297" s="7" t="str">
        <f>"I222.742.3/2"</f>
        <v>I222.742.3/2</v>
      </c>
    </row>
    <row r="298" customHeight="1" spans="1:6">
      <c r="A298" s="6">
        <v>297</v>
      </c>
      <c r="B298" s="7" t="str">
        <f>"978-7-100-17725-2"</f>
        <v>978-7-100-17725-2</v>
      </c>
      <c r="C298" s="7" t="str">
        <f>"甌安館詩集"</f>
        <v>甌安館詩集</v>
      </c>
      <c r="D298" s="7" t="str">
        <f>"(明) 黃景昉著；陳慶元點校"</f>
        <v>(明) 黃景昉著；陳慶元點校</v>
      </c>
      <c r="E298" s="7" t="str">
        <f>"商務印書館"</f>
        <v>商務印書館</v>
      </c>
      <c r="F298" s="7" t="str">
        <f>"I222.748/32"</f>
        <v>I222.748/32</v>
      </c>
    </row>
    <row r="299" customHeight="1" spans="1:6">
      <c r="A299" s="6">
        <v>298</v>
      </c>
      <c r="B299" s="7" t="str">
        <f>"978-7-5325-7266-3"</f>
        <v>978-7-5325-7266-3</v>
      </c>
      <c r="C299" s="7" t="str">
        <f>"唐宋名家词选"</f>
        <v>唐宋名家词选</v>
      </c>
      <c r="D299" s="7" t="str">
        <f>"龙榆生编选"</f>
        <v>龙榆生编选</v>
      </c>
      <c r="E299" s="7" t="str">
        <f t="shared" ref="E299:E302" si="85">"上海古籍出版社"</f>
        <v>上海古籍出版社</v>
      </c>
      <c r="F299" s="7" t="str">
        <f>"I222.842/17-2"</f>
        <v>I222.842/17-2</v>
      </c>
    </row>
    <row r="300" customHeight="1" spans="1:6">
      <c r="A300" s="6">
        <v>299</v>
      </c>
      <c r="B300" s="7" t="str">
        <f>"978-7-5325-7266-3"</f>
        <v>978-7-5325-7266-3</v>
      </c>
      <c r="C300" s="7" t="str">
        <f>"唐宋名家词选"</f>
        <v>唐宋名家词选</v>
      </c>
      <c r="D300" s="7" t="str">
        <f>"龙榆生编选"</f>
        <v>龙榆生编选</v>
      </c>
      <c r="E300" s="7" t="str">
        <f t="shared" si="85"/>
        <v>上海古籍出版社</v>
      </c>
      <c r="F300" s="7" t="str">
        <f>"I222.842/17-2"</f>
        <v>I222.842/17-2</v>
      </c>
    </row>
    <row r="301" customHeight="1" spans="1:6">
      <c r="A301" s="6">
        <v>300</v>
      </c>
      <c r="B301" s="7" t="str">
        <f>"978-7-5325-9804-5"</f>
        <v>978-7-5325-9804-5</v>
      </c>
      <c r="C301" s="7" t="str">
        <f>"稼轩词疏证"</f>
        <v>稼轩词疏证</v>
      </c>
      <c r="D301" s="7" t="str">
        <f>"(宋) 辛弃疾著；梁启超辑；梁启勋疏证；李志强标点"</f>
        <v>(宋) 辛弃疾著；梁启超辑；梁启勋疏证；李志强标点</v>
      </c>
      <c r="E301" s="7" t="str">
        <f t="shared" si="85"/>
        <v>上海古籍出版社</v>
      </c>
      <c r="F301" s="7" t="str">
        <f>"I222.844.2/5"</f>
        <v>I222.844.2/5</v>
      </c>
    </row>
    <row r="302" customHeight="1" spans="1:6">
      <c r="A302" s="6">
        <v>301</v>
      </c>
      <c r="B302" s="7" t="str">
        <f>"978-7-5325-9804-5"</f>
        <v>978-7-5325-9804-5</v>
      </c>
      <c r="C302" s="7" t="str">
        <f>"稼轩词疏证"</f>
        <v>稼轩词疏证</v>
      </c>
      <c r="D302" s="7" t="str">
        <f>"(宋) 辛弃疾著；梁启超辑；梁启勋疏证；李志强标点"</f>
        <v>(宋) 辛弃疾著；梁启超辑；梁启勋疏证；李志强标点</v>
      </c>
      <c r="E302" s="7" t="str">
        <f t="shared" si="85"/>
        <v>上海古籍出版社</v>
      </c>
      <c r="F302" s="7" t="str">
        <f>"I222.844.2/5"</f>
        <v>I222.844.2/5</v>
      </c>
    </row>
    <row r="303" customHeight="1" spans="1:6">
      <c r="A303" s="6">
        <v>302</v>
      </c>
      <c r="B303" s="7" t="str">
        <f>"978-7-5212-1476-5"</f>
        <v>978-7-5212-1476-5</v>
      </c>
      <c r="C303" s="7" t="str">
        <f>"大地颂"</f>
        <v>大地颂</v>
      </c>
      <c r="D303" s="7" t="str">
        <f>"辛铭著"</f>
        <v>辛铭著</v>
      </c>
      <c r="E303" s="7" t="str">
        <f>"作家出版社"</f>
        <v>作家出版社</v>
      </c>
      <c r="F303" s="7" t="str">
        <f>"I227/2375"</f>
        <v>I227/2375</v>
      </c>
    </row>
    <row r="304" customHeight="1" spans="1:6">
      <c r="A304" s="6">
        <v>303</v>
      </c>
      <c r="B304" s="7" t="str">
        <f>"978-7-5212-1476-5"</f>
        <v>978-7-5212-1476-5</v>
      </c>
      <c r="C304" s="7" t="str">
        <f>"大地颂"</f>
        <v>大地颂</v>
      </c>
      <c r="D304" s="7" t="str">
        <f>"辛铭著"</f>
        <v>辛铭著</v>
      </c>
      <c r="E304" s="7" t="str">
        <f>"作家出版社"</f>
        <v>作家出版社</v>
      </c>
      <c r="F304" s="7" t="str">
        <f>"I227/2375"</f>
        <v>I227/2375</v>
      </c>
    </row>
    <row r="305" customHeight="1" spans="1:6">
      <c r="A305" s="6">
        <v>304</v>
      </c>
      <c r="B305" s="8" t="s">
        <v>9911</v>
      </c>
      <c r="C305" s="8" t="s">
        <v>9912</v>
      </c>
      <c r="D305" s="8" t="s">
        <v>9913</v>
      </c>
      <c r="E305" s="8" t="s">
        <v>1962</v>
      </c>
      <c r="F305" s="8" t="s">
        <v>9914</v>
      </c>
    </row>
    <row r="306" customHeight="1" spans="1:6">
      <c r="A306" s="6">
        <v>305</v>
      </c>
      <c r="B306" s="8" t="s">
        <v>9911</v>
      </c>
      <c r="C306" s="8" t="s">
        <v>9912</v>
      </c>
      <c r="D306" s="8" t="s">
        <v>9913</v>
      </c>
      <c r="E306" s="8" t="s">
        <v>1962</v>
      </c>
      <c r="F306" s="8" t="s">
        <v>9914</v>
      </c>
    </row>
    <row r="307" customHeight="1" spans="1:6">
      <c r="A307" s="6">
        <v>306</v>
      </c>
      <c r="B307" s="8" t="s">
        <v>9911</v>
      </c>
      <c r="C307" s="8" t="s">
        <v>9912</v>
      </c>
      <c r="D307" s="8" t="s">
        <v>9913</v>
      </c>
      <c r="E307" s="8" t="s">
        <v>1962</v>
      </c>
      <c r="F307" s="8" t="s">
        <v>9914</v>
      </c>
    </row>
    <row r="308" customHeight="1" spans="1:6">
      <c r="A308" s="6">
        <v>307</v>
      </c>
      <c r="B308" s="8" t="s">
        <v>9915</v>
      </c>
      <c r="C308" s="8" t="s">
        <v>9916</v>
      </c>
      <c r="D308" s="8" t="s">
        <v>9917</v>
      </c>
      <c r="E308" s="8" t="s">
        <v>9894</v>
      </c>
      <c r="F308" s="8" t="s">
        <v>9918</v>
      </c>
    </row>
    <row r="309" customHeight="1" spans="1:6">
      <c r="A309" s="6">
        <v>308</v>
      </c>
      <c r="B309" s="8" t="s">
        <v>9915</v>
      </c>
      <c r="C309" s="8" t="s">
        <v>9916</v>
      </c>
      <c r="D309" s="8" t="s">
        <v>9917</v>
      </c>
      <c r="E309" s="8" t="s">
        <v>9894</v>
      </c>
      <c r="F309" s="8" t="s">
        <v>9918</v>
      </c>
    </row>
    <row r="310" customHeight="1" spans="1:6">
      <c r="A310" s="6">
        <v>309</v>
      </c>
      <c r="B310" s="8" t="s">
        <v>9915</v>
      </c>
      <c r="C310" s="8" t="s">
        <v>9916</v>
      </c>
      <c r="D310" s="8" t="s">
        <v>9917</v>
      </c>
      <c r="E310" s="8" t="s">
        <v>9894</v>
      </c>
      <c r="F310" s="8" t="s">
        <v>9918</v>
      </c>
    </row>
    <row r="311" customHeight="1" spans="1:6">
      <c r="A311" s="6">
        <v>310</v>
      </c>
      <c r="B311" s="8" t="s">
        <v>9919</v>
      </c>
      <c r="C311" s="8" t="s">
        <v>9920</v>
      </c>
      <c r="D311" s="8" t="s">
        <v>9921</v>
      </c>
      <c r="E311" s="8" t="s">
        <v>1400</v>
      </c>
      <c r="F311" s="8" t="s">
        <v>9922</v>
      </c>
    </row>
    <row r="312" customHeight="1" spans="1:6">
      <c r="A312" s="6">
        <v>311</v>
      </c>
      <c r="B312" s="8" t="s">
        <v>9919</v>
      </c>
      <c r="C312" s="8" t="s">
        <v>9920</v>
      </c>
      <c r="D312" s="8" t="s">
        <v>9921</v>
      </c>
      <c r="E312" s="8" t="s">
        <v>1400</v>
      </c>
      <c r="F312" s="8" t="s">
        <v>9922</v>
      </c>
    </row>
    <row r="313" customHeight="1" spans="1:6">
      <c r="A313" s="6">
        <v>312</v>
      </c>
      <c r="B313" s="8" t="s">
        <v>9919</v>
      </c>
      <c r="C313" s="8" t="s">
        <v>9923</v>
      </c>
      <c r="D313" s="8" t="s">
        <v>9921</v>
      </c>
      <c r="E313" s="8" t="s">
        <v>1400</v>
      </c>
      <c r="F313" s="8" t="s">
        <v>9924</v>
      </c>
    </row>
    <row r="314" customHeight="1" spans="1:6">
      <c r="A314" s="6">
        <v>313</v>
      </c>
      <c r="B314" s="8" t="s">
        <v>9919</v>
      </c>
      <c r="C314" s="8" t="s">
        <v>9923</v>
      </c>
      <c r="D314" s="8" t="s">
        <v>9921</v>
      </c>
      <c r="E314" s="8" t="s">
        <v>1400</v>
      </c>
      <c r="F314" s="8" t="s">
        <v>9924</v>
      </c>
    </row>
    <row r="315" customHeight="1" spans="1:6">
      <c r="A315" s="6">
        <v>314</v>
      </c>
      <c r="B315" s="8" t="s">
        <v>9919</v>
      </c>
      <c r="C315" s="8" t="s">
        <v>9925</v>
      </c>
      <c r="D315" s="8" t="s">
        <v>9921</v>
      </c>
      <c r="E315" s="8" t="s">
        <v>1400</v>
      </c>
      <c r="F315" s="8" t="s">
        <v>9926</v>
      </c>
    </row>
    <row r="316" customHeight="1" spans="1:6">
      <c r="A316" s="6">
        <v>315</v>
      </c>
      <c r="B316" s="8" t="s">
        <v>9919</v>
      </c>
      <c r="C316" s="8" t="s">
        <v>9925</v>
      </c>
      <c r="D316" s="8" t="s">
        <v>9921</v>
      </c>
      <c r="E316" s="8" t="s">
        <v>1400</v>
      </c>
      <c r="F316" s="8" t="s">
        <v>9926</v>
      </c>
    </row>
    <row r="317" customHeight="1" spans="1:6">
      <c r="A317" s="6">
        <v>316</v>
      </c>
      <c r="B317" s="8" t="s">
        <v>9919</v>
      </c>
      <c r="C317" s="8" t="s">
        <v>9927</v>
      </c>
      <c r="D317" s="8" t="s">
        <v>9921</v>
      </c>
      <c r="E317" s="8" t="s">
        <v>1400</v>
      </c>
      <c r="F317" s="8" t="s">
        <v>9928</v>
      </c>
    </row>
    <row r="318" customHeight="1" spans="1:6">
      <c r="A318" s="6">
        <v>317</v>
      </c>
      <c r="B318" s="8" t="s">
        <v>9919</v>
      </c>
      <c r="C318" s="8" t="s">
        <v>9927</v>
      </c>
      <c r="D318" s="8" t="s">
        <v>9921</v>
      </c>
      <c r="E318" s="8" t="s">
        <v>1400</v>
      </c>
      <c r="F318" s="8" t="s">
        <v>9928</v>
      </c>
    </row>
    <row r="319" customHeight="1" spans="1:6">
      <c r="A319" s="6">
        <v>318</v>
      </c>
      <c r="B319" s="8" t="s">
        <v>9929</v>
      </c>
      <c r="C319" s="8" t="s">
        <v>9930</v>
      </c>
      <c r="D319" s="8" t="s">
        <v>9931</v>
      </c>
      <c r="E319" s="8" t="s">
        <v>810</v>
      </c>
      <c r="F319" s="8" t="s">
        <v>9932</v>
      </c>
    </row>
    <row r="320" customHeight="1" spans="1:6">
      <c r="A320" s="6">
        <v>319</v>
      </c>
      <c r="B320" s="8" t="s">
        <v>9929</v>
      </c>
      <c r="C320" s="8" t="s">
        <v>9930</v>
      </c>
      <c r="D320" s="8" t="s">
        <v>9931</v>
      </c>
      <c r="E320" s="8" t="s">
        <v>810</v>
      </c>
      <c r="F320" s="8" t="s">
        <v>9932</v>
      </c>
    </row>
    <row r="321" customHeight="1" spans="1:6">
      <c r="A321" s="6">
        <v>320</v>
      </c>
      <c r="B321" s="8" t="s">
        <v>9933</v>
      </c>
      <c r="C321" s="8" t="s">
        <v>9934</v>
      </c>
      <c r="D321" s="8" t="s">
        <v>9935</v>
      </c>
      <c r="E321" s="8" t="s">
        <v>9936</v>
      </c>
      <c r="F321" s="8" t="s">
        <v>9937</v>
      </c>
    </row>
    <row r="322" customHeight="1" spans="1:6">
      <c r="A322" s="6">
        <v>321</v>
      </c>
      <c r="B322" s="8" t="s">
        <v>9933</v>
      </c>
      <c r="C322" s="8" t="s">
        <v>9934</v>
      </c>
      <c r="D322" s="8" t="s">
        <v>9935</v>
      </c>
      <c r="E322" s="8" t="s">
        <v>9936</v>
      </c>
      <c r="F322" s="8" t="s">
        <v>9937</v>
      </c>
    </row>
    <row r="323" customHeight="1" spans="1:6">
      <c r="A323" s="6">
        <v>322</v>
      </c>
      <c r="B323" s="7" t="str">
        <f>"978-7-5447-8814-4"</f>
        <v>978-7-5447-8814-4</v>
      </c>
      <c r="C323" s="7" t="str">
        <f>"我是月亮"</f>
        <v>我是月亮</v>
      </c>
      <c r="D323" s="7" t="str">
        <f>"朱宜"</f>
        <v>朱宜</v>
      </c>
      <c r="E323" s="7" t="str">
        <f>"译林出版社"</f>
        <v>译林出版社</v>
      </c>
      <c r="F323" s="7" t="str">
        <f>"I234/78"</f>
        <v>I234/78</v>
      </c>
    </row>
    <row r="324" customHeight="1" spans="1:6">
      <c r="A324" s="6">
        <v>323</v>
      </c>
      <c r="B324" s="7" t="str">
        <f>"978-7-5447-8814-4"</f>
        <v>978-7-5447-8814-4</v>
      </c>
      <c r="C324" s="7" t="str">
        <f>"我是月亮"</f>
        <v>我是月亮</v>
      </c>
      <c r="D324" s="7" t="str">
        <f>"朱宜"</f>
        <v>朱宜</v>
      </c>
      <c r="E324" s="7" t="str">
        <f>"译林出版社"</f>
        <v>译林出版社</v>
      </c>
      <c r="F324" s="7" t="str">
        <f>"I234/78"</f>
        <v>I234/78</v>
      </c>
    </row>
    <row r="325" customHeight="1" spans="1:6">
      <c r="A325" s="6">
        <v>324</v>
      </c>
      <c r="B325" s="7" t="str">
        <f t="shared" ref="B325:B330" si="86">"978-7-5212-1374-4"</f>
        <v>978-7-5212-1374-4</v>
      </c>
      <c r="C325" s="7" t="str">
        <f>"突围：六十集电视文学剧本．第一部"</f>
        <v>突围：六十集电视文学剧本．第一部</v>
      </c>
      <c r="D325" s="7" t="str">
        <f t="shared" ref="D325:D330" si="87">"周梅森， 孙馨岳著"</f>
        <v>周梅森， 孙馨岳著</v>
      </c>
      <c r="E325" s="7" t="str">
        <f t="shared" ref="E325:E330" si="88">"作家出版社"</f>
        <v>作家出版社</v>
      </c>
      <c r="F325" s="7" t="str">
        <f>"I235.2/184/1"</f>
        <v>I235.2/184/1</v>
      </c>
    </row>
    <row r="326" customHeight="1" spans="1:6">
      <c r="A326" s="6">
        <v>325</v>
      </c>
      <c r="B326" s="7" t="str">
        <f t="shared" si="86"/>
        <v>978-7-5212-1374-4</v>
      </c>
      <c r="C326" s="7" t="str">
        <f>"突围：六十集电视文学剧本．第一部"</f>
        <v>突围：六十集电视文学剧本．第一部</v>
      </c>
      <c r="D326" s="7" t="str">
        <f t="shared" si="87"/>
        <v>周梅森， 孙馨岳著</v>
      </c>
      <c r="E326" s="7" t="str">
        <f t="shared" si="88"/>
        <v>作家出版社</v>
      </c>
      <c r="F326" s="7" t="str">
        <f>"I235.2/184/1"</f>
        <v>I235.2/184/1</v>
      </c>
    </row>
    <row r="327" customHeight="1" spans="1:6">
      <c r="A327" s="6">
        <v>326</v>
      </c>
      <c r="B327" s="7" t="str">
        <f t="shared" si="86"/>
        <v>978-7-5212-1374-4</v>
      </c>
      <c r="C327" s="7" t="str">
        <f>"突围：六十集电视文学剧本．第二部"</f>
        <v>突围：六十集电视文学剧本．第二部</v>
      </c>
      <c r="D327" s="7" t="str">
        <f t="shared" si="87"/>
        <v>周梅森， 孙馨岳著</v>
      </c>
      <c r="E327" s="7" t="str">
        <f t="shared" si="88"/>
        <v>作家出版社</v>
      </c>
      <c r="F327" s="7" t="str">
        <f>"I235.2/184/2"</f>
        <v>I235.2/184/2</v>
      </c>
    </row>
    <row r="328" customHeight="1" spans="1:6">
      <c r="A328" s="6">
        <v>327</v>
      </c>
      <c r="B328" s="7" t="str">
        <f t="shared" si="86"/>
        <v>978-7-5212-1374-4</v>
      </c>
      <c r="C328" s="7" t="str">
        <f>"突围：六十集电视文学剧本．第二部"</f>
        <v>突围：六十集电视文学剧本．第二部</v>
      </c>
      <c r="D328" s="7" t="str">
        <f t="shared" si="87"/>
        <v>周梅森， 孙馨岳著</v>
      </c>
      <c r="E328" s="7" t="str">
        <f t="shared" si="88"/>
        <v>作家出版社</v>
      </c>
      <c r="F328" s="7" t="str">
        <f>"I235.2/184/2"</f>
        <v>I235.2/184/2</v>
      </c>
    </row>
    <row r="329" customHeight="1" spans="1:6">
      <c r="A329" s="6">
        <v>328</v>
      </c>
      <c r="B329" s="7" t="str">
        <f t="shared" si="86"/>
        <v>978-7-5212-1374-4</v>
      </c>
      <c r="C329" s="7" t="str">
        <f>"突围：六十集电视文学剧本．第三部"</f>
        <v>突围：六十集电视文学剧本．第三部</v>
      </c>
      <c r="D329" s="7" t="str">
        <f t="shared" si="87"/>
        <v>周梅森， 孙馨岳著</v>
      </c>
      <c r="E329" s="7" t="str">
        <f t="shared" si="88"/>
        <v>作家出版社</v>
      </c>
      <c r="F329" s="7" t="str">
        <f>"I235.2/184/3"</f>
        <v>I235.2/184/3</v>
      </c>
    </row>
    <row r="330" customHeight="1" spans="1:6">
      <c r="A330" s="6">
        <v>329</v>
      </c>
      <c r="B330" s="7" t="str">
        <f t="shared" si="86"/>
        <v>978-7-5212-1374-4</v>
      </c>
      <c r="C330" s="7" t="str">
        <f>"突围：六十集电视文学剧本．第三部"</f>
        <v>突围：六十集电视文学剧本．第三部</v>
      </c>
      <c r="D330" s="7" t="str">
        <f t="shared" si="87"/>
        <v>周梅森， 孙馨岳著</v>
      </c>
      <c r="E330" s="7" t="str">
        <f t="shared" si="88"/>
        <v>作家出版社</v>
      </c>
      <c r="F330" s="7" t="str">
        <f>"I235.2/184/3"</f>
        <v>I235.2/184/3</v>
      </c>
    </row>
    <row r="331" customHeight="1" spans="1:6">
      <c r="A331" s="6">
        <v>330</v>
      </c>
      <c r="B331" s="7" t="str">
        <f t="shared" ref="B331:B336" si="89">"978-7-101-14783-4"</f>
        <v>978-7-101-14783-4</v>
      </c>
      <c r="C331" s="7" t="str">
        <f>"博物志"</f>
        <v>博物志</v>
      </c>
      <c r="D331" s="7" t="str">
        <f>"(晋) 张华"</f>
        <v>(晋) 张华</v>
      </c>
      <c r="E331" s="7" t="str">
        <f t="shared" ref="E331:E336" si="90">"中华书局"</f>
        <v>中华书局</v>
      </c>
      <c r="F331" s="7" t="str">
        <f>"I242.1/232-2"</f>
        <v>I242.1/232-2</v>
      </c>
    </row>
    <row r="332" customHeight="1" spans="1:6">
      <c r="A332" s="6">
        <v>331</v>
      </c>
      <c r="B332" s="7" t="str">
        <f t="shared" si="89"/>
        <v>978-7-101-14783-4</v>
      </c>
      <c r="C332" s="7" t="str">
        <f>"博物志"</f>
        <v>博物志</v>
      </c>
      <c r="D332" s="7" t="str">
        <f>"(晋) 张华"</f>
        <v>(晋) 张华</v>
      </c>
      <c r="E332" s="7" t="str">
        <f t="shared" si="90"/>
        <v>中华书局</v>
      </c>
      <c r="F332" s="7" t="str">
        <f>"I242.1/232-2"</f>
        <v>I242.1/232-2</v>
      </c>
    </row>
    <row r="333" customHeight="1" spans="1:6">
      <c r="A333" s="6">
        <v>332</v>
      </c>
      <c r="B333" s="7" t="str">
        <f t="shared" si="89"/>
        <v>978-7-101-14783-4</v>
      </c>
      <c r="C333" s="7" t="str">
        <f>"搜神记"</f>
        <v>搜神记</v>
      </c>
      <c r="D333" s="7" t="str">
        <f>"(晋) 干宝"</f>
        <v>(晋) 干宝</v>
      </c>
      <c r="E333" s="7" t="str">
        <f t="shared" si="90"/>
        <v>中华书局</v>
      </c>
      <c r="F333" s="7" t="str">
        <f>"I242.1/309-2"</f>
        <v>I242.1/309-2</v>
      </c>
    </row>
    <row r="334" customHeight="1" spans="1:6">
      <c r="A334" s="6">
        <v>333</v>
      </c>
      <c r="B334" s="7" t="str">
        <f t="shared" si="89"/>
        <v>978-7-101-14783-4</v>
      </c>
      <c r="C334" s="7" t="str">
        <f>"搜神记"</f>
        <v>搜神记</v>
      </c>
      <c r="D334" s="7" t="str">
        <f>"(晋) 干宝"</f>
        <v>(晋) 干宝</v>
      </c>
      <c r="E334" s="7" t="str">
        <f t="shared" si="90"/>
        <v>中华书局</v>
      </c>
      <c r="F334" s="7" t="str">
        <f>"I242.1/309-2"</f>
        <v>I242.1/309-2</v>
      </c>
    </row>
    <row r="335" customHeight="1" spans="1:6">
      <c r="A335" s="6">
        <v>334</v>
      </c>
      <c r="B335" s="7" t="str">
        <f t="shared" si="89"/>
        <v>978-7-101-14783-4</v>
      </c>
      <c r="C335" s="7" t="str">
        <f>"玄怪录"</f>
        <v>玄怪录</v>
      </c>
      <c r="D335" s="7" t="str">
        <f>"(唐) 牛曾孺"</f>
        <v>(唐) 牛曾孺</v>
      </c>
      <c r="E335" s="7" t="str">
        <f t="shared" si="90"/>
        <v>中华书局</v>
      </c>
      <c r="F335" s="7" t="str">
        <f>"I242.1/321-2"</f>
        <v>I242.1/321-2</v>
      </c>
    </row>
    <row r="336" customHeight="1" spans="1:6">
      <c r="A336" s="6">
        <v>335</v>
      </c>
      <c r="B336" s="7" t="str">
        <f t="shared" si="89"/>
        <v>978-7-101-14783-4</v>
      </c>
      <c r="C336" s="7" t="str">
        <f>"玄怪录"</f>
        <v>玄怪录</v>
      </c>
      <c r="D336" s="7" t="str">
        <f>"(唐) 牛曾孺"</f>
        <v>(唐) 牛曾孺</v>
      </c>
      <c r="E336" s="7" t="str">
        <f t="shared" si="90"/>
        <v>中华书局</v>
      </c>
      <c r="F336" s="7" t="str">
        <f>"I242.1/321-2"</f>
        <v>I242.1/321-2</v>
      </c>
    </row>
    <row r="337" customHeight="1" spans="1:6">
      <c r="A337" s="6">
        <v>336</v>
      </c>
      <c r="B337" s="8" t="s">
        <v>9938</v>
      </c>
      <c r="C337" s="8" t="s">
        <v>9939</v>
      </c>
      <c r="D337" s="8" t="s">
        <v>9940</v>
      </c>
      <c r="E337" s="8" t="s">
        <v>221</v>
      </c>
      <c r="F337" s="8" t="s">
        <v>9941</v>
      </c>
    </row>
    <row r="338" customHeight="1" spans="1:6">
      <c r="A338" s="6">
        <v>337</v>
      </c>
      <c r="B338" s="8" t="s">
        <v>9938</v>
      </c>
      <c r="C338" s="8" t="s">
        <v>9939</v>
      </c>
      <c r="D338" s="8" t="s">
        <v>9940</v>
      </c>
      <c r="E338" s="8" t="s">
        <v>221</v>
      </c>
      <c r="F338" s="8" t="s">
        <v>9941</v>
      </c>
    </row>
    <row r="339" customHeight="1" spans="1:6">
      <c r="A339" s="6">
        <v>338</v>
      </c>
      <c r="B339" s="7" t="str">
        <f t="shared" ref="B339:B344" si="91">"978-7-5404-7624-3"</f>
        <v>978-7-5404-7624-3</v>
      </c>
      <c r="C339" s="7" t="str">
        <f t="shared" ref="C339:C341" si="92">"京华烟云．上"</f>
        <v>京华烟云．上</v>
      </c>
      <c r="D339" s="7" t="str">
        <f t="shared" ref="D339:D344" si="93">"林语堂著；张振玉译"</f>
        <v>林语堂著；张振玉译</v>
      </c>
      <c r="E339" s="7" t="str">
        <f t="shared" ref="E339:E350" si="94">"湖南文艺出版社"</f>
        <v>湖南文艺出版社</v>
      </c>
      <c r="F339" s="7" t="str">
        <f t="shared" ref="F339:F341" si="95">"I246.57/69-2/1"</f>
        <v>I246.57/69-2/1</v>
      </c>
    </row>
    <row r="340" customHeight="1" spans="1:6">
      <c r="A340" s="6">
        <v>339</v>
      </c>
      <c r="B340" s="7" t="str">
        <f t="shared" si="91"/>
        <v>978-7-5404-7624-3</v>
      </c>
      <c r="C340" s="7" t="str">
        <f t="shared" si="92"/>
        <v>京华烟云．上</v>
      </c>
      <c r="D340" s="7" t="str">
        <f t="shared" si="93"/>
        <v>林语堂著；张振玉译</v>
      </c>
      <c r="E340" s="7" t="str">
        <f t="shared" si="94"/>
        <v>湖南文艺出版社</v>
      </c>
      <c r="F340" s="7" t="str">
        <f t="shared" si="95"/>
        <v>I246.57/69-2/1</v>
      </c>
    </row>
    <row r="341" customHeight="1" spans="1:6">
      <c r="A341" s="6">
        <v>340</v>
      </c>
      <c r="B341" s="7" t="str">
        <f t="shared" si="91"/>
        <v>978-7-5404-7624-3</v>
      </c>
      <c r="C341" s="7" t="str">
        <f t="shared" si="92"/>
        <v>京华烟云．上</v>
      </c>
      <c r="D341" s="7" t="str">
        <f t="shared" si="93"/>
        <v>林语堂著；张振玉译</v>
      </c>
      <c r="E341" s="7" t="str">
        <f t="shared" si="94"/>
        <v>湖南文艺出版社</v>
      </c>
      <c r="F341" s="7" t="str">
        <f t="shared" si="95"/>
        <v>I246.57/69-2/1</v>
      </c>
    </row>
    <row r="342" customHeight="1" spans="1:6">
      <c r="A342" s="6">
        <v>341</v>
      </c>
      <c r="B342" s="7" t="str">
        <f t="shared" si="91"/>
        <v>978-7-5404-7624-3</v>
      </c>
      <c r="C342" s="7" t="str">
        <f t="shared" ref="C342:C344" si="96">"京华烟云．下"</f>
        <v>京华烟云．下</v>
      </c>
      <c r="D342" s="7" t="str">
        <f t="shared" si="93"/>
        <v>林语堂著；张振玉译</v>
      </c>
      <c r="E342" s="7" t="str">
        <f t="shared" si="94"/>
        <v>湖南文艺出版社</v>
      </c>
      <c r="F342" s="7" t="str">
        <f t="shared" ref="F342:F344" si="97">"I246.57/69-2/2"</f>
        <v>I246.57/69-2/2</v>
      </c>
    </row>
    <row r="343" customHeight="1" spans="1:6">
      <c r="A343" s="6">
        <v>342</v>
      </c>
      <c r="B343" s="7" t="str">
        <f t="shared" si="91"/>
        <v>978-7-5404-7624-3</v>
      </c>
      <c r="C343" s="7" t="str">
        <f t="shared" si="96"/>
        <v>京华烟云．下</v>
      </c>
      <c r="D343" s="7" t="str">
        <f t="shared" si="93"/>
        <v>林语堂著；张振玉译</v>
      </c>
      <c r="E343" s="7" t="str">
        <f t="shared" si="94"/>
        <v>湖南文艺出版社</v>
      </c>
      <c r="F343" s="7" t="str">
        <f t="shared" si="97"/>
        <v>I246.57/69-2/2</v>
      </c>
    </row>
    <row r="344" customHeight="1" spans="1:6">
      <c r="A344" s="6">
        <v>343</v>
      </c>
      <c r="B344" s="7" t="str">
        <f t="shared" si="91"/>
        <v>978-7-5404-7624-3</v>
      </c>
      <c r="C344" s="7" t="str">
        <f t="shared" si="96"/>
        <v>京华烟云．下</v>
      </c>
      <c r="D344" s="7" t="str">
        <f t="shared" si="93"/>
        <v>林语堂著；张振玉译</v>
      </c>
      <c r="E344" s="7" t="str">
        <f t="shared" si="94"/>
        <v>湖南文艺出版社</v>
      </c>
      <c r="F344" s="7" t="str">
        <f t="shared" si="97"/>
        <v>I246.57/69-2/2</v>
      </c>
    </row>
    <row r="345" customHeight="1" spans="1:6">
      <c r="A345" s="6">
        <v>344</v>
      </c>
      <c r="B345" s="7" t="str">
        <f t="shared" ref="B345:B350" si="98">"978-7-5726-0125-5"</f>
        <v>978-7-5726-0125-5</v>
      </c>
      <c r="C345" s="7" t="str">
        <f t="shared" ref="C345:C347" si="99">"朱门．上"</f>
        <v>朱门．上</v>
      </c>
      <c r="D345" s="7" t="str">
        <f t="shared" ref="D345:D350" si="100">"林语堂著；谢绮霞译"</f>
        <v>林语堂著；谢绮霞译</v>
      </c>
      <c r="E345" s="7" t="str">
        <f t="shared" si="94"/>
        <v>湖南文艺出版社</v>
      </c>
      <c r="F345" s="7" t="str">
        <f t="shared" ref="F345:F347" si="101">"I247.5/588-2/1"</f>
        <v>I247.5/588-2/1</v>
      </c>
    </row>
    <row r="346" customHeight="1" spans="1:6">
      <c r="A346" s="6">
        <v>345</v>
      </c>
      <c r="B346" s="7" t="str">
        <f t="shared" si="98"/>
        <v>978-7-5726-0125-5</v>
      </c>
      <c r="C346" s="7" t="str">
        <f t="shared" si="99"/>
        <v>朱门．上</v>
      </c>
      <c r="D346" s="7" t="str">
        <f t="shared" si="100"/>
        <v>林语堂著；谢绮霞译</v>
      </c>
      <c r="E346" s="7" t="str">
        <f t="shared" si="94"/>
        <v>湖南文艺出版社</v>
      </c>
      <c r="F346" s="7" t="str">
        <f t="shared" si="101"/>
        <v>I247.5/588-2/1</v>
      </c>
    </row>
    <row r="347" customHeight="1" spans="1:6">
      <c r="A347" s="6">
        <v>346</v>
      </c>
      <c r="B347" s="7" t="str">
        <f t="shared" si="98"/>
        <v>978-7-5726-0125-5</v>
      </c>
      <c r="C347" s="7" t="str">
        <f t="shared" si="99"/>
        <v>朱门．上</v>
      </c>
      <c r="D347" s="7" t="str">
        <f t="shared" si="100"/>
        <v>林语堂著；谢绮霞译</v>
      </c>
      <c r="E347" s="7" t="str">
        <f t="shared" si="94"/>
        <v>湖南文艺出版社</v>
      </c>
      <c r="F347" s="7" t="str">
        <f t="shared" si="101"/>
        <v>I247.5/588-2/1</v>
      </c>
    </row>
    <row r="348" customHeight="1" spans="1:6">
      <c r="A348" s="6">
        <v>347</v>
      </c>
      <c r="B348" s="7" t="str">
        <f t="shared" si="98"/>
        <v>978-7-5726-0125-5</v>
      </c>
      <c r="C348" s="7" t="str">
        <f t="shared" ref="C348:C350" si="102">"朱门．下"</f>
        <v>朱门．下</v>
      </c>
      <c r="D348" s="7" t="str">
        <f t="shared" si="100"/>
        <v>林语堂著；谢绮霞译</v>
      </c>
      <c r="E348" s="7" t="str">
        <f t="shared" si="94"/>
        <v>湖南文艺出版社</v>
      </c>
      <c r="F348" s="7" t="str">
        <f t="shared" ref="F348:F350" si="103">"I247.5/588-2/2"</f>
        <v>I247.5/588-2/2</v>
      </c>
    </row>
    <row r="349" customHeight="1" spans="1:6">
      <c r="A349" s="6">
        <v>348</v>
      </c>
      <c r="B349" s="7" t="str">
        <f t="shared" si="98"/>
        <v>978-7-5726-0125-5</v>
      </c>
      <c r="C349" s="7" t="str">
        <f t="shared" si="102"/>
        <v>朱门．下</v>
      </c>
      <c r="D349" s="7" t="str">
        <f t="shared" si="100"/>
        <v>林语堂著；谢绮霞译</v>
      </c>
      <c r="E349" s="7" t="str">
        <f t="shared" si="94"/>
        <v>湖南文艺出版社</v>
      </c>
      <c r="F349" s="7" t="str">
        <f t="shared" si="103"/>
        <v>I247.5/588-2/2</v>
      </c>
    </row>
    <row r="350" customHeight="1" spans="1:6">
      <c r="A350" s="6">
        <v>349</v>
      </c>
      <c r="B350" s="7" t="str">
        <f t="shared" si="98"/>
        <v>978-7-5726-0125-5</v>
      </c>
      <c r="C350" s="7" t="str">
        <f t="shared" si="102"/>
        <v>朱门．下</v>
      </c>
      <c r="D350" s="7" t="str">
        <f t="shared" si="100"/>
        <v>林语堂著；谢绮霞译</v>
      </c>
      <c r="E350" s="7" t="str">
        <f t="shared" si="94"/>
        <v>湖南文艺出版社</v>
      </c>
      <c r="F350" s="7" t="str">
        <f t="shared" si="103"/>
        <v>I247.5/588-2/2</v>
      </c>
    </row>
    <row r="351" customHeight="1" spans="1:6">
      <c r="A351" s="6">
        <v>350</v>
      </c>
      <c r="B351" s="7" t="str">
        <f t="shared" ref="B351:B353" si="104">"978-7-5302-2187-7"</f>
        <v>978-7-5302-2187-7</v>
      </c>
      <c r="C351" s="7" t="str">
        <f t="shared" ref="C351:C353" si="105">"长津湖"</f>
        <v>长津湖</v>
      </c>
      <c r="D351" s="7" t="str">
        <f t="shared" ref="D351:D353" si="106">"王筠著"</f>
        <v>王筠著</v>
      </c>
      <c r="E351" s="7" t="str">
        <f t="shared" ref="E351:E353" si="107">"北京十月文艺出版社"</f>
        <v>北京十月文艺出版社</v>
      </c>
      <c r="F351" s="7" t="str">
        <f t="shared" ref="F351:F353" si="108">"I247.52/528"</f>
        <v>I247.52/528</v>
      </c>
    </row>
    <row r="352" customHeight="1" spans="1:6">
      <c r="A352" s="6">
        <v>351</v>
      </c>
      <c r="B352" s="7" t="str">
        <f t="shared" si="104"/>
        <v>978-7-5302-2187-7</v>
      </c>
      <c r="C352" s="7" t="str">
        <f t="shared" si="105"/>
        <v>长津湖</v>
      </c>
      <c r="D352" s="7" t="str">
        <f t="shared" si="106"/>
        <v>王筠著</v>
      </c>
      <c r="E352" s="7" t="str">
        <f t="shared" si="107"/>
        <v>北京十月文艺出版社</v>
      </c>
      <c r="F352" s="7" t="str">
        <f t="shared" si="108"/>
        <v>I247.52/528</v>
      </c>
    </row>
    <row r="353" customHeight="1" spans="1:6">
      <c r="A353" s="6">
        <v>352</v>
      </c>
      <c r="B353" s="7" t="str">
        <f t="shared" si="104"/>
        <v>978-7-5302-2187-7</v>
      </c>
      <c r="C353" s="7" t="str">
        <f t="shared" si="105"/>
        <v>长津湖</v>
      </c>
      <c r="D353" s="7" t="str">
        <f t="shared" si="106"/>
        <v>王筠著</v>
      </c>
      <c r="E353" s="7" t="str">
        <f t="shared" si="107"/>
        <v>北京十月文艺出版社</v>
      </c>
      <c r="F353" s="7" t="str">
        <f t="shared" si="108"/>
        <v>I247.52/528</v>
      </c>
    </row>
    <row r="354" customHeight="1" spans="1:6">
      <c r="A354" s="6">
        <v>353</v>
      </c>
      <c r="B354" s="8" t="s">
        <v>9942</v>
      </c>
      <c r="C354" s="8" t="s">
        <v>9943</v>
      </c>
      <c r="D354" s="8" t="s">
        <v>9944</v>
      </c>
      <c r="E354" s="8" t="s">
        <v>9881</v>
      </c>
      <c r="F354" s="8" t="s">
        <v>9945</v>
      </c>
    </row>
    <row r="355" customHeight="1" spans="1:6">
      <c r="A355" s="6">
        <v>354</v>
      </c>
      <c r="B355" s="8" t="s">
        <v>9942</v>
      </c>
      <c r="C355" s="8" t="s">
        <v>9943</v>
      </c>
      <c r="D355" s="8" t="s">
        <v>9944</v>
      </c>
      <c r="E355" s="8" t="s">
        <v>9881</v>
      </c>
      <c r="F355" s="8" t="s">
        <v>9945</v>
      </c>
    </row>
    <row r="356" customHeight="1" spans="1:6">
      <c r="A356" s="6">
        <v>355</v>
      </c>
      <c r="B356" s="8" t="s">
        <v>9942</v>
      </c>
      <c r="C356" s="8" t="s">
        <v>9943</v>
      </c>
      <c r="D356" s="8" t="s">
        <v>9944</v>
      </c>
      <c r="E356" s="8" t="s">
        <v>9881</v>
      </c>
      <c r="F356" s="8" t="s">
        <v>9945</v>
      </c>
    </row>
    <row r="357" customHeight="1" spans="1:6">
      <c r="A357" s="6">
        <v>356</v>
      </c>
      <c r="B357" s="7" t="str">
        <f>"978-7-101-15222-7"</f>
        <v>978-7-101-15222-7</v>
      </c>
      <c r="C357" s="7" t="str">
        <f>"晚清之变：天崩地坼"</f>
        <v>晚清之变：天崩地坼</v>
      </c>
      <c r="D357" s="7" t="str">
        <f t="shared" ref="D357:D360" si="109">"吕峥著"</f>
        <v>吕峥著</v>
      </c>
      <c r="E357" s="7" t="str">
        <f t="shared" ref="E357:E360" si="110">"中华书局"</f>
        <v>中华书局</v>
      </c>
      <c r="F357" s="7" t="str">
        <f>"I247.53/1109/1"</f>
        <v>I247.53/1109/1</v>
      </c>
    </row>
    <row r="358" customHeight="1" spans="1:6">
      <c r="A358" s="6">
        <v>357</v>
      </c>
      <c r="B358" s="7" t="str">
        <f>"978-7-101-15222-7"</f>
        <v>978-7-101-15222-7</v>
      </c>
      <c r="C358" s="7" t="str">
        <f>"晚清之变：天崩地坼"</f>
        <v>晚清之变：天崩地坼</v>
      </c>
      <c r="D358" s="7" t="str">
        <f t="shared" si="109"/>
        <v>吕峥著</v>
      </c>
      <c r="E358" s="7" t="str">
        <f t="shared" si="110"/>
        <v>中华书局</v>
      </c>
      <c r="F358" s="7" t="str">
        <f>"I247.53/1109/1"</f>
        <v>I247.53/1109/1</v>
      </c>
    </row>
    <row r="359" customHeight="1" spans="1:6">
      <c r="A359" s="6">
        <v>358</v>
      </c>
      <c r="B359" s="7" t="str">
        <f>"978-7-101-15289-0"</f>
        <v>978-7-101-15289-0</v>
      </c>
      <c r="C359" s="7" t="str">
        <f>"晚清之变：物换星移"</f>
        <v>晚清之变：物换星移</v>
      </c>
      <c r="D359" s="7" t="str">
        <f t="shared" si="109"/>
        <v>吕峥著</v>
      </c>
      <c r="E359" s="7" t="str">
        <f t="shared" si="110"/>
        <v>中华书局</v>
      </c>
      <c r="F359" s="7" t="str">
        <f>"I247.53/1109/2"</f>
        <v>I247.53/1109/2</v>
      </c>
    </row>
    <row r="360" customHeight="1" spans="1:6">
      <c r="A360" s="6">
        <v>359</v>
      </c>
      <c r="B360" s="7" t="str">
        <f>"978-7-101-15289-0"</f>
        <v>978-7-101-15289-0</v>
      </c>
      <c r="C360" s="7" t="str">
        <f>"晚清之变：物换星移"</f>
        <v>晚清之变：物换星移</v>
      </c>
      <c r="D360" s="7" t="str">
        <f t="shared" si="109"/>
        <v>吕峥著</v>
      </c>
      <c r="E360" s="7" t="str">
        <f t="shared" si="110"/>
        <v>中华书局</v>
      </c>
      <c r="F360" s="7" t="str">
        <f>"I247.53/1109/2"</f>
        <v>I247.53/1109/2</v>
      </c>
    </row>
    <row r="361" customHeight="1" spans="1:6">
      <c r="A361" s="6">
        <v>360</v>
      </c>
      <c r="B361" s="7" t="str">
        <f t="shared" ref="B361:B372" si="111">"978-7-5559-0308-6"</f>
        <v>978-7-5559-0308-6</v>
      </c>
      <c r="C361" s="7" t="str">
        <f t="shared" ref="C361:C363" si="112">"金瓯缺．第一卷"</f>
        <v>金瓯缺．第一卷</v>
      </c>
      <c r="D361" s="7" t="str">
        <f t="shared" ref="D361:D372" si="113">"徐兴业著；刘旦宅插图"</f>
        <v>徐兴业著；刘旦宅插图</v>
      </c>
      <c r="E361" s="7" t="str">
        <f t="shared" ref="E361:E372" si="114">"河南文艺出版社"</f>
        <v>河南文艺出版社</v>
      </c>
      <c r="F361" s="7" t="str">
        <f t="shared" ref="F361:F363" si="115">"I247.53/1110/1"</f>
        <v>I247.53/1110/1</v>
      </c>
    </row>
    <row r="362" customHeight="1" spans="1:6">
      <c r="A362" s="6">
        <v>361</v>
      </c>
      <c r="B362" s="7" t="str">
        <f t="shared" si="111"/>
        <v>978-7-5559-0308-6</v>
      </c>
      <c r="C362" s="7" t="str">
        <f t="shared" si="112"/>
        <v>金瓯缺．第一卷</v>
      </c>
      <c r="D362" s="7" t="str">
        <f t="shared" si="113"/>
        <v>徐兴业著；刘旦宅插图</v>
      </c>
      <c r="E362" s="7" t="str">
        <f t="shared" si="114"/>
        <v>河南文艺出版社</v>
      </c>
      <c r="F362" s="7" t="str">
        <f t="shared" si="115"/>
        <v>I247.53/1110/1</v>
      </c>
    </row>
    <row r="363" customHeight="1" spans="1:6">
      <c r="A363" s="6">
        <v>362</v>
      </c>
      <c r="B363" s="7" t="str">
        <f t="shared" si="111"/>
        <v>978-7-5559-0308-6</v>
      </c>
      <c r="C363" s="7" t="str">
        <f t="shared" si="112"/>
        <v>金瓯缺．第一卷</v>
      </c>
      <c r="D363" s="7" t="str">
        <f t="shared" si="113"/>
        <v>徐兴业著；刘旦宅插图</v>
      </c>
      <c r="E363" s="7" t="str">
        <f t="shared" si="114"/>
        <v>河南文艺出版社</v>
      </c>
      <c r="F363" s="7" t="str">
        <f t="shared" si="115"/>
        <v>I247.53/1110/1</v>
      </c>
    </row>
    <row r="364" customHeight="1" spans="1:6">
      <c r="A364" s="6">
        <v>363</v>
      </c>
      <c r="B364" s="7" t="str">
        <f t="shared" si="111"/>
        <v>978-7-5559-0308-6</v>
      </c>
      <c r="C364" s="7" t="str">
        <f t="shared" ref="C364:C366" si="116">"金瓯缺．第二卷"</f>
        <v>金瓯缺．第二卷</v>
      </c>
      <c r="D364" s="7" t="str">
        <f t="shared" si="113"/>
        <v>徐兴业著；刘旦宅插图</v>
      </c>
      <c r="E364" s="7" t="str">
        <f t="shared" si="114"/>
        <v>河南文艺出版社</v>
      </c>
      <c r="F364" s="7" t="str">
        <f t="shared" ref="F364:F366" si="117">"I247.53/1110/2"</f>
        <v>I247.53/1110/2</v>
      </c>
    </row>
    <row r="365" customHeight="1" spans="1:6">
      <c r="A365" s="6">
        <v>364</v>
      </c>
      <c r="B365" s="7" t="str">
        <f t="shared" si="111"/>
        <v>978-7-5559-0308-6</v>
      </c>
      <c r="C365" s="7" t="str">
        <f t="shared" si="116"/>
        <v>金瓯缺．第二卷</v>
      </c>
      <c r="D365" s="7" t="str">
        <f t="shared" si="113"/>
        <v>徐兴业著；刘旦宅插图</v>
      </c>
      <c r="E365" s="7" t="str">
        <f t="shared" si="114"/>
        <v>河南文艺出版社</v>
      </c>
      <c r="F365" s="7" t="str">
        <f t="shared" si="117"/>
        <v>I247.53/1110/2</v>
      </c>
    </row>
    <row r="366" customHeight="1" spans="1:6">
      <c r="A366" s="6">
        <v>365</v>
      </c>
      <c r="B366" s="7" t="str">
        <f t="shared" si="111"/>
        <v>978-7-5559-0308-6</v>
      </c>
      <c r="C366" s="7" t="str">
        <f t="shared" si="116"/>
        <v>金瓯缺．第二卷</v>
      </c>
      <c r="D366" s="7" t="str">
        <f t="shared" si="113"/>
        <v>徐兴业著；刘旦宅插图</v>
      </c>
      <c r="E366" s="7" t="str">
        <f t="shared" si="114"/>
        <v>河南文艺出版社</v>
      </c>
      <c r="F366" s="7" t="str">
        <f t="shared" si="117"/>
        <v>I247.53/1110/2</v>
      </c>
    </row>
    <row r="367" customHeight="1" spans="1:6">
      <c r="A367" s="6">
        <v>366</v>
      </c>
      <c r="B367" s="7" t="str">
        <f t="shared" si="111"/>
        <v>978-7-5559-0308-6</v>
      </c>
      <c r="C367" s="7" t="str">
        <f t="shared" ref="C367:C369" si="118">"金瓯缺．第三卷"</f>
        <v>金瓯缺．第三卷</v>
      </c>
      <c r="D367" s="7" t="str">
        <f t="shared" si="113"/>
        <v>徐兴业著；刘旦宅插图</v>
      </c>
      <c r="E367" s="7" t="str">
        <f t="shared" si="114"/>
        <v>河南文艺出版社</v>
      </c>
      <c r="F367" s="7" t="str">
        <f t="shared" ref="F367:F369" si="119">"I247.53/1110/3"</f>
        <v>I247.53/1110/3</v>
      </c>
    </row>
    <row r="368" customHeight="1" spans="1:6">
      <c r="A368" s="6">
        <v>367</v>
      </c>
      <c r="B368" s="7" t="str">
        <f t="shared" si="111"/>
        <v>978-7-5559-0308-6</v>
      </c>
      <c r="C368" s="7" t="str">
        <f t="shared" si="118"/>
        <v>金瓯缺．第三卷</v>
      </c>
      <c r="D368" s="7" t="str">
        <f t="shared" si="113"/>
        <v>徐兴业著；刘旦宅插图</v>
      </c>
      <c r="E368" s="7" t="str">
        <f t="shared" si="114"/>
        <v>河南文艺出版社</v>
      </c>
      <c r="F368" s="7" t="str">
        <f t="shared" si="119"/>
        <v>I247.53/1110/3</v>
      </c>
    </row>
    <row r="369" customHeight="1" spans="1:6">
      <c r="A369" s="6">
        <v>368</v>
      </c>
      <c r="B369" s="7" t="str">
        <f t="shared" si="111"/>
        <v>978-7-5559-0308-6</v>
      </c>
      <c r="C369" s="7" t="str">
        <f t="shared" si="118"/>
        <v>金瓯缺．第三卷</v>
      </c>
      <c r="D369" s="7" t="str">
        <f t="shared" si="113"/>
        <v>徐兴业著；刘旦宅插图</v>
      </c>
      <c r="E369" s="7" t="str">
        <f t="shared" si="114"/>
        <v>河南文艺出版社</v>
      </c>
      <c r="F369" s="7" t="str">
        <f t="shared" si="119"/>
        <v>I247.53/1110/3</v>
      </c>
    </row>
    <row r="370" customHeight="1" spans="1:6">
      <c r="A370" s="6">
        <v>369</v>
      </c>
      <c r="B370" s="7" t="str">
        <f t="shared" si="111"/>
        <v>978-7-5559-0308-6</v>
      </c>
      <c r="C370" s="7" t="str">
        <f t="shared" ref="C370:C372" si="120">"金瓯缺．第四卷"</f>
        <v>金瓯缺．第四卷</v>
      </c>
      <c r="D370" s="7" t="str">
        <f t="shared" si="113"/>
        <v>徐兴业著；刘旦宅插图</v>
      </c>
      <c r="E370" s="7" t="str">
        <f t="shared" si="114"/>
        <v>河南文艺出版社</v>
      </c>
      <c r="F370" s="7" t="str">
        <f t="shared" ref="F370:F372" si="121">"I247.53/1110/4"</f>
        <v>I247.53/1110/4</v>
      </c>
    </row>
    <row r="371" customHeight="1" spans="1:6">
      <c r="A371" s="6">
        <v>370</v>
      </c>
      <c r="B371" s="7" t="str">
        <f t="shared" si="111"/>
        <v>978-7-5559-0308-6</v>
      </c>
      <c r="C371" s="7" t="str">
        <f t="shared" si="120"/>
        <v>金瓯缺．第四卷</v>
      </c>
      <c r="D371" s="7" t="str">
        <f t="shared" si="113"/>
        <v>徐兴业著；刘旦宅插图</v>
      </c>
      <c r="E371" s="7" t="str">
        <f t="shared" si="114"/>
        <v>河南文艺出版社</v>
      </c>
      <c r="F371" s="7" t="str">
        <f t="shared" si="121"/>
        <v>I247.53/1110/4</v>
      </c>
    </row>
    <row r="372" customHeight="1" spans="1:6">
      <c r="A372" s="6">
        <v>371</v>
      </c>
      <c r="B372" s="7" t="str">
        <f t="shared" si="111"/>
        <v>978-7-5559-0308-6</v>
      </c>
      <c r="C372" s="7" t="str">
        <f t="shared" si="120"/>
        <v>金瓯缺．第四卷</v>
      </c>
      <c r="D372" s="7" t="str">
        <f t="shared" si="113"/>
        <v>徐兴业著；刘旦宅插图</v>
      </c>
      <c r="E372" s="7" t="str">
        <f t="shared" si="114"/>
        <v>河南文艺出版社</v>
      </c>
      <c r="F372" s="7" t="str">
        <f t="shared" si="121"/>
        <v>I247.53/1110/4</v>
      </c>
    </row>
    <row r="373" customHeight="1" spans="1:6">
      <c r="A373" s="6">
        <v>372</v>
      </c>
      <c r="B373" s="7" t="str">
        <f t="shared" ref="B373:B375" si="122">"978-7-5057-5143-9"</f>
        <v>978-7-5057-5143-9</v>
      </c>
      <c r="C373" s="7" t="str">
        <f t="shared" ref="C373:C375" si="123">"李淼罪案故事．第一卷：如坠深渊"</f>
        <v>李淼罪案故事．第一卷：如坠深渊</v>
      </c>
      <c r="D373" s="7" t="str">
        <f t="shared" ref="D373:D375" si="124">"李淼著"</f>
        <v>李淼著</v>
      </c>
      <c r="E373" s="7" t="str">
        <f t="shared" ref="E373:E375" si="125">"中国友谊出版公司"</f>
        <v>中国友谊出版公司</v>
      </c>
      <c r="F373" s="7" t="str">
        <f t="shared" ref="F373:F375" si="126">"I247.53/1111/1"</f>
        <v>I247.53/1111/1</v>
      </c>
    </row>
    <row r="374" customHeight="1" spans="1:6">
      <c r="A374" s="6">
        <v>373</v>
      </c>
      <c r="B374" s="7" t="str">
        <f t="shared" si="122"/>
        <v>978-7-5057-5143-9</v>
      </c>
      <c r="C374" s="7" t="str">
        <f t="shared" si="123"/>
        <v>李淼罪案故事．第一卷：如坠深渊</v>
      </c>
      <c r="D374" s="7" t="str">
        <f t="shared" si="124"/>
        <v>李淼著</v>
      </c>
      <c r="E374" s="7" t="str">
        <f t="shared" si="125"/>
        <v>中国友谊出版公司</v>
      </c>
      <c r="F374" s="7" t="str">
        <f t="shared" si="126"/>
        <v>I247.53/1111/1</v>
      </c>
    </row>
    <row r="375" customHeight="1" spans="1:6">
      <c r="A375" s="6">
        <v>374</v>
      </c>
      <c r="B375" s="7" t="str">
        <f t="shared" si="122"/>
        <v>978-7-5057-5143-9</v>
      </c>
      <c r="C375" s="7" t="str">
        <f t="shared" si="123"/>
        <v>李淼罪案故事．第一卷：如坠深渊</v>
      </c>
      <c r="D375" s="7" t="str">
        <f t="shared" si="124"/>
        <v>李淼著</v>
      </c>
      <c r="E375" s="7" t="str">
        <f t="shared" si="125"/>
        <v>中国友谊出版公司</v>
      </c>
      <c r="F375" s="7" t="str">
        <f t="shared" si="126"/>
        <v>I247.53/1111/1</v>
      </c>
    </row>
    <row r="376" customHeight="1" spans="1:6">
      <c r="A376" s="6">
        <v>375</v>
      </c>
      <c r="B376" s="8" t="s">
        <v>9946</v>
      </c>
      <c r="C376" s="8" t="s">
        <v>9947</v>
      </c>
      <c r="D376" s="8" t="s">
        <v>9948</v>
      </c>
      <c r="E376" s="8" t="s">
        <v>9894</v>
      </c>
      <c r="F376" s="8" t="s">
        <v>9949</v>
      </c>
    </row>
    <row r="377" customHeight="1" spans="1:6">
      <c r="A377" s="6">
        <v>376</v>
      </c>
      <c r="B377" s="8" t="s">
        <v>9946</v>
      </c>
      <c r="C377" s="8" t="s">
        <v>9947</v>
      </c>
      <c r="D377" s="8" t="s">
        <v>9948</v>
      </c>
      <c r="E377" s="8" t="s">
        <v>9894</v>
      </c>
      <c r="F377" s="8" t="s">
        <v>9949</v>
      </c>
    </row>
    <row r="378" customHeight="1" spans="1:6">
      <c r="A378" s="6">
        <v>377</v>
      </c>
      <c r="B378" s="7" t="str">
        <f>"978-7-5205-2873-3"</f>
        <v>978-7-5205-2873-3</v>
      </c>
      <c r="C378" s="7" t="str">
        <f>"赢家"</f>
        <v>赢家</v>
      </c>
      <c r="D378" s="7" t="str">
        <f>"丁力著"</f>
        <v>丁力著</v>
      </c>
      <c r="E378" s="7" t="str">
        <f>"中国文史出版社"</f>
        <v>中国文史出版社</v>
      </c>
      <c r="F378" s="7" t="str">
        <f>"I247.54/2021"</f>
        <v>I247.54/2021</v>
      </c>
    </row>
    <row r="379" customHeight="1" spans="1:6">
      <c r="A379" s="6">
        <v>378</v>
      </c>
      <c r="B379" s="7" t="str">
        <f>"978-7-5205-2873-3"</f>
        <v>978-7-5205-2873-3</v>
      </c>
      <c r="C379" s="7" t="str">
        <f>"赢家"</f>
        <v>赢家</v>
      </c>
      <c r="D379" s="7" t="str">
        <f>"丁力著"</f>
        <v>丁力著</v>
      </c>
      <c r="E379" s="7" t="str">
        <f>"中国文史出版社"</f>
        <v>中国文史出版社</v>
      </c>
      <c r="F379" s="7" t="str">
        <f>"I247.54/2021"</f>
        <v>I247.54/2021</v>
      </c>
    </row>
    <row r="380" customHeight="1" spans="1:6">
      <c r="A380" s="6">
        <v>379</v>
      </c>
      <c r="B380" s="7" t="str">
        <f>"978-7-5217-3068-5"</f>
        <v>978-7-5217-3068-5</v>
      </c>
      <c r="C380" s="7" t="str">
        <f>"零度分离"</f>
        <v>零度分离</v>
      </c>
      <c r="D380" s="7" t="str">
        <f>"伊格言著"</f>
        <v>伊格言著</v>
      </c>
      <c r="E380" s="7" t="str">
        <f>"中信出版集团股份有限公司"</f>
        <v>中信出版集团股份有限公司</v>
      </c>
      <c r="F380" s="7" t="str">
        <f>"I247.55/502"</f>
        <v>I247.55/502</v>
      </c>
    </row>
    <row r="381" customHeight="1" spans="1:6">
      <c r="A381" s="6">
        <v>380</v>
      </c>
      <c r="B381" s="7" t="str">
        <f>"978-7-5217-3068-5"</f>
        <v>978-7-5217-3068-5</v>
      </c>
      <c r="C381" s="7" t="str">
        <f>"零度分离"</f>
        <v>零度分离</v>
      </c>
      <c r="D381" s="7" t="str">
        <f>"伊格言著"</f>
        <v>伊格言著</v>
      </c>
      <c r="E381" s="7" t="str">
        <f>"中信出版集团股份有限公司"</f>
        <v>中信出版集团股份有限公司</v>
      </c>
      <c r="F381" s="7" t="str">
        <f>"I247.55/502"</f>
        <v>I247.55/502</v>
      </c>
    </row>
    <row r="382" customHeight="1" spans="1:6">
      <c r="A382" s="6">
        <v>381</v>
      </c>
      <c r="B382" s="7" t="str">
        <f>"978-7-5570-2104-7"</f>
        <v>978-7-5570-2104-7</v>
      </c>
      <c r="C382" s="7" t="str">
        <f>"酌鹿"</f>
        <v>酌鹿</v>
      </c>
      <c r="D382" s="7" t="str">
        <f>"绿野千鹤著"</f>
        <v>绿野千鹤著</v>
      </c>
      <c r="E382" s="7" t="str">
        <f t="shared" ref="E382:E388" si="127">"广东旅游出版社"</f>
        <v>广东旅游出版社</v>
      </c>
      <c r="F382" s="7" t="str">
        <f>"I247.55/503"</f>
        <v>I247.55/503</v>
      </c>
    </row>
    <row r="383" customHeight="1" spans="1:6">
      <c r="A383" s="6">
        <v>382</v>
      </c>
      <c r="B383" s="7" t="str">
        <f>"978-7-5570-2104-7"</f>
        <v>978-7-5570-2104-7</v>
      </c>
      <c r="C383" s="7" t="str">
        <f>"酌鹿"</f>
        <v>酌鹿</v>
      </c>
      <c r="D383" s="7" t="str">
        <f>"绿野千鹤著"</f>
        <v>绿野千鹤著</v>
      </c>
      <c r="E383" s="7" t="str">
        <f t="shared" si="127"/>
        <v>广东旅游出版社</v>
      </c>
      <c r="F383" s="7" t="str">
        <f>"I247.55/503"</f>
        <v>I247.55/503</v>
      </c>
    </row>
    <row r="384" customHeight="1" spans="1:6">
      <c r="A384" s="6">
        <v>383</v>
      </c>
      <c r="B384" s="7" t="str">
        <f t="shared" ref="B384:B386" si="128">"978-7-5702-1842-4"</f>
        <v>978-7-5702-1842-4</v>
      </c>
      <c r="C384" s="7" t="str">
        <f t="shared" ref="C384:C386" si="129">"地球之眼"</f>
        <v>地球之眼</v>
      </c>
      <c r="D384" s="7" t="str">
        <f t="shared" ref="D384:D386" si="130">"石一枫著"</f>
        <v>石一枫著</v>
      </c>
      <c r="E384" s="7" t="str">
        <f t="shared" ref="E384:E386" si="131">"长江文艺出版社"</f>
        <v>长江文艺出版社</v>
      </c>
      <c r="F384" s="7" t="str">
        <f t="shared" ref="F384:F386" si="132">"I247.57/10458-2"</f>
        <v>I247.57/10458-2</v>
      </c>
    </row>
    <row r="385" customHeight="1" spans="1:6">
      <c r="A385" s="6">
        <v>384</v>
      </c>
      <c r="B385" s="7" t="str">
        <f t="shared" si="128"/>
        <v>978-7-5702-1842-4</v>
      </c>
      <c r="C385" s="7" t="str">
        <f t="shared" si="129"/>
        <v>地球之眼</v>
      </c>
      <c r="D385" s="7" t="str">
        <f t="shared" si="130"/>
        <v>石一枫著</v>
      </c>
      <c r="E385" s="7" t="str">
        <f t="shared" si="131"/>
        <v>长江文艺出版社</v>
      </c>
      <c r="F385" s="7" t="str">
        <f t="shared" si="132"/>
        <v>I247.57/10458-2</v>
      </c>
    </row>
    <row r="386" customHeight="1" spans="1:6">
      <c r="A386" s="6">
        <v>385</v>
      </c>
      <c r="B386" s="7" t="str">
        <f t="shared" si="128"/>
        <v>978-7-5702-1842-4</v>
      </c>
      <c r="C386" s="7" t="str">
        <f t="shared" si="129"/>
        <v>地球之眼</v>
      </c>
      <c r="D386" s="7" t="str">
        <f t="shared" si="130"/>
        <v>石一枫著</v>
      </c>
      <c r="E386" s="7" t="str">
        <f t="shared" si="131"/>
        <v>长江文艺出版社</v>
      </c>
      <c r="F386" s="7" t="str">
        <f t="shared" si="132"/>
        <v>I247.57/10458-2</v>
      </c>
    </row>
    <row r="387" customHeight="1" spans="1:6">
      <c r="A387" s="6">
        <v>386</v>
      </c>
      <c r="B387" s="9" t="str">
        <f>"978-7-5570-2502-1"</f>
        <v>978-7-5570-2502-1</v>
      </c>
      <c r="C387" s="9" t="str">
        <f>"解药．2"</f>
        <v>解药．2</v>
      </c>
      <c r="D387" s="9" t="str">
        <f>"巫哲著"</f>
        <v>巫哲著</v>
      </c>
      <c r="E387" s="9" t="str">
        <f t="shared" si="127"/>
        <v>广东旅游出版社</v>
      </c>
      <c r="F387" s="9" t="str">
        <f>"I247.57/10990/2"</f>
        <v>I247.57/10990/2</v>
      </c>
    </row>
    <row r="388" customHeight="1" spans="1:6">
      <c r="A388" s="6">
        <v>387</v>
      </c>
      <c r="B388" s="9" t="str">
        <f>"978-7-5570-2502-1"</f>
        <v>978-7-5570-2502-1</v>
      </c>
      <c r="C388" s="9" t="str">
        <f>"解药．2"</f>
        <v>解药．2</v>
      </c>
      <c r="D388" s="9" t="str">
        <f>"巫哲著"</f>
        <v>巫哲著</v>
      </c>
      <c r="E388" s="9" t="str">
        <f t="shared" si="127"/>
        <v>广东旅游出版社</v>
      </c>
      <c r="F388" s="9" t="str">
        <f>"I247.57/10990/2"</f>
        <v>I247.57/10990/2</v>
      </c>
    </row>
    <row r="389" customHeight="1" spans="1:6">
      <c r="A389" s="6">
        <v>388</v>
      </c>
      <c r="B389" s="7" t="str">
        <f t="shared" ref="B389:B391" si="133">"978-7-5404-8758-4"</f>
        <v>978-7-5404-8758-4</v>
      </c>
      <c r="C389" s="7" t="str">
        <f t="shared" ref="C389:C391" si="134">"石榴树上结樱桃"</f>
        <v>石榴树上结樱桃</v>
      </c>
      <c r="D389" s="7" t="str">
        <f t="shared" ref="D389:D391" si="135">"李洱著"</f>
        <v>李洱著</v>
      </c>
      <c r="E389" s="7" t="str">
        <f t="shared" ref="E389:E391" si="136">"湖南文艺出版社"</f>
        <v>湖南文艺出版社</v>
      </c>
      <c r="F389" s="7" t="str">
        <f t="shared" ref="F389:F391" si="137">"I247.57/11014-2"</f>
        <v>I247.57/11014-2</v>
      </c>
    </row>
    <row r="390" customHeight="1" spans="1:6">
      <c r="A390" s="6">
        <v>389</v>
      </c>
      <c r="B390" s="7" t="str">
        <f t="shared" si="133"/>
        <v>978-7-5404-8758-4</v>
      </c>
      <c r="C390" s="7" t="str">
        <f t="shared" si="134"/>
        <v>石榴树上结樱桃</v>
      </c>
      <c r="D390" s="7" t="str">
        <f t="shared" si="135"/>
        <v>李洱著</v>
      </c>
      <c r="E390" s="7" t="str">
        <f t="shared" si="136"/>
        <v>湖南文艺出版社</v>
      </c>
      <c r="F390" s="7" t="str">
        <f t="shared" si="137"/>
        <v>I247.57/11014-2</v>
      </c>
    </row>
    <row r="391" customHeight="1" spans="1:6">
      <c r="A391" s="6">
        <v>390</v>
      </c>
      <c r="B391" s="7" t="str">
        <f t="shared" si="133"/>
        <v>978-7-5404-8758-4</v>
      </c>
      <c r="C391" s="7" t="str">
        <f t="shared" si="134"/>
        <v>石榴树上结樱桃</v>
      </c>
      <c r="D391" s="7" t="str">
        <f t="shared" si="135"/>
        <v>李洱著</v>
      </c>
      <c r="E391" s="7" t="str">
        <f t="shared" si="136"/>
        <v>湖南文艺出版社</v>
      </c>
      <c r="F391" s="7" t="str">
        <f t="shared" si="137"/>
        <v>I247.57/11014-2</v>
      </c>
    </row>
    <row r="392" customHeight="1" spans="1:6">
      <c r="A392" s="6">
        <v>391</v>
      </c>
      <c r="B392" s="7" t="str">
        <f>"978-7-02-011816-8"</f>
        <v>978-7-02-011816-8</v>
      </c>
      <c r="C392" s="7" t="str">
        <f>"无愁河的浪荡汉子．走读．2"</f>
        <v>无愁河的浪荡汉子．走读．2</v>
      </c>
      <c r="D392" s="7" t="str">
        <f>"黄永玉著"</f>
        <v>黄永玉著</v>
      </c>
      <c r="E392" s="7" t="str">
        <f>"人民文学出版社"</f>
        <v>人民文学出版社</v>
      </c>
      <c r="F392" s="7" t="str">
        <f>"I247.57/11052/2"</f>
        <v>I247.57/11052/2</v>
      </c>
    </row>
    <row r="393" customHeight="1" spans="1:6">
      <c r="A393" s="6">
        <v>392</v>
      </c>
      <c r="B393" s="7" t="str">
        <f>"978-7-02-011816-8"</f>
        <v>978-7-02-011816-8</v>
      </c>
      <c r="C393" s="7" t="str">
        <f>"无愁河的浪荡汉子．走读．2"</f>
        <v>无愁河的浪荡汉子．走读．2</v>
      </c>
      <c r="D393" s="7" t="str">
        <f>"黄永玉著"</f>
        <v>黄永玉著</v>
      </c>
      <c r="E393" s="7" t="str">
        <f>"人民文学出版社"</f>
        <v>人民文学出版社</v>
      </c>
      <c r="F393" s="7" t="str">
        <f>"I247.57/11052/2"</f>
        <v>I247.57/11052/2</v>
      </c>
    </row>
    <row r="394" customHeight="1" spans="1:6">
      <c r="A394" s="6">
        <v>393</v>
      </c>
      <c r="B394" s="9" t="str">
        <f t="shared" ref="B394:B396" si="138">"978-7-5570-2414-7"</f>
        <v>978-7-5570-2414-7</v>
      </c>
      <c r="C394" s="9" t="str">
        <f t="shared" ref="C394:C396" si="139">"FOG迷雾之中"</f>
        <v>FOG迷雾之中</v>
      </c>
      <c r="D394" s="9" t="str">
        <f t="shared" ref="D394:D396" si="140">"漫漫何其多著"</f>
        <v>漫漫何其多著</v>
      </c>
      <c r="E394" s="9" t="str">
        <f t="shared" ref="E394:E396" si="141">"广东旅游出版社"</f>
        <v>广东旅游出版社</v>
      </c>
      <c r="F394" s="9" t="str">
        <f t="shared" ref="F394:F396" si="142">"I247.57/11057"</f>
        <v>I247.57/11057</v>
      </c>
    </row>
    <row r="395" customHeight="1" spans="1:6">
      <c r="A395" s="6">
        <v>394</v>
      </c>
      <c r="B395" s="9" t="str">
        <f t="shared" si="138"/>
        <v>978-7-5570-2414-7</v>
      </c>
      <c r="C395" s="9" t="str">
        <f t="shared" si="139"/>
        <v>FOG迷雾之中</v>
      </c>
      <c r="D395" s="9" t="str">
        <f t="shared" si="140"/>
        <v>漫漫何其多著</v>
      </c>
      <c r="E395" s="9" t="str">
        <f t="shared" si="141"/>
        <v>广东旅游出版社</v>
      </c>
      <c r="F395" s="9" t="str">
        <f t="shared" si="142"/>
        <v>I247.57/11057</v>
      </c>
    </row>
    <row r="396" customHeight="1" spans="1:6">
      <c r="A396" s="6">
        <v>395</v>
      </c>
      <c r="B396" s="9" t="str">
        <f t="shared" si="138"/>
        <v>978-7-5570-2414-7</v>
      </c>
      <c r="C396" s="9" t="str">
        <f t="shared" si="139"/>
        <v>FOG迷雾之中</v>
      </c>
      <c r="D396" s="9" t="str">
        <f t="shared" si="140"/>
        <v>漫漫何其多著</v>
      </c>
      <c r="E396" s="9" t="str">
        <f t="shared" si="141"/>
        <v>广东旅游出版社</v>
      </c>
      <c r="F396" s="9" t="str">
        <f t="shared" si="142"/>
        <v>I247.57/11057</v>
      </c>
    </row>
    <row r="397" customHeight="1" spans="1:6">
      <c r="A397" s="6">
        <v>396</v>
      </c>
      <c r="B397" s="9" t="str">
        <f>"978-7-5212-1000-2"</f>
        <v>978-7-5212-1000-2</v>
      </c>
      <c r="C397" s="9" t="str">
        <f>"艺术圈"</f>
        <v>艺术圈</v>
      </c>
      <c r="D397" s="9" t="str">
        <f>"傅泽刚著"</f>
        <v>傅泽刚著</v>
      </c>
      <c r="E397" s="9" t="str">
        <f t="shared" ref="E397:E403" si="143">"作家出版社"</f>
        <v>作家出版社</v>
      </c>
      <c r="F397" s="9" t="str">
        <f>"I247.57/11058"</f>
        <v>I247.57/11058</v>
      </c>
    </row>
    <row r="398" customHeight="1" spans="1:6">
      <c r="A398" s="6">
        <v>397</v>
      </c>
      <c r="B398" s="9" t="str">
        <f>"978-7-5212-1000-2"</f>
        <v>978-7-5212-1000-2</v>
      </c>
      <c r="C398" s="9" t="str">
        <f>"艺术圈"</f>
        <v>艺术圈</v>
      </c>
      <c r="D398" s="9" t="str">
        <f>"傅泽刚著"</f>
        <v>傅泽刚著</v>
      </c>
      <c r="E398" s="9" t="str">
        <f t="shared" si="143"/>
        <v>作家出版社</v>
      </c>
      <c r="F398" s="9" t="str">
        <f>"I247.57/11058"</f>
        <v>I247.57/11058</v>
      </c>
    </row>
    <row r="399" customHeight="1" spans="1:6">
      <c r="A399" s="6">
        <v>398</v>
      </c>
      <c r="B399" s="7" t="str">
        <f>"978-7-5212-1515-1"</f>
        <v>978-7-5212-1515-1</v>
      </c>
      <c r="C399" s="7" t="str">
        <f>"白墙"</f>
        <v>白墙</v>
      </c>
      <c r="D399" s="7" t="str">
        <f>"代雨东著"</f>
        <v>代雨东著</v>
      </c>
      <c r="E399" s="7" t="str">
        <f t="shared" si="143"/>
        <v>作家出版社</v>
      </c>
      <c r="F399" s="7" t="str">
        <f>"I247.57/11059"</f>
        <v>I247.57/11059</v>
      </c>
    </row>
    <row r="400" customHeight="1" spans="1:6">
      <c r="A400" s="6">
        <v>399</v>
      </c>
      <c r="B400" s="7" t="str">
        <f>"978-7-5212-1515-1"</f>
        <v>978-7-5212-1515-1</v>
      </c>
      <c r="C400" s="7" t="str">
        <f>"白墙"</f>
        <v>白墙</v>
      </c>
      <c r="D400" s="7" t="str">
        <f>"代雨东著"</f>
        <v>代雨东著</v>
      </c>
      <c r="E400" s="7" t="str">
        <f t="shared" si="143"/>
        <v>作家出版社</v>
      </c>
      <c r="F400" s="7" t="str">
        <f>"I247.57/11059"</f>
        <v>I247.57/11059</v>
      </c>
    </row>
    <row r="401" customHeight="1" spans="1:6">
      <c r="A401" s="6">
        <v>400</v>
      </c>
      <c r="B401" s="7" t="str">
        <f t="shared" ref="B401:B403" si="144">"978-7-5212-1050-7"</f>
        <v>978-7-5212-1050-7</v>
      </c>
      <c r="C401" s="7" t="str">
        <f t="shared" ref="C401:C403" si="145">"女工绘"</f>
        <v>女工绘</v>
      </c>
      <c r="D401" s="7" t="str">
        <f t="shared" ref="D401:D403" si="146">"刘庆邦著"</f>
        <v>刘庆邦著</v>
      </c>
      <c r="E401" s="7" t="str">
        <f t="shared" si="143"/>
        <v>作家出版社</v>
      </c>
      <c r="F401" s="7" t="str">
        <f t="shared" ref="F401:F403" si="147">"I247.57/11060"</f>
        <v>I247.57/11060</v>
      </c>
    </row>
    <row r="402" customHeight="1" spans="1:6">
      <c r="A402" s="6">
        <v>401</v>
      </c>
      <c r="B402" s="7" t="str">
        <f t="shared" si="144"/>
        <v>978-7-5212-1050-7</v>
      </c>
      <c r="C402" s="7" t="str">
        <f t="shared" si="145"/>
        <v>女工绘</v>
      </c>
      <c r="D402" s="7" t="str">
        <f t="shared" si="146"/>
        <v>刘庆邦著</v>
      </c>
      <c r="E402" s="7" t="str">
        <f t="shared" si="143"/>
        <v>作家出版社</v>
      </c>
      <c r="F402" s="7" t="str">
        <f t="shared" si="147"/>
        <v>I247.57/11060</v>
      </c>
    </row>
    <row r="403" customHeight="1" spans="1:6">
      <c r="A403" s="6">
        <v>402</v>
      </c>
      <c r="B403" s="7" t="str">
        <f t="shared" si="144"/>
        <v>978-7-5212-1050-7</v>
      </c>
      <c r="C403" s="7" t="str">
        <f t="shared" si="145"/>
        <v>女工绘</v>
      </c>
      <c r="D403" s="7" t="str">
        <f t="shared" si="146"/>
        <v>刘庆邦著</v>
      </c>
      <c r="E403" s="7" t="str">
        <f t="shared" si="143"/>
        <v>作家出版社</v>
      </c>
      <c r="F403" s="7" t="str">
        <f t="shared" si="147"/>
        <v>I247.57/11060</v>
      </c>
    </row>
    <row r="404" customHeight="1" spans="1:6">
      <c r="A404" s="6">
        <v>403</v>
      </c>
      <c r="B404" s="7" t="str">
        <f>"978-7-5500-4229-2"</f>
        <v>978-7-5500-4229-2</v>
      </c>
      <c r="C404" s="7" t="str">
        <f>"沉默的橡树"</f>
        <v>沉默的橡树</v>
      </c>
      <c r="D404" s="7" t="str">
        <f>"蒿客著"</f>
        <v>蒿客著</v>
      </c>
      <c r="E404" s="7" t="str">
        <f>"百花洲文艺出版社"</f>
        <v>百花洲文艺出版社</v>
      </c>
      <c r="F404" s="7" t="str">
        <f>"I247.57/11061"</f>
        <v>I247.57/11061</v>
      </c>
    </row>
    <row r="405" customHeight="1" spans="1:6">
      <c r="A405" s="6">
        <v>404</v>
      </c>
      <c r="B405" s="7" t="str">
        <f>"978-7-5500-4229-2"</f>
        <v>978-7-5500-4229-2</v>
      </c>
      <c r="C405" s="7" t="str">
        <f>"沉默的橡树"</f>
        <v>沉默的橡树</v>
      </c>
      <c r="D405" s="7" t="str">
        <f>"蒿客著"</f>
        <v>蒿客著</v>
      </c>
      <c r="E405" s="7" t="str">
        <f>"百花洲文艺出版社"</f>
        <v>百花洲文艺出版社</v>
      </c>
      <c r="F405" s="7" t="str">
        <f>"I247.57/11061"</f>
        <v>I247.57/11061</v>
      </c>
    </row>
    <row r="406" customHeight="1" spans="1:6">
      <c r="A406" s="6">
        <v>405</v>
      </c>
      <c r="B406" s="7" t="str">
        <f t="shared" ref="B406:B408" si="148">"978-7-5008-7674-8"</f>
        <v>978-7-5008-7674-8</v>
      </c>
      <c r="C406" s="7" t="str">
        <f t="shared" ref="C406:C408" si="149">"中国智造"</f>
        <v>中国智造</v>
      </c>
      <c r="D406" s="7" t="str">
        <f t="shared" ref="D406:D408" si="150">"黄秀萍著"</f>
        <v>黄秀萍著</v>
      </c>
      <c r="E406" s="7" t="str">
        <f t="shared" ref="E406:E408" si="151">"中国工人出版社"</f>
        <v>中国工人出版社</v>
      </c>
      <c r="F406" s="7" t="str">
        <f t="shared" ref="F406:F408" si="152">"I247.57/11062"</f>
        <v>I247.57/11062</v>
      </c>
    </row>
    <row r="407" customHeight="1" spans="1:6">
      <c r="A407" s="6">
        <v>406</v>
      </c>
      <c r="B407" s="7" t="str">
        <f t="shared" si="148"/>
        <v>978-7-5008-7674-8</v>
      </c>
      <c r="C407" s="7" t="str">
        <f t="shared" si="149"/>
        <v>中国智造</v>
      </c>
      <c r="D407" s="7" t="str">
        <f t="shared" si="150"/>
        <v>黄秀萍著</v>
      </c>
      <c r="E407" s="7" t="str">
        <f t="shared" si="151"/>
        <v>中国工人出版社</v>
      </c>
      <c r="F407" s="7" t="str">
        <f t="shared" si="152"/>
        <v>I247.57/11062</v>
      </c>
    </row>
    <row r="408" customHeight="1" spans="1:6">
      <c r="A408" s="6">
        <v>407</v>
      </c>
      <c r="B408" s="7" t="str">
        <f t="shared" si="148"/>
        <v>978-7-5008-7674-8</v>
      </c>
      <c r="C408" s="7" t="str">
        <f t="shared" si="149"/>
        <v>中国智造</v>
      </c>
      <c r="D408" s="7" t="str">
        <f t="shared" si="150"/>
        <v>黄秀萍著</v>
      </c>
      <c r="E408" s="7" t="str">
        <f t="shared" si="151"/>
        <v>中国工人出版社</v>
      </c>
      <c r="F408" s="7" t="str">
        <f t="shared" si="152"/>
        <v>I247.57/11062</v>
      </c>
    </row>
    <row r="409" customHeight="1" spans="1:6">
      <c r="A409" s="6">
        <v>408</v>
      </c>
      <c r="B409" s="7" t="str">
        <f t="shared" ref="B409:B411" si="153">"978-7-5143-9137-4"</f>
        <v>978-7-5143-9137-4</v>
      </c>
      <c r="C409" s="7" t="str">
        <f t="shared" ref="C409:C411" si="154">"双赢"</f>
        <v>双赢</v>
      </c>
      <c r="D409" s="7" t="str">
        <f t="shared" ref="D409:D411" si="155">"何常在著"</f>
        <v>何常在著</v>
      </c>
      <c r="E409" s="7" t="str">
        <f t="shared" ref="E409:E411" si="156">"现代出版社"</f>
        <v>现代出版社</v>
      </c>
      <c r="F409" s="7" t="str">
        <f t="shared" ref="F409:F411" si="157">"I247.57/11063"</f>
        <v>I247.57/11063</v>
      </c>
    </row>
    <row r="410" customHeight="1" spans="1:6">
      <c r="A410" s="6">
        <v>409</v>
      </c>
      <c r="B410" s="7" t="str">
        <f t="shared" si="153"/>
        <v>978-7-5143-9137-4</v>
      </c>
      <c r="C410" s="7" t="str">
        <f t="shared" si="154"/>
        <v>双赢</v>
      </c>
      <c r="D410" s="7" t="str">
        <f t="shared" si="155"/>
        <v>何常在著</v>
      </c>
      <c r="E410" s="7" t="str">
        <f t="shared" si="156"/>
        <v>现代出版社</v>
      </c>
      <c r="F410" s="7" t="str">
        <f t="shared" si="157"/>
        <v>I247.57/11063</v>
      </c>
    </row>
    <row r="411" customHeight="1" spans="1:6">
      <c r="A411" s="6">
        <v>410</v>
      </c>
      <c r="B411" s="7" t="str">
        <f t="shared" si="153"/>
        <v>978-7-5143-9137-4</v>
      </c>
      <c r="C411" s="7" t="str">
        <f t="shared" si="154"/>
        <v>双赢</v>
      </c>
      <c r="D411" s="7" t="str">
        <f t="shared" si="155"/>
        <v>何常在著</v>
      </c>
      <c r="E411" s="7" t="str">
        <f t="shared" si="156"/>
        <v>现代出版社</v>
      </c>
      <c r="F411" s="7" t="str">
        <f t="shared" si="157"/>
        <v>I247.57/11063</v>
      </c>
    </row>
    <row r="412" customHeight="1" spans="1:6">
      <c r="A412" s="6">
        <v>411</v>
      </c>
      <c r="B412" s="7" t="str">
        <f>"978-7-5594-5047-0"</f>
        <v>978-7-5594-5047-0</v>
      </c>
      <c r="C412" s="7" t="str">
        <f>"一生一世江南老"</f>
        <v>一生一世江南老</v>
      </c>
      <c r="D412" s="7" t="str">
        <f>"墨宝非宝著"</f>
        <v>墨宝非宝著</v>
      </c>
      <c r="E412" s="7" t="str">
        <f t="shared" ref="E412:E415" si="158">"江苏凤凰文艺出版社"</f>
        <v>江苏凤凰文艺出版社</v>
      </c>
      <c r="F412" s="7" t="str">
        <f>"I247.57/11064"</f>
        <v>I247.57/11064</v>
      </c>
    </row>
    <row r="413" customHeight="1" spans="1:6">
      <c r="A413" s="6">
        <v>412</v>
      </c>
      <c r="B413" s="7" t="str">
        <f>"978-7-5594-5047-0"</f>
        <v>978-7-5594-5047-0</v>
      </c>
      <c r="C413" s="7" t="str">
        <f>"一生一世江南老"</f>
        <v>一生一世江南老</v>
      </c>
      <c r="D413" s="7" t="str">
        <f>"墨宝非宝著"</f>
        <v>墨宝非宝著</v>
      </c>
      <c r="E413" s="7" t="str">
        <f t="shared" si="158"/>
        <v>江苏凤凰文艺出版社</v>
      </c>
      <c r="F413" s="7" t="str">
        <f>"I247.57/11064"</f>
        <v>I247.57/11064</v>
      </c>
    </row>
    <row r="414" customHeight="1" spans="1:6">
      <c r="A414" s="6">
        <v>413</v>
      </c>
      <c r="B414" s="7" t="str">
        <f>"978-7-5594-5974-9"</f>
        <v>978-7-5594-5974-9</v>
      </c>
      <c r="C414" s="7" t="str">
        <f>"理想之城"</f>
        <v>理想之城</v>
      </c>
      <c r="D414" s="7" t="str">
        <f>"若花燃燃著"</f>
        <v>若花燃燃著</v>
      </c>
      <c r="E414" s="7" t="str">
        <f t="shared" si="158"/>
        <v>江苏凤凰文艺出版社</v>
      </c>
      <c r="F414" s="7" t="str">
        <f>"I247.57/11065"</f>
        <v>I247.57/11065</v>
      </c>
    </row>
    <row r="415" customHeight="1" spans="1:6">
      <c r="A415" s="6">
        <v>414</v>
      </c>
      <c r="B415" s="7" t="str">
        <f>"978-7-5594-5974-9"</f>
        <v>978-7-5594-5974-9</v>
      </c>
      <c r="C415" s="7" t="str">
        <f>"理想之城"</f>
        <v>理想之城</v>
      </c>
      <c r="D415" s="7" t="str">
        <f>"若花燃燃著"</f>
        <v>若花燃燃著</v>
      </c>
      <c r="E415" s="7" t="str">
        <f t="shared" si="158"/>
        <v>江苏凤凰文艺出版社</v>
      </c>
      <c r="F415" s="7" t="str">
        <f>"I247.57/11065"</f>
        <v>I247.57/11065</v>
      </c>
    </row>
    <row r="416" customHeight="1" spans="1:6">
      <c r="A416" s="6">
        <v>415</v>
      </c>
      <c r="B416" s="7" t="str">
        <f t="shared" ref="B416:B419" si="159">"978-7-5500-2104-4"</f>
        <v>978-7-5500-2104-4</v>
      </c>
      <c r="C416" s="7" t="str">
        <f>"他来了请闭眼之暗粼．上"</f>
        <v>他来了请闭眼之暗粼．上</v>
      </c>
      <c r="D416" s="7" t="str">
        <f t="shared" ref="D416:D419" si="160">"丁墨著"</f>
        <v>丁墨著</v>
      </c>
      <c r="E416" s="7" t="str">
        <f t="shared" ref="E416:E419" si="161">"百花洲文艺出版社"</f>
        <v>百花洲文艺出版社</v>
      </c>
      <c r="F416" s="7" t="str">
        <f>"I247.57/11066/1"</f>
        <v>I247.57/11066/1</v>
      </c>
    </row>
    <row r="417" customHeight="1" spans="1:6">
      <c r="A417" s="6">
        <v>416</v>
      </c>
      <c r="B417" s="7" t="str">
        <f t="shared" si="159"/>
        <v>978-7-5500-2104-4</v>
      </c>
      <c r="C417" s="7" t="str">
        <f>"他来了请闭眼之暗粼．上"</f>
        <v>他来了请闭眼之暗粼．上</v>
      </c>
      <c r="D417" s="7" t="str">
        <f t="shared" si="160"/>
        <v>丁墨著</v>
      </c>
      <c r="E417" s="7" t="str">
        <f t="shared" si="161"/>
        <v>百花洲文艺出版社</v>
      </c>
      <c r="F417" s="7" t="str">
        <f>"I247.57/11066/1"</f>
        <v>I247.57/11066/1</v>
      </c>
    </row>
    <row r="418" customHeight="1" spans="1:6">
      <c r="A418" s="6">
        <v>417</v>
      </c>
      <c r="B418" s="7" t="str">
        <f t="shared" si="159"/>
        <v>978-7-5500-2104-4</v>
      </c>
      <c r="C418" s="7" t="str">
        <f>"他来了请闭眼之暗粼．下"</f>
        <v>他来了请闭眼之暗粼．下</v>
      </c>
      <c r="D418" s="7" t="str">
        <f t="shared" si="160"/>
        <v>丁墨著</v>
      </c>
      <c r="E418" s="7" t="str">
        <f t="shared" si="161"/>
        <v>百花洲文艺出版社</v>
      </c>
      <c r="F418" s="7" t="str">
        <f>"I247.57/11066/2"</f>
        <v>I247.57/11066/2</v>
      </c>
    </row>
    <row r="419" customHeight="1" spans="1:6">
      <c r="A419" s="6">
        <v>418</v>
      </c>
      <c r="B419" s="7" t="str">
        <f t="shared" si="159"/>
        <v>978-7-5500-2104-4</v>
      </c>
      <c r="C419" s="7" t="str">
        <f>"他来了请闭眼之暗粼．下"</f>
        <v>他来了请闭眼之暗粼．下</v>
      </c>
      <c r="D419" s="7" t="str">
        <f t="shared" si="160"/>
        <v>丁墨著</v>
      </c>
      <c r="E419" s="7" t="str">
        <f t="shared" si="161"/>
        <v>百花洲文艺出版社</v>
      </c>
      <c r="F419" s="7" t="str">
        <f>"I247.57/11066/2"</f>
        <v>I247.57/11066/2</v>
      </c>
    </row>
    <row r="420" customHeight="1" spans="1:6">
      <c r="A420" s="6">
        <v>419</v>
      </c>
      <c r="B420" s="7" t="str">
        <f t="shared" ref="B420:B423" si="162">"978-7-5212-0924-2"</f>
        <v>978-7-5212-0924-2</v>
      </c>
      <c r="C420" s="7" t="str">
        <f>"医术．卷一"</f>
        <v>医术．卷一</v>
      </c>
      <c r="D420" s="7" t="str">
        <f t="shared" ref="D420:D423" si="163">"向林著"</f>
        <v>向林著</v>
      </c>
      <c r="E420" s="7" t="str">
        <f t="shared" ref="E420:E423" si="164">"作家出版社"</f>
        <v>作家出版社</v>
      </c>
      <c r="F420" s="7" t="str">
        <f>"I247.57/11068/1"</f>
        <v>I247.57/11068/1</v>
      </c>
    </row>
    <row r="421" customHeight="1" spans="1:6">
      <c r="A421" s="6">
        <v>420</v>
      </c>
      <c r="B421" s="7" t="str">
        <f t="shared" si="162"/>
        <v>978-7-5212-0924-2</v>
      </c>
      <c r="C421" s="7" t="str">
        <f>"医术．卷一"</f>
        <v>医术．卷一</v>
      </c>
      <c r="D421" s="7" t="str">
        <f t="shared" si="163"/>
        <v>向林著</v>
      </c>
      <c r="E421" s="7" t="str">
        <f t="shared" si="164"/>
        <v>作家出版社</v>
      </c>
      <c r="F421" s="7" t="str">
        <f>"I247.57/11068/1"</f>
        <v>I247.57/11068/1</v>
      </c>
    </row>
    <row r="422" customHeight="1" spans="1:6">
      <c r="A422" s="6">
        <v>421</v>
      </c>
      <c r="B422" s="7" t="str">
        <f t="shared" si="162"/>
        <v>978-7-5212-0924-2</v>
      </c>
      <c r="C422" s="7" t="str">
        <f>"医术．卷二"</f>
        <v>医术．卷二</v>
      </c>
      <c r="D422" s="7" t="str">
        <f t="shared" si="163"/>
        <v>向林著</v>
      </c>
      <c r="E422" s="7" t="str">
        <f t="shared" si="164"/>
        <v>作家出版社</v>
      </c>
      <c r="F422" s="7" t="str">
        <f>"I247.57/11068/2"</f>
        <v>I247.57/11068/2</v>
      </c>
    </row>
    <row r="423" customHeight="1" spans="1:6">
      <c r="A423" s="6">
        <v>422</v>
      </c>
      <c r="B423" s="7" t="str">
        <f t="shared" si="162"/>
        <v>978-7-5212-0924-2</v>
      </c>
      <c r="C423" s="7" t="str">
        <f>"医术．卷二"</f>
        <v>医术．卷二</v>
      </c>
      <c r="D423" s="7" t="str">
        <f t="shared" si="163"/>
        <v>向林著</v>
      </c>
      <c r="E423" s="7" t="str">
        <f t="shared" si="164"/>
        <v>作家出版社</v>
      </c>
      <c r="F423" s="7" t="str">
        <f>"I247.57/11068/2"</f>
        <v>I247.57/11068/2</v>
      </c>
    </row>
    <row r="424" customHeight="1" spans="1:6">
      <c r="A424" s="6">
        <v>423</v>
      </c>
      <c r="B424" s="7" t="str">
        <f>"978-7-5057-5210-8"</f>
        <v>978-7-5057-5210-8</v>
      </c>
      <c r="C424" s="7" t="str">
        <f>"知青变形记"</f>
        <v>知青变形记</v>
      </c>
      <c r="D424" s="7" t="str">
        <f>"韩东著"</f>
        <v>韩东著</v>
      </c>
      <c r="E424" s="7" t="str">
        <f>"中国友谊出版公司"</f>
        <v>中国友谊出版公司</v>
      </c>
      <c r="F424" s="7" t="str">
        <f>"I247.57/11069"</f>
        <v>I247.57/11069</v>
      </c>
    </row>
    <row r="425" customHeight="1" spans="1:6">
      <c r="A425" s="6">
        <v>424</v>
      </c>
      <c r="B425" s="7" t="str">
        <f>"978-7-5057-5210-8"</f>
        <v>978-7-5057-5210-8</v>
      </c>
      <c r="C425" s="7" t="str">
        <f>"知青变形记"</f>
        <v>知青变形记</v>
      </c>
      <c r="D425" s="7" t="str">
        <f>"韩东著"</f>
        <v>韩东著</v>
      </c>
      <c r="E425" s="7" t="str">
        <f>"中国友谊出版公司"</f>
        <v>中国友谊出版公司</v>
      </c>
      <c r="F425" s="7" t="str">
        <f>"I247.57/11069"</f>
        <v>I247.57/11069</v>
      </c>
    </row>
    <row r="426" customHeight="1" spans="1:6">
      <c r="A426" s="6">
        <v>425</v>
      </c>
      <c r="B426" s="7" t="str">
        <f>"978-7-210-12385-9"</f>
        <v>978-7-210-12385-9</v>
      </c>
      <c r="C426" s="7" t="str">
        <f>"琵琶围"</f>
        <v>琵琶围</v>
      </c>
      <c r="D426" s="7" t="str">
        <f>"温燕霞著"</f>
        <v>温燕霞著</v>
      </c>
      <c r="E426" s="7" t="str">
        <f>"江西人民出版社"</f>
        <v>江西人民出版社</v>
      </c>
      <c r="F426" s="7" t="str">
        <f>"I247.57/11070"</f>
        <v>I247.57/11070</v>
      </c>
    </row>
    <row r="427" customHeight="1" spans="1:6">
      <c r="A427" s="6">
        <v>426</v>
      </c>
      <c r="B427" s="7" t="str">
        <f>"978-7-210-12385-9"</f>
        <v>978-7-210-12385-9</v>
      </c>
      <c r="C427" s="7" t="str">
        <f>"琵琶围"</f>
        <v>琵琶围</v>
      </c>
      <c r="D427" s="7" t="str">
        <f>"温燕霞著"</f>
        <v>温燕霞著</v>
      </c>
      <c r="E427" s="7" t="str">
        <f>"江西人民出版社"</f>
        <v>江西人民出版社</v>
      </c>
      <c r="F427" s="7" t="str">
        <f>"I247.57/11070"</f>
        <v>I247.57/11070</v>
      </c>
    </row>
    <row r="428" customHeight="1" spans="1:6">
      <c r="A428" s="6">
        <v>427</v>
      </c>
      <c r="B428" s="7" t="str">
        <f>"978-7-5302-2043-6"</f>
        <v>978-7-5302-2043-6</v>
      </c>
      <c r="C428" s="7" t="str">
        <f>"心居"</f>
        <v>心居</v>
      </c>
      <c r="D428" s="7" t="str">
        <f>"滕肖澜著"</f>
        <v>滕肖澜著</v>
      </c>
      <c r="E428" s="7" t="str">
        <f>"北京十月文艺出版社"</f>
        <v>北京十月文艺出版社</v>
      </c>
      <c r="F428" s="7" t="str">
        <f>"I247.57/11071"</f>
        <v>I247.57/11071</v>
      </c>
    </row>
    <row r="429" customHeight="1" spans="1:6">
      <c r="A429" s="6">
        <v>428</v>
      </c>
      <c r="B429" s="7" t="str">
        <f>"978-7-5302-2043-6"</f>
        <v>978-7-5302-2043-6</v>
      </c>
      <c r="C429" s="7" t="str">
        <f>"心居"</f>
        <v>心居</v>
      </c>
      <c r="D429" s="7" t="str">
        <f>"滕肖澜著"</f>
        <v>滕肖澜著</v>
      </c>
      <c r="E429" s="7" t="str">
        <f>"北京十月文艺出版社"</f>
        <v>北京十月文艺出版社</v>
      </c>
      <c r="F429" s="7" t="str">
        <f>"I247.57/11071"</f>
        <v>I247.57/11071</v>
      </c>
    </row>
    <row r="430" customHeight="1" spans="1:6">
      <c r="A430" s="6">
        <v>429</v>
      </c>
      <c r="B430" s="7" t="str">
        <f>"978-7-5057-5187-3"</f>
        <v>978-7-5057-5187-3</v>
      </c>
      <c r="C430" s="7" t="str">
        <f>"扎根"</f>
        <v>扎根</v>
      </c>
      <c r="D430" s="7" t="str">
        <f>"韩东著"</f>
        <v>韩东著</v>
      </c>
      <c r="E430" s="7" t="str">
        <f>"中国友谊出版公司"</f>
        <v>中国友谊出版公司</v>
      </c>
      <c r="F430" s="7" t="str">
        <f>"I247.57/11072"</f>
        <v>I247.57/11072</v>
      </c>
    </row>
    <row r="431" customHeight="1" spans="1:6">
      <c r="A431" s="6">
        <v>430</v>
      </c>
      <c r="B431" s="7" t="str">
        <f>"978-7-5057-5187-3"</f>
        <v>978-7-5057-5187-3</v>
      </c>
      <c r="C431" s="7" t="str">
        <f>"扎根"</f>
        <v>扎根</v>
      </c>
      <c r="D431" s="7" t="str">
        <f>"韩东著"</f>
        <v>韩东著</v>
      </c>
      <c r="E431" s="7" t="str">
        <f>"中国友谊出版公司"</f>
        <v>中国友谊出版公司</v>
      </c>
      <c r="F431" s="7" t="str">
        <f>"I247.57/11072"</f>
        <v>I247.57/11072</v>
      </c>
    </row>
    <row r="432" customHeight="1" spans="1:6">
      <c r="A432" s="6">
        <v>431</v>
      </c>
      <c r="B432" s="7" t="str">
        <f>"978-7-5212-1002-6"</f>
        <v>978-7-5212-1002-6</v>
      </c>
      <c r="C432" s="7" t="str">
        <f>"年华"</f>
        <v>年华</v>
      </c>
      <c r="D432" s="7" t="str">
        <f>"徐统存著"</f>
        <v>徐统存著</v>
      </c>
      <c r="E432" s="7" t="str">
        <f>"作家出版社"</f>
        <v>作家出版社</v>
      </c>
      <c r="F432" s="7" t="str">
        <f>"I247.57/11073"</f>
        <v>I247.57/11073</v>
      </c>
    </row>
    <row r="433" customHeight="1" spans="1:6">
      <c r="A433" s="6">
        <v>432</v>
      </c>
      <c r="B433" s="7" t="str">
        <f>"978-7-5212-1002-6"</f>
        <v>978-7-5212-1002-6</v>
      </c>
      <c r="C433" s="7" t="str">
        <f>"年华"</f>
        <v>年华</v>
      </c>
      <c r="D433" s="7" t="str">
        <f>"徐统存著"</f>
        <v>徐统存著</v>
      </c>
      <c r="E433" s="7" t="str">
        <f>"作家出版社"</f>
        <v>作家出版社</v>
      </c>
      <c r="F433" s="7" t="str">
        <f>"I247.57/11073"</f>
        <v>I247.57/11073</v>
      </c>
    </row>
    <row r="434" customHeight="1" spans="1:6">
      <c r="A434" s="6">
        <v>433</v>
      </c>
      <c r="B434" s="7" t="str">
        <f t="shared" ref="B434:B437" si="165">"978-7-5500-1867-9"</f>
        <v>978-7-5500-1867-9</v>
      </c>
      <c r="C434" s="7" t="str">
        <f>"枭宠．上"</f>
        <v>枭宠．上</v>
      </c>
      <c r="D434" s="7" t="str">
        <f t="shared" ref="D434:D439" si="166">"丁墨著"</f>
        <v>丁墨著</v>
      </c>
      <c r="E434" s="7" t="str">
        <f t="shared" ref="E434:E439" si="167">"百花洲文艺出版社"</f>
        <v>百花洲文艺出版社</v>
      </c>
      <c r="F434" s="7" t="str">
        <f>"I247.57/11074/1"</f>
        <v>I247.57/11074/1</v>
      </c>
    </row>
    <row r="435" customHeight="1" spans="1:6">
      <c r="A435" s="6">
        <v>434</v>
      </c>
      <c r="B435" s="7" t="str">
        <f t="shared" si="165"/>
        <v>978-7-5500-1867-9</v>
      </c>
      <c r="C435" s="7" t="str">
        <f>"枭宠．上"</f>
        <v>枭宠．上</v>
      </c>
      <c r="D435" s="7" t="str">
        <f t="shared" si="166"/>
        <v>丁墨著</v>
      </c>
      <c r="E435" s="7" t="str">
        <f t="shared" si="167"/>
        <v>百花洲文艺出版社</v>
      </c>
      <c r="F435" s="7" t="str">
        <f>"I247.57/11074/1"</f>
        <v>I247.57/11074/1</v>
      </c>
    </row>
    <row r="436" customHeight="1" spans="1:6">
      <c r="A436" s="6">
        <v>435</v>
      </c>
      <c r="B436" s="7" t="str">
        <f t="shared" si="165"/>
        <v>978-7-5500-1867-9</v>
      </c>
      <c r="C436" s="7" t="str">
        <f>"枭宠．下"</f>
        <v>枭宠．下</v>
      </c>
      <c r="D436" s="7" t="str">
        <f t="shared" si="166"/>
        <v>丁墨著</v>
      </c>
      <c r="E436" s="7" t="str">
        <f t="shared" si="167"/>
        <v>百花洲文艺出版社</v>
      </c>
      <c r="F436" s="7" t="str">
        <f>"I247.57/11074/2"</f>
        <v>I247.57/11074/2</v>
      </c>
    </row>
    <row r="437" customHeight="1" spans="1:6">
      <c r="A437" s="6">
        <v>436</v>
      </c>
      <c r="B437" s="7" t="str">
        <f t="shared" si="165"/>
        <v>978-7-5500-1867-9</v>
      </c>
      <c r="C437" s="7" t="str">
        <f>"枭宠．下"</f>
        <v>枭宠．下</v>
      </c>
      <c r="D437" s="7" t="str">
        <f t="shared" si="166"/>
        <v>丁墨著</v>
      </c>
      <c r="E437" s="7" t="str">
        <f t="shared" si="167"/>
        <v>百花洲文艺出版社</v>
      </c>
      <c r="F437" s="7" t="str">
        <f>"I247.57/11074/2"</f>
        <v>I247.57/11074/2</v>
      </c>
    </row>
    <row r="438" customHeight="1" spans="1:6">
      <c r="A438" s="6">
        <v>437</v>
      </c>
      <c r="B438" s="7" t="str">
        <f>"978-7-5500-1359-9"</f>
        <v>978-7-5500-1359-9</v>
      </c>
      <c r="C438" s="7" t="str">
        <f>"美人为馅．2：大结局"</f>
        <v>美人为馅．2：大结局</v>
      </c>
      <c r="D438" s="7" t="str">
        <f t="shared" si="166"/>
        <v>丁墨著</v>
      </c>
      <c r="E438" s="7" t="str">
        <f t="shared" si="167"/>
        <v>百花洲文艺出版社</v>
      </c>
      <c r="F438" s="7" t="str">
        <f>"I247.57/11075/2"</f>
        <v>I247.57/11075/2</v>
      </c>
    </row>
    <row r="439" customHeight="1" spans="1:6">
      <c r="A439" s="6">
        <v>438</v>
      </c>
      <c r="B439" s="7" t="str">
        <f>"978-7-5500-1359-9"</f>
        <v>978-7-5500-1359-9</v>
      </c>
      <c r="C439" s="7" t="str">
        <f>"美人为馅．2：大结局"</f>
        <v>美人为馅．2：大结局</v>
      </c>
      <c r="D439" s="7" t="str">
        <f t="shared" si="166"/>
        <v>丁墨著</v>
      </c>
      <c r="E439" s="7" t="str">
        <f t="shared" si="167"/>
        <v>百花洲文艺出版社</v>
      </c>
      <c r="F439" s="7" t="str">
        <f>"I247.57/11075/2"</f>
        <v>I247.57/11075/2</v>
      </c>
    </row>
    <row r="440" customHeight="1" spans="1:6">
      <c r="A440" s="6">
        <v>439</v>
      </c>
      <c r="B440" s="7" t="str">
        <f t="shared" ref="B440:B442" si="168">"978-7-5212-1415-4"</f>
        <v>978-7-5212-1415-4</v>
      </c>
      <c r="C440" s="7" t="str">
        <f t="shared" ref="C440:C442" si="169">"摇篮旁的额吉"</f>
        <v>摇篮旁的额吉</v>
      </c>
      <c r="D440" s="7" t="str">
        <f t="shared" ref="D440:D442" si="170">"郭雪波著"</f>
        <v>郭雪波著</v>
      </c>
      <c r="E440" s="7" t="str">
        <f t="shared" ref="E440:E445" si="171">"作家出版社"</f>
        <v>作家出版社</v>
      </c>
      <c r="F440" s="7" t="str">
        <f t="shared" ref="F440:F442" si="172">"I247.57/11076"</f>
        <v>I247.57/11076</v>
      </c>
    </row>
    <row r="441" customHeight="1" spans="1:6">
      <c r="A441" s="6">
        <v>440</v>
      </c>
      <c r="B441" s="7" t="str">
        <f t="shared" si="168"/>
        <v>978-7-5212-1415-4</v>
      </c>
      <c r="C441" s="7" t="str">
        <f t="shared" si="169"/>
        <v>摇篮旁的额吉</v>
      </c>
      <c r="D441" s="7" t="str">
        <f t="shared" si="170"/>
        <v>郭雪波著</v>
      </c>
      <c r="E441" s="7" t="str">
        <f t="shared" si="171"/>
        <v>作家出版社</v>
      </c>
      <c r="F441" s="7" t="str">
        <f t="shared" si="172"/>
        <v>I247.57/11076</v>
      </c>
    </row>
    <row r="442" customHeight="1" spans="1:6">
      <c r="A442" s="6">
        <v>441</v>
      </c>
      <c r="B442" s="7" t="str">
        <f t="shared" si="168"/>
        <v>978-7-5212-1415-4</v>
      </c>
      <c r="C442" s="7" t="str">
        <f t="shared" si="169"/>
        <v>摇篮旁的额吉</v>
      </c>
      <c r="D442" s="7" t="str">
        <f t="shared" si="170"/>
        <v>郭雪波著</v>
      </c>
      <c r="E442" s="7" t="str">
        <f t="shared" si="171"/>
        <v>作家出版社</v>
      </c>
      <c r="F442" s="7" t="str">
        <f t="shared" si="172"/>
        <v>I247.57/11076</v>
      </c>
    </row>
    <row r="443" customHeight="1" spans="1:6">
      <c r="A443" s="6">
        <v>442</v>
      </c>
      <c r="B443" s="7" t="str">
        <f t="shared" ref="B443:B445" si="173">"978-7-5212-1463-5"</f>
        <v>978-7-5212-1463-5</v>
      </c>
      <c r="C443" s="7" t="str">
        <f t="shared" ref="C443:C445" si="174">"江南役"</f>
        <v>江南役</v>
      </c>
      <c r="D443" s="7" t="str">
        <f t="shared" ref="D443:D445" si="175">"海飞著"</f>
        <v>海飞著</v>
      </c>
      <c r="E443" s="7" t="str">
        <f t="shared" si="171"/>
        <v>作家出版社</v>
      </c>
      <c r="F443" s="7" t="str">
        <f t="shared" ref="F443:F445" si="176">"I247.57/11077"</f>
        <v>I247.57/11077</v>
      </c>
    </row>
    <row r="444" customHeight="1" spans="1:6">
      <c r="A444" s="6">
        <v>443</v>
      </c>
      <c r="B444" s="7" t="str">
        <f t="shared" si="173"/>
        <v>978-7-5212-1463-5</v>
      </c>
      <c r="C444" s="7" t="str">
        <f t="shared" si="174"/>
        <v>江南役</v>
      </c>
      <c r="D444" s="7" t="str">
        <f t="shared" si="175"/>
        <v>海飞著</v>
      </c>
      <c r="E444" s="7" t="str">
        <f t="shared" si="171"/>
        <v>作家出版社</v>
      </c>
      <c r="F444" s="7" t="str">
        <f t="shared" si="176"/>
        <v>I247.57/11077</v>
      </c>
    </row>
    <row r="445" customHeight="1" spans="1:6">
      <c r="A445" s="6">
        <v>444</v>
      </c>
      <c r="B445" s="7" t="str">
        <f t="shared" si="173"/>
        <v>978-7-5212-1463-5</v>
      </c>
      <c r="C445" s="7" t="str">
        <f t="shared" si="174"/>
        <v>江南役</v>
      </c>
      <c r="D445" s="7" t="str">
        <f t="shared" si="175"/>
        <v>海飞著</v>
      </c>
      <c r="E445" s="7" t="str">
        <f t="shared" si="171"/>
        <v>作家出版社</v>
      </c>
      <c r="F445" s="7" t="str">
        <f t="shared" si="176"/>
        <v>I247.57/11077</v>
      </c>
    </row>
    <row r="446" customHeight="1" spans="1:6">
      <c r="A446" s="6">
        <v>445</v>
      </c>
      <c r="B446" s="7" t="str">
        <f t="shared" ref="B446:B448" si="177">"978-7-02-016718-0"</f>
        <v>978-7-02-016718-0</v>
      </c>
      <c r="C446" s="7" t="str">
        <f t="shared" ref="C446:C448" si="178">"金枝"</f>
        <v>金枝</v>
      </c>
      <c r="D446" s="7" t="str">
        <f t="shared" ref="D446:D448" si="179">"邵丽著"</f>
        <v>邵丽著</v>
      </c>
      <c r="E446" s="7" t="str">
        <f t="shared" ref="E446:E448" si="180">"人民文学出版社"</f>
        <v>人民文学出版社</v>
      </c>
      <c r="F446" s="7" t="str">
        <f t="shared" ref="F446:F448" si="181">"I247.57/11078"</f>
        <v>I247.57/11078</v>
      </c>
    </row>
    <row r="447" customHeight="1" spans="1:6">
      <c r="A447" s="6">
        <v>446</v>
      </c>
      <c r="B447" s="7" t="str">
        <f t="shared" si="177"/>
        <v>978-7-02-016718-0</v>
      </c>
      <c r="C447" s="7" t="str">
        <f t="shared" si="178"/>
        <v>金枝</v>
      </c>
      <c r="D447" s="7" t="str">
        <f t="shared" si="179"/>
        <v>邵丽著</v>
      </c>
      <c r="E447" s="7" t="str">
        <f t="shared" si="180"/>
        <v>人民文学出版社</v>
      </c>
      <c r="F447" s="7" t="str">
        <f t="shared" si="181"/>
        <v>I247.57/11078</v>
      </c>
    </row>
    <row r="448" customHeight="1" spans="1:6">
      <c r="A448" s="6">
        <v>447</v>
      </c>
      <c r="B448" s="7" t="str">
        <f t="shared" si="177"/>
        <v>978-7-02-016718-0</v>
      </c>
      <c r="C448" s="7" t="str">
        <f t="shared" si="178"/>
        <v>金枝</v>
      </c>
      <c r="D448" s="7" t="str">
        <f t="shared" si="179"/>
        <v>邵丽著</v>
      </c>
      <c r="E448" s="7" t="str">
        <f t="shared" si="180"/>
        <v>人民文学出版社</v>
      </c>
      <c r="F448" s="7" t="str">
        <f t="shared" si="181"/>
        <v>I247.57/11078</v>
      </c>
    </row>
    <row r="449" customHeight="1" spans="1:6">
      <c r="A449" s="6">
        <v>448</v>
      </c>
      <c r="B449" s="7" t="str">
        <f>"978-7-5426-7357-2"</f>
        <v>978-7-5426-7357-2</v>
      </c>
      <c r="C449" s="7" t="str">
        <f>"云端之上"</f>
        <v>云端之上</v>
      </c>
      <c r="D449" s="7" t="str">
        <f>"北方著"</f>
        <v>北方著</v>
      </c>
      <c r="E449" s="7" t="str">
        <f>"上海三联书店"</f>
        <v>上海三联书店</v>
      </c>
      <c r="F449" s="7" t="str">
        <f>"I247.57/11079"</f>
        <v>I247.57/11079</v>
      </c>
    </row>
    <row r="450" customHeight="1" spans="1:6">
      <c r="A450" s="6">
        <v>449</v>
      </c>
      <c r="B450" s="7" t="str">
        <f>"978-7-5426-7357-2"</f>
        <v>978-7-5426-7357-2</v>
      </c>
      <c r="C450" s="7" t="str">
        <f>"云端之上"</f>
        <v>云端之上</v>
      </c>
      <c r="D450" s="7" t="str">
        <f>"北方著"</f>
        <v>北方著</v>
      </c>
      <c r="E450" s="7" t="str">
        <f>"上海三联书店"</f>
        <v>上海三联书店</v>
      </c>
      <c r="F450" s="7" t="str">
        <f>"I247.57/11079"</f>
        <v>I247.57/11079</v>
      </c>
    </row>
    <row r="451" customHeight="1" spans="1:6">
      <c r="A451" s="6">
        <v>450</v>
      </c>
      <c r="B451" s="7" t="str">
        <f t="shared" ref="B451:B453" si="182">"978-7-5726-0280-1"</f>
        <v>978-7-5726-0280-1</v>
      </c>
      <c r="C451" s="7" t="str">
        <f t="shared" ref="C451:C453" si="183">"判·闻时"</f>
        <v>判·闻时</v>
      </c>
      <c r="D451" s="7" t="str">
        <f t="shared" ref="D451:D453" si="184">"木苏里著"</f>
        <v>木苏里著</v>
      </c>
      <c r="E451" s="7" t="str">
        <f t="shared" ref="E451:E453" si="185">"湖南文艺出版社"</f>
        <v>湖南文艺出版社</v>
      </c>
      <c r="F451" s="7" t="str">
        <f t="shared" ref="F451:F453" si="186">"I247.57/11080"</f>
        <v>I247.57/11080</v>
      </c>
    </row>
    <row r="452" customHeight="1" spans="1:6">
      <c r="A452" s="6">
        <v>451</v>
      </c>
      <c r="B452" s="7" t="str">
        <f t="shared" si="182"/>
        <v>978-7-5726-0280-1</v>
      </c>
      <c r="C452" s="7" t="str">
        <f t="shared" si="183"/>
        <v>判·闻时</v>
      </c>
      <c r="D452" s="7" t="str">
        <f t="shared" si="184"/>
        <v>木苏里著</v>
      </c>
      <c r="E452" s="7" t="str">
        <f t="shared" si="185"/>
        <v>湖南文艺出版社</v>
      </c>
      <c r="F452" s="7" t="str">
        <f t="shared" si="186"/>
        <v>I247.57/11080</v>
      </c>
    </row>
    <row r="453" customHeight="1" spans="1:6">
      <c r="A453" s="6">
        <v>452</v>
      </c>
      <c r="B453" s="7" t="str">
        <f t="shared" si="182"/>
        <v>978-7-5726-0280-1</v>
      </c>
      <c r="C453" s="7" t="str">
        <f t="shared" si="183"/>
        <v>判·闻时</v>
      </c>
      <c r="D453" s="7" t="str">
        <f t="shared" si="184"/>
        <v>木苏里著</v>
      </c>
      <c r="E453" s="7" t="str">
        <f t="shared" si="185"/>
        <v>湖南文艺出版社</v>
      </c>
      <c r="F453" s="7" t="str">
        <f t="shared" si="186"/>
        <v>I247.57/11080</v>
      </c>
    </row>
    <row r="454" customHeight="1" spans="1:6">
      <c r="A454" s="6">
        <v>453</v>
      </c>
      <c r="B454" s="7" t="str">
        <f t="shared" ref="B454:B456" si="187">"978-7-5360-9442-0"</f>
        <v>978-7-5360-9442-0</v>
      </c>
      <c r="C454" s="7" t="str">
        <f t="shared" ref="C454:C456" si="188">"一日三秋"</f>
        <v>一日三秋</v>
      </c>
      <c r="D454" s="7" t="str">
        <f t="shared" ref="D454:D456" si="189">"刘震云著"</f>
        <v>刘震云著</v>
      </c>
      <c r="E454" s="7" t="str">
        <f t="shared" ref="E454:E456" si="190">"花城出版社"</f>
        <v>花城出版社</v>
      </c>
      <c r="F454" s="7" t="str">
        <f t="shared" ref="F454:F456" si="191">"I247.57/11081"</f>
        <v>I247.57/11081</v>
      </c>
    </row>
    <row r="455" customHeight="1" spans="1:6">
      <c r="A455" s="6">
        <v>454</v>
      </c>
      <c r="B455" s="7" t="str">
        <f t="shared" si="187"/>
        <v>978-7-5360-9442-0</v>
      </c>
      <c r="C455" s="7" t="str">
        <f t="shared" si="188"/>
        <v>一日三秋</v>
      </c>
      <c r="D455" s="7" t="str">
        <f t="shared" si="189"/>
        <v>刘震云著</v>
      </c>
      <c r="E455" s="7" t="str">
        <f t="shared" si="190"/>
        <v>花城出版社</v>
      </c>
      <c r="F455" s="7" t="str">
        <f t="shared" si="191"/>
        <v>I247.57/11081</v>
      </c>
    </row>
    <row r="456" customHeight="1" spans="1:6">
      <c r="A456" s="6">
        <v>455</v>
      </c>
      <c r="B456" s="7" t="str">
        <f t="shared" si="187"/>
        <v>978-7-5360-9442-0</v>
      </c>
      <c r="C456" s="7" t="str">
        <f t="shared" si="188"/>
        <v>一日三秋</v>
      </c>
      <c r="D456" s="7" t="str">
        <f t="shared" si="189"/>
        <v>刘震云著</v>
      </c>
      <c r="E456" s="7" t="str">
        <f t="shared" si="190"/>
        <v>花城出版社</v>
      </c>
      <c r="F456" s="7" t="str">
        <f t="shared" si="191"/>
        <v>I247.57/11081</v>
      </c>
    </row>
    <row r="457" customHeight="1" spans="1:6">
      <c r="A457" s="6">
        <v>456</v>
      </c>
      <c r="B457" s="7" t="str">
        <f t="shared" ref="B457:B459" si="192">"978-7-5212-1500-7"</f>
        <v>978-7-5212-1500-7</v>
      </c>
      <c r="C457" s="7" t="str">
        <f t="shared" ref="C457:C459" si="193">"唱河渡"</f>
        <v>唱河渡</v>
      </c>
      <c r="D457" s="7" t="str">
        <f t="shared" ref="D457:D459" si="194">"杨志鹏著"</f>
        <v>杨志鹏著</v>
      </c>
      <c r="E457" s="7" t="str">
        <f t="shared" ref="E457:E459" si="195">"作家出版社"</f>
        <v>作家出版社</v>
      </c>
      <c r="F457" s="7" t="str">
        <f t="shared" ref="F457:F459" si="196">"I247.57/11082"</f>
        <v>I247.57/11082</v>
      </c>
    </row>
    <row r="458" customHeight="1" spans="1:6">
      <c r="A458" s="6">
        <v>457</v>
      </c>
      <c r="B458" s="7" t="str">
        <f t="shared" si="192"/>
        <v>978-7-5212-1500-7</v>
      </c>
      <c r="C458" s="7" t="str">
        <f t="shared" si="193"/>
        <v>唱河渡</v>
      </c>
      <c r="D458" s="7" t="str">
        <f t="shared" si="194"/>
        <v>杨志鹏著</v>
      </c>
      <c r="E458" s="7" t="str">
        <f t="shared" si="195"/>
        <v>作家出版社</v>
      </c>
      <c r="F458" s="7" t="str">
        <f t="shared" si="196"/>
        <v>I247.57/11082</v>
      </c>
    </row>
    <row r="459" customHeight="1" spans="1:6">
      <c r="A459" s="6">
        <v>458</v>
      </c>
      <c r="B459" s="7" t="str">
        <f t="shared" si="192"/>
        <v>978-7-5212-1500-7</v>
      </c>
      <c r="C459" s="7" t="str">
        <f t="shared" si="193"/>
        <v>唱河渡</v>
      </c>
      <c r="D459" s="7" t="str">
        <f t="shared" si="194"/>
        <v>杨志鹏著</v>
      </c>
      <c r="E459" s="7" t="str">
        <f t="shared" si="195"/>
        <v>作家出版社</v>
      </c>
      <c r="F459" s="7" t="str">
        <f t="shared" si="196"/>
        <v>I247.57/11082</v>
      </c>
    </row>
    <row r="460" customHeight="1" spans="1:6">
      <c r="A460" s="6">
        <v>459</v>
      </c>
      <c r="B460" s="7" t="str">
        <f t="shared" ref="B460:B462" si="197">"978-7-5726-0282-5"</f>
        <v>978-7-5726-0282-5</v>
      </c>
      <c r="C460" s="7" t="str">
        <f t="shared" ref="C460:C462" si="198">"天堂旅行团"</f>
        <v>天堂旅行团</v>
      </c>
      <c r="D460" s="7" t="str">
        <f t="shared" ref="D460:D462" si="199">"张嘉佳著"</f>
        <v>张嘉佳著</v>
      </c>
      <c r="E460" s="7" t="str">
        <f t="shared" ref="E460:E462" si="200">"湖南文艺出版社"</f>
        <v>湖南文艺出版社</v>
      </c>
      <c r="F460" s="7" t="str">
        <f t="shared" ref="F460:F462" si="201">"I247.57/11083"</f>
        <v>I247.57/11083</v>
      </c>
    </row>
    <row r="461" customHeight="1" spans="1:6">
      <c r="A461" s="6">
        <v>460</v>
      </c>
      <c r="B461" s="7" t="str">
        <f t="shared" si="197"/>
        <v>978-7-5726-0282-5</v>
      </c>
      <c r="C461" s="7" t="str">
        <f t="shared" si="198"/>
        <v>天堂旅行团</v>
      </c>
      <c r="D461" s="7" t="str">
        <f t="shared" si="199"/>
        <v>张嘉佳著</v>
      </c>
      <c r="E461" s="7" t="str">
        <f t="shared" si="200"/>
        <v>湖南文艺出版社</v>
      </c>
      <c r="F461" s="7" t="str">
        <f t="shared" si="201"/>
        <v>I247.57/11083</v>
      </c>
    </row>
    <row r="462" customHeight="1" spans="1:6">
      <c r="A462" s="6">
        <v>461</v>
      </c>
      <c r="B462" s="7" t="str">
        <f t="shared" si="197"/>
        <v>978-7-5726-0282-5</v>
      </c>
      <c r="C462" s="7" t="str">
        <f t="shared" si="198"/>
        <v>天堂旅行团</v>
      </c>
      <c r="D462" s="7" t="str">
        <f t="shared" si="199"/>
        <v>张嘉佳著</v>
      </c>
      <c r="E462" s="7" t="str">
        <f t="shared" si="200"/>
        <v>湖南文艺出版社</v>
      </c>
      <c r="F462" s="7" t="str">
        <f t="shared" si="201"/>
        <v>I247.57/11083</v>
      </c>
    </row>
    <row r="463" customHeight="1" spans="1:6">
      <c r="A463" s="6">
        <v>462</v>
      </c>
      <c r="B463" s="7" t="str">
        <f t="shared" ref="B463:B465" si="202">"978-7-5162-2406-9"</f>
        <v>978-7-5162-2406-9</v>
      </c>
      <c r="C463" s="7" t="str">
        <f t="shared" ref="C463:C465" si="203">"芯战"</f>
        <v>芯战</v>
      </c>
      <c r="D463" s="7" t="str">
        <f t="shared" ref="D463:D465" si="204">"思璇著"</f>
        <v>思璇著</v>
      </c>
      <c r="E463" s="7" t="str">
        <f t="shared" ref="E463:E465" si="205">"中国民主法制出版社"</f>
        <v>中国民主法制出版社</v>
      </c>
      <c r="F463" s="7" t="str">
        <f t="shared" ref="F463:F465" si="206">"I247.57/11084"</f>
        <v>I247.57/11084</v>
      </c>
    </row>
    <row r="464" customHeight="1" spans="1:6">
      <c r="A464" s="6">
        <v>463</v>
      </c>
      <c r="B464" s="7" t="str">
        <f t="shared" si="202"/>
        <v>978-7-5162-2406-9</v>
      </c>
      <c r="C464" s="7" t="str">
        <f t="shared" si="203"/>
        <v>芯战</v>
      </c>
      <c r="D464" s="7" t="str">
        <f t="shared" si="204"/>
        <v>思璇著</v>
      </c>
      <c r="E464" s="7" t="str">
        <f t="shared" si="205"/>
        <v>中国民主法制出版社</v>
      </c>
      <c r="F464" s="7" t="str">
        <f t="shared" si="206"/>
        <v>I247.57/11084</v>
      </c>
    </row>
    <row r="465" customHeight="1" spans="1:6">
      <c r="A465" s="6">
        <v>464</v>
      </c>
      <c r="B465" s="7" t="str">
        <f t="shared" si="202"/>
        <v>978-7-5162-2406-9</v>
      </c>
      <c r="C465" s="7" t="str">
        <f t="shared" si="203"/>
        <v>芯战</v>
      </c>
      <c r="D465" s="7" t="str">
        <f t="shared" si="204"/>
        <v>思璇著</v>
      </c>
      <c r="E465" s="7" t="str">
        <f t="shared" si="205"/>
        <v>中国民主法制出版社</v>
      </c>
      <c r="F465" s="7" t="str">
        <f t="shared" si="206"/>
        <v>I247.57/11084</v>
      </c>
    </row>
    <row r="466" customHeight="1" spans="1:6">
      <c r="A466" s="6">
        <v>465</v>
      </c>
      <c r="B466" s="8" t="s">
        <v>9950</v>
      </c>
      <c r="C466" s="8" t="s">
        <v>9951</v>
      </c>
      <c r="D466" s="8" t="s">
        <v>9952</v>
      </c>
      <c r="E466" s="8" t="s">
        <v>9881</v>
      </c>
      <c r="F466" s="8" t="s">
        <v>9953</v>
      </c>
    </row>
    <row r="467" customHeight="1" spans="1:6">
      <c r="A467" s="6">
        <v>466</v>
      </c>
      <c r="B467" s="8" t="s">
        <v>9950</v>
      </c>
      <c r="C467" s="8" t="s">
        <v>9951</v>
      </c>
      <c r="D467" s="8" t="s">
        <v>9952</v>
      </c>
      <c r="E467" s="8" t="s">
        <v>9881</v>
      </c>
      <c r="F467" s="8" t="s">
        <v>9953</v>
      </c>
    </row>
    <row r="468" customHeight="1" spans="1:6">
      <c r="A468" s="6">
        <v>467</v>
      </c>
      <c r="B468" s="8" t="s">
        <v>9950</v>
      </c>
      <c r="C468" s="8" t="s">
        <v>9951</v>
      </c>
      <c r="D468" s="8" t="s">
        <v>9952</v>
      </c>
      <c r="E468" s="8" t="s">
        <v>9881</v>
      </c>
      <c r="F468" s="8" t="s">
        <v>9953</v>
      </c>
    </row>
    <row r="469" customHeight="1" spans="1:6">
      <c r="A469" s="6">
        <v>468</v>
      </c>
      <c r="B469" s="8" t="s">
        <v>9954</v>
      </c>
      <c r="C469" s="8" t="s">
        <v>9955</v>
      </c>
      <c r="D469" s="8" t="s">
        <v>9956</v>
      </c>
      <c r="E469" s="8" t="s">
        <v>9881</v>
      </c>
      <c r="F469" s="8" t="s">
        <v>9957</v>
      </c>
    </row>
    <row r="470" customHeight="1" spans="1:6">
      <c r="A470" s="6">
        <v>469</v>
      </c>
      <c r="B470" s="8" t="s">
        <v>9954</v>
      </c>
      <c r="C470" s="8" t="s">
        <v>9955</v>
      </c>
      <c r="D470" s="8" t="s">
        <v>9956</v>
      </c>
      <c r="E470" s="8" t="s">
        <v>9881</v>
      </c>
      <c r="F470" s="8" t="s">
        <v>9957</v>
      </c>
    </row>
    <row r="471" customHeight="1" spans="1:6">
      <c r="A471" s="6">
        <v>470</v>
      </c>
      <c r="B471" s="8" t="s">
        <v>9954</v>
      </c>
      <c r="C471" s="8" t="s">
        <v>9955</v>
      </c>
      <c r="D471" s="8" t="s">
        <v>9956</v>
      </c>
      <c r="E471" s="8" t="s">
        <v>9881</v>
      </c>
      <c r="F471" s="8" t="s">
        <v>9957</v>
      </c>
    </row>
    <row r="472" customHeight="1" spans="1:6">
      <c r="A472" s="6">
        <v>471</v>
      </c>
      <c r="B472" s="8" t="s">
        <v>9958</v>
      </c>
      <c r="C472" s="8" t="s">
        <v>9959</v>
      </c>
      <c r="D472" s="8" t="s">
        <v>243</v>
      </c>
      <c r="E472" s="8" t="s">
        <v>316</v>
      </c>
      <c r="F472" s="8" t="s">
        <v>9960</v>
      </c>
    </row>
    <row r="473" customHeight="1" spans="1:6">
      <c r="A473" s="6">
        <v>472</v>
      </c>
      <c r="B473" s="8" t="s">
        <v>9958</v>
      </c>
      <c r="C473" s="8" t="s">
        <v>9959</v>
      </c>
      <c r="D473" s="8" t="s">
        <v>243</v>
      </c>
      <c r="E473" s="8" t="s">
        <v>316</v>
      </c>
      <c r="F473" s="8" t="s">
        <v>9960</v>
      </c>
    </row>
    <row r="474" customHeight="1" spans="1:6">
      <c r="A474" s="6">
        <v>473</v>
      </c>
      <c r="B474" s="8" t="s">
        <v>9961</v>
      </c>
      <c r="C474" s="8" t="s">
        <v>9962</v>
      </c>
      <c r="D474" s="8" t="s">
        <v>9963</v>
      </c>
      <c r="E474" s="8" t="s">
        <v>9964</v>
      </c>
      <c r="F474" s="8" t="s">
        <v>9965</v>
      </c>
    </row>
    <row r="475" customHeight="1" spans="1:6">
      <c r="A475" s="6">
        <v>474</v>
      </c>
      <c r="B475" s="8" t="s">
        <v>9961</v>
      </c>
      <c r="C475" s="8" t="s">
        <v>9962</v>
      </c>
      <c r="D475" s="8" t="s">
        <v>9963</v>
      </c>
      <c r="E475" s="8" t="s">
        <v>9964</v>
      </c>
      <c r="F475" s="8" t="s">
        <v>9965</v>
      </c>
    </row>
    <row r="476" customHeight="1" spans="1:6">
      <c r="A476" s="6">
        <v>475</v>
      </c>
      <c r="B476" s="8" t="s">
        <v>9961</v>
      </c>
      <c r="C476" s="8" t="s">
        <v>9962</v>
      </c>
      <c r="D476" s="8" t="s">
        <v>9963</v>
      </c>
      <c r="E476" s="8" t="s">
        <v>9964</v>
      </c>
      <c r="F476" s="8" t="s">
        <v>9965</v>
      </c>
    </row>
    <row r="477" customHeight="1" spans="1:6">
      <c r="A477" s="6">
        <v>476</v>
      </c>
      <c r="B477" s="8" t="s">
        <v>9966</v>
      </c>
      <c r="C477" s="8" t="s">
        <v>9967</v>
      </c>
      <c r="D477" s="13"/>
      <c r="E477" s="8" t="s">
        <v>9968</v>
      </c>
      <c r="F477" s="8" t="s">
        <v>9969</v>
      </c>
    </row>
    <row r="478" customHeight="1" spans="1:6">
      <c r="A478" s="6">
        <v>477</v>
      </c>
      <c r="B478" s="8" t="s">
        <v>9966</v>
      </c>
      <c r="C478" s="8" t="s">
        <v>9967</v>
      </c>
      <c r="D478" s="13"/>
      <c r="E478" s="8" t="s">
        <v>9968</v>
      </c>
      <c r="F478" s="8" t="s">
        <v>9969</v>
      </c>
    </row>
    <row r="479" customHeight="1" spans="1:6">
      <c r="A479" s="6">
        <v>478</v>
      </c>
      <c r="B479" s="8" t="s">
        <v>9966</v>
      </c>
      <c r="C479" s="8" t="s">
        <v>9967</v>
      </c>
      <c r="D479" s="13"/>
      <c r="E479" s="8" t="s">
        <v>9968</v>
      </c>
      <c r="F479" s="8" t="s">
        <v>9969</v>
      </c>
    </row>
    <row r="480" customHeight="1" spans="1:6">
      <c r="A480" s="6">
        <v>479</v>
      </c>
      <c r="B480" s="8" t="s">
        <v>9970</v>
      </c>
      <c r="C480" s="8" t="s">
        <v>9971</v>
      </c>
      <c r="D480" s="8" t="s">
        <v>9972</v>
      </c>
      <c r="E480" s="8" t="s">
        <v>316</v>
      </c>
      <c r="F480" s="8" t="s">
        <v>9973</v>
      </c>
    </row>
    <row r="481" customHeight="1" spans="1:6">
      <c r="A481" s="6">
        <v>480</v>
      </c>
      <c r="B481" s="8" t="s">
        <v>9970</v>
      </c>
      <c r="C481" s="8" t="s">
        <v>9971</v>
      </c>
      <c r="D481" s="8" t="s">
        <v>9972</v>
      </c>
      <c r="E481" s="8" t="s">
        <v>316</v>
      </c>
      <c r="F481" s="8" t="s">
        <v>9973</v>
      </c>
    </row>
    <row r="482" customHeight="1" spans="1:6">
      <c r="A482" s="6">
        <v>481</v>
      </c>
      <c r="B482" s="8" t="s">
        <v>9970</v>
      </c>
      <c r="C482" s="8" t="s">
        <v>9971</v>
      </c>
      <c r="D482" s="8" t="s">
        <v>9972</v>
      </c>
      <c r="E482" s="8" t="s">
        <v>316</v>
      </c>
      <c r="F482" s="8" t="s">
        <v>9973</v>
      </c>
    </row>
    <row r="483" customHeight="1" spans="1:6">
      <c r="A483" s="6">
        <v>482</v>
      </c>
      <c r="B483" s="8" t="s">
        <v>9974</v>
      </c>
      <c r="C483" s="8" t="s">
        <v>9975</v>
      </c>
      <c r="D483" s="8" t="s">
        <v>9976</v>
      </c>
      <c r="E483" s="8" t="s">
        <v>9977</v>
      </c>
      <c r="F483" s="8" t="s">
        <v>9978</v>
      </c>
    </row>
    <row r="484" customHeight="1" spans="1:6">
      <c r="A484" s="6">
        <v>483</v>
      </c>
      <c r="B484" s="8" t="s">
        <v>9974</v>
      </c>
      <c r="C484" s="8" t="s">
        <v>9975</v>
      </c>
      <c r="D484" s="8" t="s">
        <v>9976</v>
      </c>
      <c r="E484" s="8" t="s">
        <v>9977</v>
      </c>
      <c r="F484" s="8" t="s">
        <v>9978</v>
      </c>
    </row>
    <row r="485" customHeight="1" spans="1:6">
      <c r="A485" s="6">
        <v>484</v>
      </c>
      <c r="B485" s="8" t="s">
        <v>9974</v>
      </c>
      <c r="C485" s="8" t="s">
        <v>9975</v>
      </c>
      <c r="D485" s="8" t="s">
        <v>9976</v>
      </c>
      <c r="E485" s="8" t="s">
        <v>9977</v>
      </c>
      <c r="F485" s="8" t="s">
        <v>9978</v>
      </c>
    </row>
    <row r="486" customHeight="1" spans="1:6">
      <c r="A486" s="6">
        <v>485</v>
      </c>
      <c r="B486" s="8" t="s">
        <v>9974</v>
      </c>
      <c r="C486" s="8" t="s">
        <v>9979</v>
      </c>
      <c r="D486" s="8" t="s">
        <v>9976</v>
      </c>
      <c r="E486" s="8" t="s">
        <v>9977</v>
      </c>
      <c r="F486" s="8" t="s">
        <v>9980</v>
      </c>
    </row>
    <row r="487" customHeight="1" spans="1:6">
      <c r="A487" s="6">
        <v>486</v>
      </c>
      <c r="B487" s="8" t="s">
        <v>9974</v>
      </c>
      <c r="C487" s="8" t="s">
        <v>9979</v>
      </c>
      <c r="D487" s="8" t="s">
        <v>9976</v>
      </c>
      <c r="E487" s="8" t="s">
        <v>9977</v>
      </c>
      <c r="F487" s="8" t="s">
        <v>9980</v>
      </c>
    </row>
    <row r="488" customHeight="1" spans="1:6">
      <c r="A488" s="6">
        <v>487</v>
      </c>
      <c r="B488" s="8" t="s">
        <v>9974</v>
      </c>
      <c r="C488" s="8" t="s">
        <v>9979</v>
      </c>
      <c r="D488" s="8" t="s">
        <v>9976</v>
      </c>
      <c r="E488" s="8" t="s">
        <v>9977</v>
      </c>
      <c r="F488" s="8" t="s">
        <v>9980</v>
      </c>
    </row>
    <row r="489" customHeight="1" spans="1:6">
      <c r="A489" s="6">
        <v>488</v>
      </c>
      <c r="B489" s="8" t="s">
        <v>9974</v>
      </c>
      <c r="C489" s="8" t="s">
        <v>9981</v>
      </c>
      <c r="D489" s="8" t="s">
        <v>9976</v>
      </c>
      <c r="E489" s="8" t="s">
        <v>9977</v>
      </c>
      <c r="F489" s="8" t="s">
        <v>9982</v>
      </c>
    </row>
    <row r="490" customHeight="1" spans="1:6">
      <c r="A490" s="6">
        <v>489</v>
      </c>
      <c r="B490" s="8" t="s">
        <v>9974</v>
      </c>
      <c r="C490" s="8" t="s">
        <v>9981</v>
      </c>
      <c r="D490" s="8" t="s">
        <v>9976</v>
      </c>
      <c r="E490" s="8" t="s">
        <v>9977</v>
      </c>
      <c r="F490" s="8" t="s">
        <v>9982</v>
      </c>
    </row>
    <row r="491" customHeight="1" spans="1:6">
      <c r="A491" s="6">
        <v>490</v>
      </c>
      <c r="B491" s="8" t="s">
        <v>9974</v>
      </c>
      <c r="C491" s="8" t="s">
        <v>9981</v>
      </c>
      <c r="D491" s="8" t="s">
        <v>9976</v>
      </c>
      <c r="E491" s="8" t="s">
        <v>9977</v>
      </c>
      <c r="F491" s="8" t="s">
        <v>9982</v>
      </c>
    </row>
    <row r="492" customHeight="1" spans="1:6">
      <c r="A492" s="6">
        <v>491</v>
      </c>
      <c r="B492" s="7" t="str">
        <f t="shared" ref="B492:B494" si="207">"978-7-5404-6749-4"</f>
        <v>978-7-5404-6749-4</v>
      </c>
      <c r="C492" s="7" t="str">
        <f t="shared" ref="C492:C494" si="208">"猎人峰"</f>
        <v>猎人峰</v>
      </c>
      <c r="D492" s="7" t="str">
        <f t="shared" ref="D492:D494" si="209">"陈应松著"</f>
        <v>陈应松著</v>
      </c>
      <c r="E492" s="7" t="str">
        <f t="shared" ref="E492:E494" si="210">"湖南文艺出版社"</f>
        <v>湖南文艺出版社</v>
      </c>
      <c r="F492" s="7" t="str">
        <f t="shared" ref="F492:F494" si="211">"I247.57/1161-2"</f>
        <v>I247.57/1161-2</v>
      </c>
    </row>
    <row r="493" customHeight="1" spans="1:6">
      <c r="A493" s="6">
        <v>492</v>
      </c>
      <c r="B493" s="7" t="str">
        <f t="shared" si="207"/>
        <v>978-7-5404-6749-4</v>
      </c>
      <c r="C493" s="7" t="str">
        <f t="shared" si="208"/>
        <v>猎人峰</v>
      </c>
      <c r="D493" s="7" t="str">
        <f t="shared" si="209"/>
        <v>陈应松著</v>
      </c>
      <c r="E493" s="7" t="str">
        <f t="shared" si="210"/>
        <v>湖南文艺出版社</v>
      </c>
      <c r="F493" s="7" t="str">
        <f t="shared" si="211"/>
        <v>I247.57/1161-2</v>
      </c>
    </row>
    <row r="494" customHeight="1" spans="1:6">
      <c r="A494" s="6">
        <v>493</v>
      </c>
      <c r="B494" s="7" t="str">
        <f t="shared" si="207"/>
        <v>978-7-5404-6749-4</v>
      </c>
      <c r="C494" s="7" t="str">
        <f t="shared" si="208"/>
        <v>猎人峰</v>
      </c>
      <c r="D494" s="7" t="str">
        <f t="shared" si="209"/>
        <v>陈应松著</v>
      </c>
      <c r="E494" s="7" t="str">
        <f t="shared" si="210"/>
        <v>湖南文艺出版社</v>
      </c>
      <c r="F494" s="7" t="str">
        <f t="shared" si="211"/>
        <v>I247.57/1161-2</v>
      </c>
    </row>
    <row r="495" customHeight="1" spans="1:6">
      <c r="A495" s="6">
        <v>494</v>
      </c>
      <c r="B495" s="7" t="str">
        <f>"978-7-5354-6692-1"</f>
        <v>978-7-5354-6692-1</v>
      </c>
      <c r="C495" s="7" t="str">
        <f>"白银时代 2010 黑铁时代"</f>
        <v>白银时代 2010 黑铁时代</v>
      </c>
      <c r="D495" s="7" t="str">
        <f>"王小波著"</f>
        <v>王小波著</v>
      </c>
      <c r="E495" s="7" t="str">
        <f>"长江文艺出版社"</f>
        <v>长江文艺出版社</v>
      </c>
      <c r="F495" s="7" t="str">
        <f>"I247.57/2586-2"</f>
        <v>I247.57/2586-2</v>
      </c>
    </row>
    <row r="496" customHeight="1" spans="1:6">
      <c r="A496" s="6">
        <v>495</v>
      </c>
      <c r="B496" s="7" t="str">
        <f>"978-7-5354-6692-1"</f>
        <v>978-7-5354-6692-1</v>
      </c>
      <c r="C496" s="7" t="str">
        <f>"白银时代 2010 黑铁时代"</f>
        <v>白银时代 2010 黑铁时代</v>
      </c>
      <c r="D496" s="7" t="str">
        <f>"王小波著"</f>
        <v>王小波著</v>
      </c>
      <c r="E496" s="7" t="str">
        <f>"长江文艺出版社"</f>
        <v>长江文艺出版社</v>
      </c>
      <c r="F496" s="7" t="str">
        <f>"I247.57/2586-2"</f>
        <v>I247.57/2586-2</v>
      </c>
    </row>
    <row r="497" customHeight="1" spans="1:6">
      <c r="A497" s="6">
        <v>496</v>
      </c>
      <c r="B497" s="7" t="str">
        <f t="shared" ref="B497:B499" si="212">"978-7-5404-9829-0"</f>
        <v>978-7-5404-9829-0</v>
      </c>
      <c r="C497" s="7" t="str">
        <f t="shared" ref="C497:C499" si="213">"苍河白日梦"</f>
        <v>苍河白日梦</v>
      </c>
      <c r="D497" s="7" t="str">
        <f t="shared" ref="D497:D499" si="214">"刘恒著"</f>
        <v>刘恒著</v>
      </c>
      <c r="E497" s="7" t="str">
        <f t="shared" ref="E497:E508" si="215">"湖南文艺出版社"</f>
        <v>湖南文艺出版社</v>
      </c>
      <c r="F497" s="7" t="str">
        <f t="shared" ref="F497:F499" si="216">"I247.57/4200-2"</f>
        <v>I247.57/4200-2</v>
      </c>
    </row>
    <row r="498" customHeight="1" spans="1:6">
      <c r="A498" s="6">
        <v>497</v>
      </c>
      <c r="B498" s="7" t="str">
        <f t="shared" si="212"/>
        <v>978-7-5404-9829-0</v>
      </c>
      <c r="C498" s="7" t="str">
        <f t="shared" si="213"/>
        <v>苍河白日梦</v>
      </c>
      <c r="D498" s="7" t="str">
        <f t="shared" si="214"/>
        <v>刘恒著</v>
      </c>
      <c r="E498" s="7" t="str">
        <f t="shared" si="215"/>
        <v>湖南文艺出版社</v>
      </c>
      <c r="F498" s="7" t="str">
        <f t="shared" si="216"/>
        <v>I247.57/4200-2</v>
      </c>
    </row>
    <row r="499" customHeight="1" spans="1:6">
      <c r="A499" s="6">
        <v>498</v>
      </c>
      <c r="B499" s="7" t="str">
        <f t="shared" si="212"/>
        <v>978-7-5404-9829-0</v>
      </c>
      <c r="C499" s="7" t="str">
        <f t="shared" si="213"/>
        <v>苍河白日梦</v>
      </c>
      <c r="D499" s="7" t="str">
        <f t="shared" si="214"/>
        <v>刘恒著</v>
      </c>
      <c r="E499" s="7" t="str">
        <f t="shared" si="215"/>
        <v>湖南文艺出版社</v>
      </c>
      <c r="F499" s="7" t="str">
        <f t="shared" si="216"/>
        <v>I247.57/4200-2</v>
      </c>
    </row>
    <row r="500" customHeight="1" spans="1:6">
      <c r="A500" s="6">
        <v>499</v>
      </c>
      <c r="B500" s="7" t="str">
        <f t="shared" ref="B500:B502" si="217">"978-7-5404-8759-1"</f>
        <v>978-7-5404-8759-1</v>
      </c>
      <c r="C500" s="7" t="str">
        <f t="shared" ref="C500:C502" si="218">"马桥词典"</f>
        <v>马桥词典</v>
      </c>
      <c r="D500" s="7" t="str">
        <f t="shared" ref="D500:D502" si="219">"韩少功著"</f>
        <v>韩少功著</v>
      </c>
      <c r="E500" s="7" t="str">
        <f t="shared" si="215"/>
        <v>湖南文艺出版社</v>
      </c>
      <c r="F500" s="7" t="str">
        <f t="shared" ref="F500:F502" si="220">"I247.57/5267-5"</f>
        <v>I247.57/5267-5</v>
      </c>
    </row>
    <row r="501" customHeight="1" spans="1:6">
      <c r="A501" s="6">
        <v>500</v>
      </c>
      <c r="B501" s="7" t="str">
        <f t="shared" si="217"/>
        <v>978-7-5404-8759-1</v>
      </c>
      <c r="C501" s="7" t="str">
        <f t="shared" si="218"/>
        <v>马桥词典</v>
      </c>
      <c r="D501" s="7" t="str">
        <f t="shared" si="219"/>
        <v>韩少功著</v>
      </c>
      <c r="E501" s="7" t="str">
        <f t="shared" si="215"/>
        <v>湖南文艺出版社</v>
      </c>
      <c r="F501" s="7" t="str">
        <f t="shared" si="220"/>
        <v>I247.57/5267-5</v>
      </c>
    </row>
    <row r="502" customHeight="1" spans="1:6">
      <c r="A502" s="6">
        <v>501</v>
      </c>
      <c r="B502" s="7" t="str">
        <f t="shared" si="217"/>
        <v>978-7-5404-8759-1</v>
      </c>
      <c r="C502" s="7" t="str">
        <f t="shared" si="218"/>
        <v>马桥词典</v>
      </c>
      <c r="D502" s="7" t="str">
        <f t="shared" si="219"/>
        <v>韩少功著</v>
      </c>
      <c r="E502" s="7" t="str">
        <f t="shared" si="215"/>
        <v>湖南文艺出版社</v>
      </c>
      <c r="F502" s="7" t="str">
        <f t="shared" si="220"/>
        <v>I247.57/5267-5</v>
      </c>
    </row>
    <row r="503" customHeight="1" spans="1:6">
      <c r="A503" s="6">
        <v>502</v>
      </c>
      <c r="B503" s="7" t="str">
        <f t="shared" ref="B503:B505" si="221">"978-7-5404-9439-1"</f>
        <v>978-7-5404-9439-1</v>
      </c>
      <c r="C503" s="7" t="str">
        <f t="shared" ref="C503:C505" si="222">"老旦是一棵树"</f>
        <v>老旦是一棵树</v>
      </c>
      <c r="D503" s="7" t="str">
        <f t="shared" ref="D503:D505" si="223">"杨争光著"</f>
        <v>杨争光著</v>
      </c>
      <c r="E503" s="7" t="str">
        <f t="shared" si="215"/>
        <v>湖南文艺出版社</v>
      </c>
      <c r="F503" s="7" t="str">
        <f t="shared" ref="F503:F505" si="224">"I247.57/7340-2"</f>
        <v>I247.57/7340-2</v>
      </c>
    </row>
    <row r="504" customHeight="1" spans="1:6">
      <c r="A504" s="6">
        <v>503</v>
      </c>
      <c r="B504" s="7" t="str">
        <f t="shared" si="221"/>
        <v>978-7-5404-9439-1</v>
      </c>
      <c r="C504" s="7" t="str">
        <f t="shared" si="222"/>
        <v>老旦是一棵树</v>
      </c>
      <c r="D504" s="7" t="str">
        <f t="shared" si="223"/>
        <v>杨争光著</v>
      </c>
      <c r="E504" s="7" t="str">
        <f t="shared" si="215"/>
        <v>湖南文艺出版社</v>
      </c>
      <c r="F504" s="7" t="str">
        <f t="shared" si="224"/>
        <v>I247.57/7340-2</v>
      </c>
    </row>
    <row r="505" customHeight="1" spans="1:6">
      <c r="A505" s="6">
        <v>504</v>
      </c>
      <c r="B505" s="7" t="str">
        <f t="shared" si="221"/>
        <v>978-7-5404-9439-1</v>
      </c>
      <c r="C505" s="7" t="str">
        <f t="shared" si="222"/>
        <v>老旦是一棵树</v>
      </c>
      <c r="D505" s="7" t="str">
        <f t="shared" si="223"/>
        <v>杨争光著</v>
      </c>
      <c r="E505" s="7" t="str">
        <f t="shared" si="215"/>
        <v>湖南文艺出版社</v>
      </c>
      <c r="F505" s="7" t="str">
        <f t="shared" si="224"/>
        <v>I247.57/7340-2</v>
      </c>
    </row>
    <row r="506" customHeight="1" spans="1:6">
      <c r="A506" s="6">
        <v>505</v>
      </c>
      <c r="B506" s="7" t="str">
        <f t="shared" ref="B506:B508" si="225">"978-7-5404-8820-8"</f>
        <v>978-7-5404-8820-8</v>
      </c>
      <c r="C506" s="7" t="str">
        <f t="shared" ref="C506:C508" si="226">"芙蓉镇"</f>
        <v>芙蓉镇</v>
      </c>
      <c r="D506" s="7" t="str">
        <f t="shared" ref="D506:D508" si="227">"古华著"</f>
        <v>古华著</v>
      </c>
      <c r="E506" s="7" t="str">
        <f t="shared" si="215"/>
        <v>湖南文艺出版社</v>
      </c>
      <c r="F506" s="7" t="str">
        <f t="shared" ref="F506:F508" si="228">"I247.57/7731-2"</f>
        <v>I247.57/7731-2</v>
      </c>
    </row>
    <row r="507" customHeight="1" spans="1:6">
      <c r="A507" s="6">
        <v>506</v>
      </c>
      <c r="B507" s="7" t="str">
        <f t="shared" si="225"/>
        <v>978-7-5404-8820-8</v>
      </c>
      <c r="C507" s="7" t="str">
        <f t="shared" si="226"/>
        <v>芙蓉镇</v>
      </c>
      <c r="D507" s="7" t="str">
        <f t="shared" si="227"/>
        <v>古华著</v>
      </c>
      <c r="E507" s="7" t="str">
        <f t="shared" si="215"/>
        <v>湖南文艺出版社</v>
      </c>
      <c r="F507" s="7" t="str">
        <f t="shared" si="228"/>
        <v>I247.57/7731-2</v>
      </c>
    </row>
    <row r="508" customHeight="1" spans="1:6">
      <c r="A508" s="6">
        <v>507</v>
      </c>
      <c r="B508" s="7" t="str">
        <f t="shared" si="225"/>
        <v>978-7-5404-8820-8</v>
      </c>
      <c r="C508" s="7" t="str">
        <f t="shared" si="226"/>
        <v>芙蓉镇</v>
      </c>
      <c r="D508" s="7" t="str">
        <f t="shared" si="227"/>
        <v>古华著</v>
      </c>
      <c r="E508" s="7" t="str">
        <f t="shared" si="215"/>
        <v>湖南文艺出版社</v>
      </c>
      <c r="F508" s="7" t="str">
        <f t="shared" si="228"/>
        <v>I247.57/7731-2</v>
      </c>
    </row>
    <row r="509" customHeight="1" spans="1:6">
      <c r="A509" s="6">
        <v>508</v>
      </c>
      <c r="B509" s="7" t="str">
        <f t="shared" ref="B509:B511" si="229">"978-7-02-012755-9"</f>
        <v>978-7-02-012755-9</v>
      </c>
      <c r="C509" s="7" t="str">
        <f t="shared" ref="C509:C511" si="230">"重庆之眼"</f>
        <v>重庆之眼</v>
      </c>
      <c r="D509" s="7" t="str">
        <f t="shared" ref="D509:D511" si="231">"范稳著"</f>
        <v>范稳著</v>
      </c>
      <c r="E509" s="7" t="str">
        <f t="shared" ref="E509:E511" si="232">"人民文学出版社"</f>
        <v>人民文学出版社</v>
      </c>
      <c r="F509" s="7" t="str">
        <f t="shared" ref="F509:F511" si="233">"I247.57/7739-2"</f>
        <v>I247.57/7739-2</v>
      </c>
    </row>
    <row r="510" customHeight="1" spans="1:6">
      <c r="A510" s="6">
        <v>509</v>
      </c>
      <c r="B510" s="7" t="str">
        <f t="shared" si="229"/>
        <v>978-7-02-012755-9</v>
      </c>
      <c r="C510" s="7" t="str">
        <f t="shared" si="230"/>
        <v>重庆之眼</v>
      </c>
      <c r="D510" s="7" t="str">
        <f t="shared" si="231"/>
        <v>范稳著</v>
      </c>
      <c r="E510" s="7" t="str">
        <f t="shared" si="232"/>
        <v>人民文学出版社</v>
      </c>
      <c r="F510" s="7" t="str">
        <f t="shared" si="233"/>
        <v>I247.57/7739-2</v>
      </c>
    </row>
    <row r="511" customHeight="1" spans="1:6">
      <c r="A511" s="6">
        <v>510</v>
      </c>
      <c r="B511" s="7" t="str">
        <f t="shared" si="229"/>
        <v>978-7-02-012755-9</v>
      </c>
      <c r="C511" s="7" t="str">
        <f t="shared" si="230"/>
        <v>重庆之眼</v>
      </c>
      <c r="D511" s="7" t="str">
        <f t="shared" si="231"/>
        <v>范稳著</v>
      </c>
      <c r="E511" s="7" t="str">
        <f t="shared" si="232"/>
        <v>人民文学出版社</v>
      </c>
      <c r="F511" s="7" t="str">
        <f t="shared" si="233"/>
        <v>I247.57/7739-2</v>
      </c>
    </row>
    <row r="512" customHeight="1" spans="1:6">
      <c r="A512" s="6">
        <v>511</v>
      </c>
      <c r="B512" s="7" t="str">
        <f t="shared" ref="B512:B514" si="234">"978-7-5596-5398-7"</f>
        <v>978-7-5596-5398-7</v>
      </c>
      <c r="C512" s="7" t="str">
        <f t="shared" ref="C512:C514" si="235">"劳燕"</f>
        <v>劳燕</v>
      </c>
      <c r="D512" s="7" t="str">
        <f t="shared" ref="D512:D514" si="236">"(加) 张翎著"</f>
        <v>(加) 张翎著</v>
      </c>
      <c r="E512" s="7" t="str">
        <f t="shared" ref="E512:E514" si="237">"北京联合出版公司"</f>
        <v>北京联合出版公司</v>
      </c>
      <c r="F512" s="7" t="str">
        <f t="shared" ref="F512:F514" si="238">"I247.57/8547-2"</f>
        <v>I247.57/8547-2</v>
      </c>
    </row>
    <row r="513" customHeight="1" spans="1:6">
      <c r="A513" s="6">
        <v>512</v>
      </c>
      <c r="B513" s="7" t="str">
        <f t="shared" si="234"/>
        <v>978-7-5596-5398-7</v>
      </c>
      <c r="C513" s="7" t="str">
        <f t="shared" si="235"/>
        <v>劳燕</v>
      </c>
      <c r="D513" s="7" t="str">
        <f t="shared" si="236"/>
        <v>(加) 张翎著</v>
      </c>
      <c r="E513" s="7" t="str">
        <f t="shared" si="237"/>
        <v>北京联合出版公司</v>
      </c>
      <c r="F513" s="7" t="str">
        <f t="shared" si="238"/>
        <v>I247.57/8547-2</v>
      </c>
    </row>
    <row r="514" customHeight="1" spans="1:6">
      <c r="A514" s="6">
        <v>513</v>
      </c>
      <c r="B514" s="7" t="str">
        <f t="shared" si="234"/>
        <v>978-7-5596-5398-7</v>
      </c>
      <c r="C514" s="7" t="str">
        <f t="shared" si="235"/>
        <v>劳燕</v>
      </c>
      <c r="D514" s="7" t="str">
        <f t="shared" si="236"/>
        <v>(加) 张翎著</v>
      </c>
      <c r="E514" s="7" t="str">
        <f t="shared" si="237"/>
        <v>北京联合出版公司</v>
      </c>
      <c r="F514" s="7" t="str">
        <f t="shared" si="238"/>
        <v>I247.57/8547-2</v>
      </c>
    </row>
    <row r="515" customHeight="1" spans="1:6">
      <c r="A515" s="6">
        <v>514</v>
      </c>
      <c r="B515" s="7" t="str">
        <f t="shared" ref="B515:B517" si="239">"978-7-5404-9852-8"</f>
        <v>978-7-5404-9852-8</v>
      </c>
      <c r="C515" s="7" t="str">
        <f t="shared" ref="C515:C517" si="240">"上塘书"</f>
        <v>上塘书</v>
      </c>
      <c r="D515" s="7" t="str">
        <f t="shared" ref="D515:D517" si="241">"孙惠芬著"</f>
        <v>孙惠芬著</v>
      </c>
      <c r="E515" s="7" t="str">
        <f t="shared" ref="E515:E517" si="242">"湖南文艺出版社"</f>
        <v>湖南文艺出版社</v>
      </c>
      <c r="F515" s="7" t="str">
        <f t="shared" ref="F515:F517" si="243">"I247.57/8812-2"</f>
        <v>I247.57/8812-2</v>
      </c>
    </row>
    <row r="516" customHeight="1" spans="1:6">
      <c r="A516" s="6">
        <v>515</v>
      </c>
      <c r="B516" s="7" t="str">
        <f t="shared" si="239"/>
        <v>978-7-5404-9852-8</v>
      </c>
      <c r="C516" s="7" t="str">
        <f t="shared" si="240"/>
        <v>上塘书</v>
      </c>
      <c r="D516" s="7" t="str">
        <f t="shared" si="241"/>
        <v>孙惠芬著</v>
      </c>
      <c r="E516" s="7" t="str">
        <f t="shared" si="242"/>
        <v>湖南文艺出版社</v>
      </c>
      <c r="F516" s="7" t="str">
        <f t="shared" si="243"/>
        <v>I247.57/8812-2</v>
      </c>
    </row>
    <row r="517" customHeight="1" spans="1:6">
      <c r="A517" s="6">
        <v>516</v>
      </c>
      <c r="B517" s="7" t="str">
        <f t="shared" si="239"/>
        <v>978-7-5404-9852-8</v>
      </c>
      <c r="C517" s="7" t="str">
        <f t="shared" si="240"/>
        <v>上塘书</v>
      </c>
      <c r="D517" s="7" t="str">
        <f t="shared" si="241"/>
        <v>孙惠芬著</v>
      </c>
      <c r="E517" s="7" t="str">
        <f t="shared" si="242"/>
        <v>湖南文艺出版社</v>
      </c>
      <c r="F517" s="7" t="str">
        <f t="shared" si="243"/>
        <v>I247.57/8812-2</v>
      </c>
    </row>
    <row r="518" customHeight="1" spans="1:6">
      <c r="A518" s="6">
        <v>517</v>
      </c>
      <c r="B518" s="7" t="str">
        <f>"978-7-5212-1432-1"</f>
        <v>978-7-5212-1432-1</v>
      </c>
      <c r="C518" s="7" t="str">
        <f>"神墓．2：谁与争锋"</f>
        <v>神墓．2：谁与争锋</v>
      </c>
      <c r="D518" s="7" t="str">
        <f>"辰东作品"</f>
        <v>辰东作品</v>
      </c>
      <c r="E518" s="7" t="str">
        <f>"作家出版社"</f>
        <v>作家出版社</v>
      </c>
      <c r="F518" s="7" t="str">
        <f>"I247.59/2161/2"</f>
        <v>I247.59/2161/2</v>
      </c>
    </row>
    <row r="519" customHeight="1" spans="1:6">
      <c r="A519" s="6">
        <v>518</v>
      </c>
      <c r="B519" s="7" t="str">
        <f>"978-7-5212-1432-1"</f>
        <v>978-7-5212-1432-1</v>
      </c>
      <c r="C519" s="7" t="str">
        <f>"神墓．2：谁与争锋"</f>
        <v>神墓．2：谁与争锋</v>
      </c>
      <c r="D519" s="7" t="str">
        <f>"辰东作品"</f>
        <v>辰东作品</v>
      </c>
      <c r="E519" s="7" t="str">
        <f>"作家出版社"</f>
        <v>作家出版社</v>
      </c>
      <c r="F519" s="7" t="str">
        <f>"I247.59/2161/2"</f>
        <v>I247.59/2161/2</v>
      </c>
    </row>
    <row r="520" customHeight="1" spans="1:6">
      <c r="A520" s="6">
        <v>519</v>
      </c>
      <c r="B520" s="8" t="s">
        <v>9983</v>
      </c>
      <c r="C520" s="8" t="s">
        <v>9984</v>
      </c>
      <c r="D520" s="8" t="s">
        <v>9985</v>
      </c>
      <c r="E520" s="8" t="s">
        <v>7057</v>
      </c>
      <c r="F520" s="8" t="s">
        <v>9986</v>
      </c>
    </row>
    <row r="521" customHeight="1" spans="1:6">
      <c r="A521" s="6">
        <v>520</v>
      </c>
      <c r="B521" s="8" t="s">
        <v>9983</v>
      </c>
      <c r="C521" s="8" t="s">
        <v>9984</v>
      </c>
      <c r="D521" s="8" t="s">
        <v>9985</v>
      </c>
      <c r="E521" s="8" t="s">
        <v>7057</v>
      </c>
      <c r="F521" s="8" t="s">
        <v>9986</v>
      </c>
    </row>
    <row r="522" customHeight="1" spans="1:6">
      <c r="A522" s="6">
        <v>521</v>
      </c>
      <c r="B522" s="7" t="str">
        <f t="shared" ref="B522:B524" si="244">"978-7-02-016500-1"</f>
        <v>978-7-02-016500-1</v>
      </c>
      <c r="C522" s="7" t="str">
        <f t="shared" ref="C522:C524" si="245">"在龙华跳舞的两个原则"</f>
        <v>在龙华跳舞的两个原则</v>
      </c>
      <c r="D522" s="7" t="str">
        <f t="shared" ref="D522:D524" si="246">"邓一光著"</f>
        <v>邓一光著</v>
      </c>
      <c r="E522" s="7" t="str">
        <f t="shared" ref="E522:E524" si="247">"人民文学出版社"</f>
        <v>人民文学出版社</v>
      </c>
      <c r="F522" s="7" t="str">
        <f t="shared" ref="F522:F524" si="248">"I247.7/2602"</f>
        <v>I247.7/2602</v>
      </c>
    </row>
    <row r="523" customHeight="1" spans="1:6">
      <c r="A523" s="6">
        <v>522</v>
      </c>
      <c r="B523" s="7" t="str">
        <f t="shared" si="244"/>
        <v>978-7-02-016500-1</v>
      </c>
      <c r="C523" s="7" t="str">
        <f t="shared" si="245"/>
        <v>在龙华跳舞的两个原则</v>
      </c>
      <c r="D523" s="7" t="str">
        <f t="shared" si="246"/>
        <v>邓一光著</v>
      </c>
      <c r="E523" s="7" t="str">
        <f t="shared" si="247"/>
        <v>人民文学出版社</v>
      </c>
      <c r="F523" s="7" t="str">
        <f t="shared" si="248"/>
        <v>I247.7/2602</v>
      </c>
    </row>
    <row r="524" customHeight="1" spans="1:6">
      <c r="A524" s="6">
        <v>523</v>
      </c>
      <c r="B524" s="7" t="str">
        <f t="shared" si="244"/>
        <v>978-7-02-016500-1</v>
      </c>
      <c r="C524" s="7" t="str">
        <f t="shared" si="245"/>
        <v>在龙华跳舞的两个原则</v>
      </c>
      <c r="D524" s="7" t="str">
        <f t="shared" si="246"/>
        <v>邓一光著</v>
      </c>
      <c r="E524" s="7" t="str">
        <f t="shared" si="247"/>
        <v>人民文学出版社</v>
      </c>
      <c r="F524" s="7" t="str">
        <f t="shared" si="248"/>
        <v>I247.7/2602</v>
      </c>
    </row>
    <row r="525" customHeight="1" spans="1:6">
      <c r="A525" s="6">
        <v>524</v>
      </c>
      <c r="B525" s="7" t="str">
        <f>"978-7-5447-8574-7"</f>
        <v>978-7-5447-8574-7</v>
      </c>
      <c r="C525" s="7" t="str">
        <f>"俄罗斯套娃"</f>
        <v>俄罗斯套娃</v>
      </c>
      <c r="D525" s="7" t="str">
        <f>"三三著"</f>
        <v>三三著</v>
      </c>
      <c r="E525" s="7" t="str">
        <f>"译林出版社"</f>
        <v>译林出版社</v>
      </c>
      <c r="F525" s="7" t="str">
        <f>"I247.7/2603"</f>
        <v>I247.7/2603</v>
      </c>
    </row>
    <row r="526" customHeight="1" spans="1:6">
      <c r="A526" s="6">
        <v>525</v>
      </c>
      <c r="B526" s="7" t="str">
        <f>"978-7-5447-8574-7"</f>
        <v>978-7-5447-8574-7</v>
      </c>
      <c r="C526" s="7" t="str">
        <f>"俄罗斯套娃"</f>
        <v>俄罗斯套娃</v>
      </c>
      <c r="D526" s="7" t="str">
        <f>"三三著"</f>
        <v>三三著</v>
      </c>
      <c r="E526" s="7" t="str">
        <f>"译林出版社"</f>
        <v>译林出版社</v>
      </c>
      <c r="F526" s="7" t="str">
        <f>"I247.7/2603"</f>
        <v>I247.7/2603</v>
      </c>
    </row>
    <row r="527" customHeight="1" spans="1:6">
      <c r="A527" s="6">
        <v>526</v>
      </c>
      <c r="B527" s="7" t="str">
        <f>"978-7-5313-5804-6"</f>
        <v>978-7-5313-5804-6</v>
      </c>
      <c r="C527" s="7" t="str">
        <f>"暮山见忘集"</f>
        <v>暮山见忘集</v>
      </c>
      <c r="D527" s="7" t="str">
        <f>"丁墨著"</f>
        <v>丁墨著</v>
      </c>
      <c r="E527" s="7" t="str">
        <f>"春风文艺出版社"</f>
        <v>春风文艺出版社</v>
      </c>
      <c r="F527" s="7" t="str">
        <f>"I247.7/2604"</f>
        <v>I247.7/2604</v>
      </c>
    </row>
    <row r="528" customHeight="1" spans="1:6">
      <c r="A528" s="6">
        <v>527</v>
      </c>
      <c r="B528" s="7" t="str">
        <f>"978-7-5313-5804-6"</f>
        <v>978-7-5313-5804-6</v>
      </c>
      <c r="C528" s="7" t="str">
        <f>"暮山见忘集"</f>
        <v>暮山见忘集</v>
      </c>
      <c r="D528" s="7" t="str">
        <f>"丁墨著"</f>
        <v>丁墨著</v>
      </c>
      <c r="E528" s="7" t="str">
        <f>"春风文艺出版社"</f>
        <v>春风文艺出版社</v>
      </c>
      <c r="F528" s="7" t="str">
        <f>"I247.7/2604"</f>
        <v>I247.7/2604</v>
      </c>
    </row>
    <row r="529" customHeight="1" spans="1:6">
      <c r="A529" s="6">
        <v>528</v>
      </c>
      <c r="B529" s="7" t="str">
        <f>"978-7-5550-2579-5"</f>
        <v>978-7-5550-2579-5</v>
      </c>
      <c r="C529" s="7" t="str">
        <f>"角色X"</f>
        <v>角色X</v>
      </c>
      <c r="D529" s="7" t="str">
        <f>"路魆著"</f>
        <v>路魆著</v>
      </c>
      <c r="E529" s="7" t="str">
        <f>"海峡文艺出版社"</f>
        <v>海峡文艺出版社</v>
      </c>
      <c r="F529" s="7" t="str">
        <f>"I247.7/2605"</f>
        <v>I247.7/2605</v>
      </c>
    </row>
    <row r="530" customHeight="1" spans="1:6">
      <c r="A530" s="6">
        <v>529</v>
      </c>
      <c r="B530" s="7" t="str">
        <f>"978-7-5550-2579-5"</f>
        <v>978-7-5550-2579-5</v>
      </c>
      <c r="C530" s="7" t="str">
        <f>"角色X"</f>
        <v>角色X</v>
      </c>
      <c r="D530" s="7" t="str">
        <f>"路魆著"</f>
        <v>路魆著</v>
      </c>
      <c r="E530" s="7" t="str">
        <f>"海峡文艺出版社"</f>
        <v>海峡文艺出版社</v>
      </c>
      <c r="F530" s="7" t="str">
        <f>"I247.7/2605"</f>
        <v>I247.7/2605</v>
      </c>
    </row>
    <row r="531" customHeight="1" spans="1:6">
      <c r="A531" s="6">
        <v>530</v>
      </c>
      <c r="B531" s="7" t="str">
        <f>"978-7-5217-2924-5"</f>
        <v>978-7-5217-2924-5</v>
      </c>
      <c r="C531" s="7" t="str">
        <f>"龙的呼吸阀"</f>
        <v>龙的呼吸阀</v>
      </c>
      <c r="D531" s="7" t="str">
        <f>"未来事务管理局编著"</f>
        <v>未来事务管理局编著</v>
      </c>
      <c r="E531" s="7" t="str">
        <f t="shared" ref="E531:E536" si="249">"中信出版集团股份有限公司"</f>
        <v>中信出版集团股份有限公司</v>
      </c>
      <c r="F531" s="7" t="str">
        <f>"I247.7/2606"</f>
        <v>I247.7/2606</v>
      </c>
    </row>
    <row r="532" customHeight="1" spans="1:6">
      <c r="A532" s="6">
        <v>531</v>
      </c>
      <c r="B532" s="7" t="str">
        <f>"978-7-5217-2924-5"</f>
        <v>978-7-5217-2924-5</v>
      </c>
      <c r="C532" s="7" t="str">
        <f>"龙的呼吸阀"</f>
        <v>龙的呼吸阀</v>
      </c>
      <c r="D532" s="7" t="str">
        <f>"未来事务管理局编著"</f>
        <v>未来事务管理局编著</v>
      </c>
      <c r="E532" s="7" t="str">
        <f t="shared" si="249"/>
        <v>中信出版集团股份有限公司</v>
      </c>
      <c r="F532" s="7" t="str">
        <f>"I247.7/2606"</f>
        <v>I247.7/2606</v>
      </c>
    </row>
    <row r="533" customHeight="1" spans="1:6">
      <c r="A533" s="6">
        <v>532</v>
      </c>
      <c r="B533" s="7" t="str">
        <f>"978-7-5217-3271-9"</f>
        <v>978-7-5217-3271-9</v>
      </c>
      <c r="C533" s="7" t="str">
        <f>"十种寂寞"</f>
        <v>十种寂寞</v>
      </c>
      <c r="D533" s="7" t="str">
        <f>"简媜著"</f>
        <v>简媜著</v>
      </c>
      <c r="E533" s="7" t="str">
        <f t="shared" si="249"/>
        <v>中信出版集团股份有限公司</v>
      </c>
      <c r="F533" s="7" t="str">
        <f>"I247.7/2607"</f>
        <v>I247.7/2607</v>
      </c>
    </row>
    <row r="534" customHeight="1" spans="1:6">
      <c r="A534" s="6">
        <v>533</v>
      </c>
      <c r="B534" s="7" t="str">
        <f>"978-7-5217-3271-9"</f>
        <v>978-7-5217-3271-9</v>
      </c>
      <c r="C534" s="7" t="str">
        <f>"十种寂寞"</f>
        <v>十种寂寞</v>
      </c>
      <c r="D534" s="7" t="str">
        <f>"简媜著"</f>
        <v>简媜著</v>
      </c>
      <c r="E534" s="7" t="str">
        <f t="shared" si="249"/>
        <v>中信出版集团股份有限公司</v>
      </c>
      <c r="F534" s="7" t="str">
        <f>"I247.7/2607"</f>
        <v>I247.7/2607</v>
      </c>
    </row>
    <row r="535" customHeight="1" spans="1:6">
      <c r="A535" s="6">
        <v>534</v>
      </c>
      <c r="B535" s="7" t="str">
        <f>"978-7-5217-3296-2"</f>
        <v>978-7-5217-3296-2</v>
      </c>
      <c r="C535" s="7" t="str">
        <f>"少年、胭脂与灵怪"</f>
        <v>少年、胭脂与灵怪</v>
      </c>
      <c r="D535" s="7" t="str">
        <f>"周恺著"</f>
        <v>周恺著</v>
      </c>
      <c r="E535" s="7" t="str">
        <f t="shared" si="249"/>
        <v>中信出版集团股份有限公司</v>
      </c>
      <c r="F535" s="7" t="str">
        <f>"I247.7/2608"</f>
        <v>I247.7/2608</v>
      </c>
    </row>
    <row r="536" customHeight="1" spans="1:6">
      <c r="A536" s="6">
        <v>535</v>
      </c>
      <c r="B536" s="7" t="str">
        <f>"978-7-5217-3296-2"</f>
        <v>978-7-5217-3296-2</v>
      </c>
      <c r="C536" s="7" t="str">
        <f>"少年、胭脂与灵怪"</f>
        <v>少年、胭脂与灵怪</v>
      </c>
      <c r="D536" s="7" t="str">
        <f>"周恺著"</f>
        <v>周恺著</v>
      </c>
      <c r="E536" s="7" t="str">
        <f t="shared" si="249"/>
        <v>中信出版集团股份有限公司</v>
      </c>
      <c r="F536" s="7" t="str">
        <f>"I247.7/2608"</f>
        <v>I247.7/2608</v>
      </c>
    </row>
    <row r="537" customHeight="1" spans="1:6">
      <c r="A537" s="6">
        <v>536</v>
      </c>
      <c r="B537" s="7" t="str">
        <f>"978-7-5702-2006-9"</f>
        <v>978-7-5702-2006-9</v>
      </c>
      <c r="C537" s="7" t="str">
        <f>"白垩纪往事：魔鬼积木"</f>
        <v>白垩纪往事：魔鬼积木</v>
      </c>
      <c r="D537" s="7" t="str">
        <f>"刘慈欣著"</f>
        <v>刘慈欣著</v>
      </c>
      <c r="E537" s="7" t="str">
        <f>"长江文艺出版社"</f>
        <v>长江文艺出版社</v>
      </c>
      <c r="F537" s="7" t="str">
        <f>"I247.7/2609"</f>
        <v>I247.7/2609</v>
      </c>
    </row>
    <row r="538" customHeight="1" spans="1:6">
      <c r="A538" s="6">
        <v>537</v>
      </c>
      <c r="B538" s="7" t="str">
        <f>"978-7-5702-2006-9"</f>
        <v>978-7-5702-2006-9</v>
      </c>
      <c r="C538" s="7" t="str">
        <f>"白垩纪往事：魔鬼积木"</f>
        <v>白垩纪往事：魔鬼积木</v>
      </c>
      <c r="D538" s="7" t="str">
        <f>"刘慈欣著"</f>
        <v>刘慈欣著</v>
      </c>
      <c r="E538" s="7" t="str">
        <f>"长江文艺出版社"</f>
        <v>长江文艺出版社</v>
      </c>
      <c r="F538" s="7" t="str">
        <f>"I247.7/2609"</f>
        <v>I247.7/2609</v>
      </c>
    </row>
    <row r="539" customHeight="1" spans="1:6">
      <c r="A539" s="6">
        <v>538</v>
      </c>
      <c r="B539" s="7" t="str">
        <f t="shared" ref="B539:B541" si="250">"978-7-221-15935-9"</f>
        <v>978-7-221-15935-9</v>
      </c>
      <c r="C539" s="7" t="str">
        <f t="shared" ref="C539:C541" si="251">"夜的女采摘员"</f>
        <v>夜的女采摘员</v>
      </c>
      <c r="D539" s="7" t="str">
        <f t="shared" ref="D539:D541" si="252">"文珍著"</f>
        <v>文珍著</v>
      </c>
      <c r="E539" s="7" t="str">
        <f t="shared" ref="E539:E541" si="253">"贵州人民出版社"</f>
        <v>贵州人民出版社</v>
      </c>
      <c r="F539" s="7" t="str">
        <f t="shared" ref="F539:F541" si="254">"I247.7/2610"</f>
        <v>I247.7/2610</v>
      </c>
    </row>
    <row r="540" customHeight="1" spans="1:6">
      <c r="A540" s="6">
        <v>539</v>
      </c>
      <c r="B540" s="7" t="str">
        <f t="shared" si="250"/>
        <v>978-7-221-15935-9</v>
      </c>
      <c r="C540" s="7" t="str">
        <f t="shared" si="251"/>
        <v>夜的女采摘员</v>
      </c>
      <c r="D540" s="7" t="str">
        <f t="shared" si="252"/>
        <v>文珍著</v>
      </c>
      <c r="E540" s="7" t="str">
        <f t="shared" si="253"/>
        <v>贵州人民出版社</v>
      </c>
      <c r="F540" s="7" t="str">
        <f t="shared" si="254"/>
        <v>I247.7/2610</v>
      </c>
    </row>
    <row r="541" customHeight="1" spans="1:6">
      <c r="A541" s="6">
        <v>540</v>
      </c>
      <c r="B541" s="7" t="str">
        <f t="shared" si="250"/>
        <v>978-7-221-15935-9</v>
      </c>
      <c r="C541" s="7" t="str">
        <f t="shared" si="251"/>
        <v>夜的女采摘员</v>
      </c>
      <c r="D541" s="7" t="str">
        <f t="shared" si="252"/>
        <v>文珍著</v>
      </c>
      <c r="E541" s="7" t="str">
        <f t="shared" si="253"/>
        <v>贵州人民出版社</v>
      </c>
      <c r="F541" s="7" t="str">
        <f t="shared" si="254"/>
        <v>I247.7/2610</v>
      </c>
    </row>
    <row r="542" customHeight="1" spans="1:6">
      <c r="A542" s="6">
        <v>541</v>
      </c>
      <c r="B542" s="7" t="str">
        <f t="shared" ref="B542:B544" si="255">"978-7-208-16500-7"</f>
        <v>978-7-208-16500-7</v>
      </c>
      <c r="C542" s="7" t="str">
        <f t="shared" ref="C542:C544" si="256">"美满"</f>
        <v>美满</v>
      </c>
      <c r="D542" s="7" t="str">
        <f t="shared" ref="D542:D544" si="257">"淡豹著"</f>
        <v>淡豹著</v>
      </c>
      <c r="E542" s="7" t="str">
        <f t="shared" ref="E542:E544" si="258">"上海人民出版社"</f>
        <v>上海人民出版社</v>
      </c>
      <c r="F542" s="7" t="str">
        <f t="shared" ref="F542:F544" si="259">"I247.7/2611"</f>
        <v>I247.7/2611</v>
      </c>
    </row>
    <row r="543" customHeight="1" spans="1:6">
      <c r="A543" s="6">
        <v>542</v>
      </c>
      <c r="B543" s="7" t="str">
        <f t="shared" si="255"/>
        <v>978-7-208-16500-7</v>
      </c>
      <c r="C543" s="7" t="str">
        <f t="shared" si="256"/>
        <v>美满</v>
      </c>
      <c r="D543" s="7" t="str">
        <f t="shared" si="257"/>
        <v>淡豹著</v>
      </c>
      <c r="E543" s="7" t="str">
        <f t="shared" si="258"/>
        <v>上海人民出版社</v>
      </c>
      <c r="F543" s="7" t="str">
        <f t="shared" si="259"/>
        <v>I247.7/2611</v>
      </c>
    </row>
    <row r="544" customHeight="1" spans="1:6">
      <c r="A544" s="6">
        <v>543</v>
      </c>
      <c r="B544" s="7" t="str">
        <f t="shared" si="255"/>
        <v>978-7-208-16500-7</v>
      </c>
      <c r="C544" s="7" t="str">
        <f t="shared" si="256"/>
        <v>美满</v>
      </c>
      <c r="D544" s="7" t="str">
        <f t="shared" si="257"/>
        <v>淡豹著</v>
      </c>
      <c r="E544" s="7" t="str">
        <f t="shared" si="258"/>
        <v>上海人民出版社</v>
      </c>
      <c r="F544" s="7" t="str">
        <f t="shared" si="259"/>
        <v>I247.7/2611</v>
      </c>
    </row>
    <row r="545" customHeight="1" spans="1:6">
      <c r="A545" s="6">
        <v>544</v>
      </c>
      <c r="B545" s="7" t="str">
        <f t="shared" ref="B545:B547" si="260">"978-7-5321-7767-7"</f>
        <v>978-7-5321-7767-7</v>
      </c>
      <c r="C545" s="7" t="str">
        <f t="shared" ref="C545:C547" si="261">"时间的仆人"</f>
        <v>时间的仆人</v>
      </c>
      <c r="D545" s="7" t="str">
        <f t="shared" ref="D545:D547" si="262">"蒯乐昊著"</f>
        <v>蒯乐昊著</v>
      </c>
      <c r="E545" s="7" t="str">
        <f t="shared" ref="E545:E547" si="263">"上海文艺出版社"</f>
        <v>上海文艺出版社</v>
      </c>
      <c r="F545" s="7" t="str">
        <f t="shared" ref="F545:F547" si="264">"I247.7/2612"</f>
        <v>I247.7/2612</v>
      </c>
    </row>
    <row r="546" customHeight="1" spans="1:6">
      <c r="A546" s="6">
        <v>545</v>
      </c>
      <c r="B546" s="7" t="str">
        <f t="shared" si="260"/>
        <v>978-7-5321-7767-7</v>
      </c>
      <c r="C546" s="7" t="str">
        <f t="shared" si="261"/>
        <v>时间的仆人</v>
      </c>
      <c r="D546" s="7" t="str">
        <f t="shared" si="262"/>
        <v>蒯乐昊著</v>
      </c>
      <c r="E546" s="7" t="str">
        <f t="shared" si="263"/>
        <v>上海文艺出版社</v>
      </c>
      <c r="F546" s="7" t="str">
        <f t="shared" si="264"/>
        <v>I247.7/2612</v>
      </c>
    </row>
    <row r="547" customHeight="1" spans="1:6">
      <c r="A547" s="6">
        <v>546</v>
      </c>
      <c r="B547" s="7" t="str">
        <f t="shared" si="260"/>
        <v>978-7-5321-7767-7</v>
      </c>
      <c r="C547" s="7" t="str">
        <f t="shared" si="261"/>
        <v>时间的仆人</v>
      </c>
      <c r="D547" s="7" t="str">
        <f t="shared" si="262"/>
        <v>蒯乐昊著</v>
      </c>
      <c r="E547" s="7" t="str">
        <f t="shared" si="263"/>
        <v>上海文艺出版社</v>
      </c>
      <c r="F547" s="7" t="str">
        <f t="shared" si="264"/>
        <v>I247.7/2612</v>
      </c>
    </row>
    <row r="548" customHeight="1" spans="1:6">
      <c r="A548" s="6">
        <v>547</v>
      </c>
      <c r="B548" s="7" t="str">
        <f t="shared" ref="B548:B550" si="265">"978-7-02-016588-9"</f>
        <v>978-7-02-016588-9</v>
      </c>
      <c r="C548" s="7" t="str">
        <f t="shared" ref="C548:C550" si="266">"牛人"</f>
        <v>牛人</v>
      </c>
      <c r="D548" s="7" t="str">
        <f t="shared" ref="D548:D550" si="267">"田耳著"</f>
        <v>田耳著</v>
      </c>
      <c r="E548" s="7" t="str">
        <f t="shared" ref="E548:E553" si="268">"人民文学出版社"</f>
        <v>人民文学出版社</v>
      </c>
      <c r="F548" s="7" t="str">
        <f t="shared" ref="F548:F550" si="269">"I247.7/2613"</f>
        <v>I247.7/2613</v>
      </c>
    </row>
    <row r="549" customHeight="1" spans="1:6">
      <c r="A549" s="6">
        <v>548</v>
      </c>
      <c r="B549" s="7" t="str">
        <f t="shared" si="265"/>
        <v>978-7-02-016588-9</v>
      </c>
      <c r="C549" s="7" t="str">
        <f t="shared" si="266"/>
        <v>牛人</v>
      </c>
      <c r="D549" s="7" t="str">
        <f t="shared" si="267"/>
        <v>田耳著</v>
      </c>
      <c r="E549" s="7" t="str">
        <f t="shared" si="268"/>
        <v>人民文学出版社</v>
      </c>
      <c r="F549" s="7" t="str">
        <f t="shared" si="269"/>
        <v>I247.7/2613</v>
      </c>
    </row>
    <row r="550" customHeight="1" spans="1:6">
      <c r="A550" s="6">
        <v>549</v>
      </c>
      <c r="B550" s="7" t="str">
        <f t="shared" si="265"/>
        <v>978-7-02-016588-9</v>
      </c>
      <c r="C550" s="7" t="str">
        <f t="shared" si="266"/>
        <v>牛人</v>
      </c>
      <c r="D550" s="7" t="str">
        <f t="shared" si="267"/>
        <v>田耳著</v>
      </c>
      <c r="E550" s="7" t="str">
        <f t="shared" si="268"/>
        <v>人民文学出版社</v>
      </c>
      <c r="F550" s="7" t="str">
        <f t="shared" si="269"/>
        <v>I247.7/2613</v>
      </c>
    </row>
    <row r="551" customHeight="1" spans="1:6">
      <c r="A551" s="6">
        <v>550</v>
      </c>
      <c r="B551" s="7" t="str">
        <f t="shared" ref="B551:B553" si="270">"978-7-02-016626-8"</f>
        <v>978-7-02-016626-8</v>
      </c>
      <c r="C551" s="7" t="str">
        <f t="shared" ref="C551:C553" si="271">"抚顺故事集"</f>
        <v>抚顺故事集</v>
      </c>
      <c r="D551" s="7" t="str">
        <f t="shared" ref="D551:D553" si="272">"赵松著"</f>
        <v>赵松著</v>
      </c>
      <c r="E551" s="7" t="str">
        <f t="shared" si="268"/>
        <v>人民文学出版社</v>
      </c>
      <c r="F551" s="7" t="str">
        <f t="shared" ref="F551:F553" si="273">"I247.7/2614"</f>
        <v>I247.7/2614</v>
      </c>
    </row>
    <row r="552" customHeight="1" spans="1:6">
      <c r="A552" s="6">
        <v>551</v>
      </c>
      <c r="B552" s="7" t="str">
        <f t="shared" si="270"/>
        <v>978-7-02-016626-8</v>
      </c>
      <c r="C552" s="7" t="str">
        <f t="shared" si="271"/>
        <v>抚顺故事集</v>
      </c>
      <c r="D552" s="7" t="str">
        <f t="shared" si="272"/>
        <v>赵松著</v>
      </c>
      <c r="E552" s="7" t="str">
        <f t="shared" si="268"/>
        <v>人民文学出版社</v>
      </c>
      <c r="F552" s="7" t="str">
        <f t="shared" si="273"/>
        <v>I247.7/2614</v>
      </c>
    </row>
    <row r="553" customHeight="1" spans="1:6">
      <c r="A553" s="6">
        <v>552</v>
      </c>
      <c r="B553" s="7" t="str">
        <f t="shared" si="270"/>
        <v>978-7-02-016626-8</v>
      </c>
      <c r="C553" s="7" t="str">
        <f t="shared" si="271"/>
        <v>抚顺故事集</v>
      </c>
      <c r="D553" s="7" t="str">
        <f t="shared" si="272"/>
        <v>赵松著</v>
      </c>
      <c r="E553" s="7" t="str">
        <f t="shared" si="268"/>
        <v>人民文学出版社</v>
      </c>
      <c r="F553" s="7" t="str">
        <f t="shared" si="273"/>
        <v>I247.7/2614</v>
      </c>
    </row>
    <row r="554" customHeight="1" spans="1:6">
      <c r="A554" s="6">
        <v>553</v>
      </c>
      <c r="B554" s="7" t="str">
        <f t="shared" ref="B554:B556" si="274">"978-7-5302-2111-2"</f>
        <v>978-7-5302-2111-2</v>
      </c>
      <c r="C554" s="7" t="str">
        <f t="shared" ref="C554:C556" si="275">"空镜子"</f>
        <v>空镜子</v>
      </c>
      <c r="D554" s="7" t="str">
        <f t="shared" ref="D554:D556" si="276">"万方著"</f>
        <v>万方著</v>
      </c>
      <c r="E554" s="7" t="str">
        <f t="shared" ref="E554:E556" si="277">"北京十月文艺出版社"</f>
        <v>北京十月文艺出版社</v>
      </c>
      <c r="F554" s="7" t="str">
        <f t="shared" ref="F554:F556" si="278">"I247.7/2615"</f>
        <v>I247.7/2615</v>
      </c>
    </row>
    <row r="555" customHeight="1" spans="1:6">
      <c r="A555" s="6">
        <v>554</v>
      </c>
      <c r="B555" s="7" t="str">
        <f t="shared" si="274"/>
        <v>978-7-5302-2111-2</v>
      </c>
      <c r="C555" s="7" t="str">
        <f t="shared" si="275"/>
        <v>空镜子</v>
      </c>
      <c r="D555" s="7" t="str">
        <f t="shared" si="276"/>
        <v>万方著</v>
      </c>
      <c r="E555" s="7" t="str">
        <f t="shared" si="277"/>
        <v>北京十月文艺出版社</v>
      </c>
      <c r="F555" s="7" t="str">
        <f t="shared" si="278"/>
        <v>I247.7/2615</v>
      </c>
    </row>
    <row r="556" customHeight="1" spans="1:6">
      <c r="A556" s="6">
        <v>555</v>
      </c>
      <c r="B556" s="7" t="str">
        <f t="shared" si="274"/>
        <v>978-7-5302-2111-2</v>
      </c>
      <c r="C556" s="7" t="str">
        <f t="shared" si="275"/>
        <v>空镜子</v>
      </c>
      <c r="D556" s="7" t="str">
        <f t="shared" si="276"/>
        <v>万方著</v>
      </c>
      <c r="E556" s="7" t="str">
        <f t="shared" si="277"/>
        <v>北京十月文艺出版社</v>
      </c>
      <c r="F556" s="7" t="str">
        <f t="shared" si="278"/>
        <v>I247.7/2615</v>
      </c>
    </row>
    <row r="557" customHeight="1" spans="1:6">
      <c r="A557" s="6">
        <v>556</v>
      </c>
      <c r="B557" s="7" t="str">
        <f t="shared" ref="B557:B559" si="279">"978-7-02-016922-1"</f>
        <v>978-7-02-016922-1</v>
      </c>
      <c r="C557" s="7" t="str">
        <f t="shared" ref="C557:C559" si="280">"飞翔故事集"</f>
        <v>飞翔故事集</v>
      </c>
      <c r="D557" s="7" t="str">
        <f t="shared" ref="D557:D559" si="281">"李浩著"</f>
        <v>李浩著</v>
      </c>
      <c r="E557" s="7" t="str">
        <f t="shared" ref="E557:E559" si="282">"人民文学出版社"</f>
        <v>人民文学出版社</v>
      </c>
      <c r="F557" s="7" t="str">
        <f t="shared" ref="F557:F559" si="283">"I247.7/2616"</f>
        <v>I247.7/2616</v>
      </c>
    </row>
    <row r="558" customHeight="1" spans="1:6">
      <c r="A558" s="6">
        <v>557</v>
      </c>
      <c r="B558" s="7" t="str">
        <f t="shared" si="279"/>
        <v>978-7-02-016922-1</v>
      </c>
      <c r="C558" s="7" t="str">
        <f t="shared" si="280"/>
        <v>飞翔故事集</v>
      </c>
      <c r="D558" s="7" t="str">
        <f t="shared" si="281"/>
        <v>李浩著</v>
      </c>
      <c r="E558" s="7" t="str">
        <f t="shared" si="282"/>
        <v>人民文学出版社</v>
      </c>
      <c r="F558" s="7" t="str">
        <f t="shared" si="283"/>
        <v>I247.7/2616</v>
      </c>
    </row>
    <row r="559" customHeight="1" spans="1:6">
      <c r="A559" s="6">
        <v>558</v>
      </c>
      <c r="B559" s="7" t="str">
        <f t="shared" si="279"/>
        <v>978-7-02-016922-1</v>
      </c>
      <c r="C559" s="7" t="str">
        <f t="shared" si="280"/>
        <v>飞翔故事集</v>
      </c>
      <c r="D559" s="7" t="str">
        <f t="shared" si="281"/>
        <v>李浩著</v>
      </c>
      <c r="E559" s="7" t="str">
        <f t="shared" si="282"/>
        <v>人民文学出版社</v>
      </c>
      <c r="F559" s="7" t="str">
        <f t="shared" si="283"/>
        <v>I247.7/2616</v>
      </c>
    </row>
    <row r="560" customHeight="1" spans="1:6">
      <c r="A560" s="6">
        <v>559</v>
      </c>
      <c r="B560" s="8" t="s">
        <v>9987</v>
      </c>
      <c r="C560" s="8" t="s">
        <v>9988</v>
      </c>
      <c r="D560" s="8" t="s">
        <v>9989</v>
      </c>
      <c r="E560" s="8" t="s">
        <v>360</v>
      </c>
      <c r="F560" s="8" t="s">
        <v>9990</v>
      </c>
    </row>
    <row r="561" customHeight="1" spans="1:6">
      <c r="A561" s="6">
        <v>560</v>
      </c>
      <c r="B561" s="8" t="s">
        <v>9987</v>
      </c>
      <c r="C561" s="8" t="s">
        <v>9988</v>
      </c>
      <c r="D561" s="8" t="s">
        <v>9989</v>
      </c>
      <c r="E561" s="8" t="s">
        <v>360</v>
      </c>
      <c r="F561" s="8" t="s">
        <v>9990</v>
      </c>
    </row>
    <row r="562" customHeight="1" spans="1:6">
      <c r="A562" s="6">
        <v>561</v>
      </c>
      <c r="B562" s="8" t="s">
        <v>9987</v>
      </c>
      <c r="C562" s="8" t="s">
        <v>9988</v>
      </c>
      <c r="D562" s="8" t="s">
        <v>9989</v>
      </c>
      <c r="E562" s="8" t="s">
        <v>360</v>
      </c>
      <c r="F562" s="8" t="s">
        <v>9990</v>
      </c>
    </row>
    <row r="563" customHeight="1" spans="1:6">
      <c r="A563" s="6">
        <v>562</v>
      </c>
      <c r="B563" s="8" t="s">
        <v>9991</v>
      </c>
      <c r="C563" s="8" t="s">
        <v>9992</v>
      </c>
      <c r="D563" s="8" t="s">
        <v>9993</v>
      </c>
      <c r="E563" s="8" t="s">
        <v>316</v>
      </c>
      <c r="F563" s="8" t="s">
        <v>9994</v>
      </c>
    </row>
    <row r="564" customHeight="1" spans="1:6">
      <c r="A564" s="6">
        <v>563</v>
      </c>
      <c r="B564" s="8" t="s">
        <v>9991</v>
      </c>
      <c r="C564" s="8" t="s">
        <v>9992</v>
      </c>
      <c r="D564" s="8" t="s">
        <v>9993</v>
      </c>
      <c r="E564" s="8" t="s">
        <v>316</v>
      </c>
      <c r="F564" s="8" t="s">
        <v>9994</v>
      </c>
    </row>
    <row r="565" customHeight="1" spans="1:6">
      <c r="A565" s="6">
        <v>564</v>
      </c>
      <c r="B565" s="8" t="s">
        <v>9995</v>
      </c>
      <c r="C565" s="8" t="s">
        <v>9996</v>
      </c>
      <c r="D565" s="8" t="s">
        <v>9997</v>
      </c>
      <c r="E565" s="8" t="s">
        <v>316</v>
      </c>
      <c r="F565" s="8" t="s">
        <v>9998</v>
      </c>
    </row>
    <row r="566" customHeight="1" spans="1:6">
      <c r="A566" s="6">
        <v>565</v>
      </c>
      <c r="B566" s="8" t="s">
        <v>9995</v>
      </c>
      <c r="C566" s="8" t="s">
        <v>9996</v>
      </c>
      <c r="D566" s="8" t="s">
        <v>9997</v>
      </c>
      <c r="E566" s="8" t="s">
        <v>316</v>
      </c>
      <c r="F566" s="8" t="s">
        <v>9998</v>
      </c>
    </row>
    <row r="567" customHeight="1" spans="1:6">
      <c r="A567" s="6">
        <v>566</v>
      </c>
      <c r="B567" s="8" t="s">
        <v>9995</v>
      </c>
      <c r="C567" s="8" t="s">
        <v>9996</v>
      </c>
      <c r="D567" s="8" t="s">
        <v>9997</v>
      </c>
      <c r="E567" s="8" t="s">
        <v>316</v>
      </c>
      <c r="F567" s="8" t="s">
        <v>9998</v>
      </c>
    </row>
    <row r="568" customHeight="1" spans="1:6">
      <c r="A568" s="6">
        <v>567</v>
      </c>
      <c r="B568" s="8" t="s">
        <v>9999</v>
      </c>
      <c r="C568" s="8" t="s">
        <v>10000</v>
      </c>
      <c r="D568" s="8" t="s">
        <v>10001</v>
      </c>
      <c r="E568" s="8" t="s">
        <v>316</v>
      </c>
      <c r="F568" s="8" t="s">
        <v>10002</v>
      </c>
    </row>
    <row r="569" customHeight="1" spans="1:6">
      <c r="A569" s="6">
        <v>568</v>
      </c>
      <c r="B569" s="8" t="s">
        <v>9999</v>
      </c>
      <c r="C569" s="8" t="s">
        <v>10000</v>
      </c>
      <c r="D569" s="8" t="s">
        <v>10001</v>
      </c>
      <c r="E569" s="8" t="s">
        <v>316</v>
      </c>
      <c r="F569" s="8" t="s">
        <v>10002</v>
      </c>
    </row>
    <row r="570" customHeight="1" spans="1:6">
      <c r="A570" s="6">
        <v>569</v>
      </c>
      <c r="B570" s="8" t="s">
        <v>10003</v>
      </c>
      <c r="C570" s="8" t="s">
        <v>10004</v>
      </c>
      <c r="D570" s="8" t="s">
        <v>10005</v>
      </c>
      <c r="E570" s="8" t="s">
        <v>316</v>
      </c>
      <c r="F570" s="8" t="s">
        <v>10006</v>
      </c>
    </row>
    <row r="571" customHeight="1" spans="1:6">
      <c r="A571" s="6">
        <v>570</v>
      </c>
      <c r="B571" s="8" t="s">
        <v>10003</v>
      </c>
      <c r="C571" s="8" t="s">
        <v>10004</v>
      </c>
      <c r="D571" s="8" t="s">
        <v>10005</v>
      </c>
      <c r="E571" s="8" t="s">
        <v>316</v>
      </c>
      <c r="F571" s="8" t="s">
        <v>10006</v>
      </c>
    </row>
    <row r="572" customHeight="1" spans="1:6">
      <c r="A572" s="6">
        <v>571</v>
      </c>
      <c r="B572" s="8" t="s">
        <v>10003</v>
      </c>
      <c r="C572" s="8" t="s">
        <v>10007</v>
      </c>
      <c r="D572" s="8" t="s">
        <v>10008</v>
      </c>
      <c r="E572" s="8" t="s">
        <v>316</v>
      </c>
      <c r="F572" s="8" t="s">
        <v>10009</v>
      </c>
    </row>
    <row r="573" customHeight="1" spans="1:6">
      <c r="A573" s="6">
        <v>572</v>
      </c>
      <c r="B573" s="8" t="s">
        <v>10003</v>
      </c>
      <c r="C573" s="8" t="s">
        <v>10007</v>
      </c>
      <c r="D573" s="8" t="s">
        <v>10008</v>
      </c>
      <c r="E573" s="8" t="s">
        <v>316</v>
      </c>
      <c r="F573" s="8" t="s">
        <v>10009</v>
      </c>
    </row>
    <row r="574" customHeight="1" spans="1:6">
      <c r="A574" s="6">
        <v>573</v>
      </c>
      <c r="B574" s="8" t="s">
        <v>10003</v>
      </c>
      <c r="C574" s="8" t="s">
        <v>10010</v>
      </c>
      <c r="D574" s="8" t="s">
        <v>10011</v>
      </c>
      <c r="E574" s="8" t="s">
        <v>316</v>
      </c>
      <c r="F574" s="8" t="s">
        <v>10012</v>
      </c>
    </row>
    <row r="575" customHeight="1" spans="1:6">
      <c r="A575" s="6">
        <v>574</v>
      </c>
      <c r="B575" s="8" t="s">
        <v>10003</v>
      </c>
      <c r="C575" s="8" t="s">
        <v>10010</v>
      </c>
      <c r="D575" s="8" t="s">
        <v>10011</v>
      </c>
      <c r="E575" s="8" t="s">
        <v>316</v>
      </c>
      <c r="F575" s="8" t="s">
        <v>10012</v>
      </c>
    </row>
    <row r="576" customHeight="1" spans="1:6">
      <c r="A576" s="6">
        <v>575</v>
      </c>
      <c r="B576" s="8" t="s">
        <v>10003</v>
      </c>
      <c r="C576" s="8" t="s">
        <v>10013</v>
      </c>
      <c r="D576" s="8" t="s">
        <v>10014</v>
      </c>
      <c r="E576" s="8" t="s">
        <v>316</v>
      </c>
      <c r="F576" s="8" t="s">
        <v>10015</v>
      </c>
    </row>
    <row r="577" customHeight="1" spans="1:6">
      <c r="A577" s="6">
        <v>576</v>
      </c>
      <c r="B577" s="8" t="s">
        <v>10003</v>
      </c>
      <c r="C577" s="8" t="s">
        <v>10013</v>
      </c>
      <c r="D577" s="8" t="s">
        <v>10014</v>
      </c>
      <c r="E577" s="8" t="s">
        <v>316</v>
      </c>
      <c r="F577" s="8" t="s">
        <v>10015</v>
      </c>
    </row>
    <row r="578" customHeight="1" spans="1:6">
      <c r="A578" s="6">
        <v>577</v>
      </c>
      <c r="B578" s="7" t="str">
        <f t="shared" ref="B578:B580" si="284">"978-7-5500-4251-3"</f>
        <v>978-7-5500-4251-3</v>
      </c>
      <c r="C578" s="7" t="str">
        <f t="shared" ref="C578:C580" si="285">"寻找证明：庆祝中国共产党成立100周年微型小说作品精选"</f>
        <v>寻找证明：庆祝中国共产党成立100周年微型小说作品精选</v>
      </c>
      <c r="D578" s="7" t="str">
        <f t="shared" ref="D578:D580" si="286">"微型小说选刊杂志社主编"</f>
        <v>微型小说选刊杂志社主编</v>
      </c>
      <c r="E578" s="7" t="str">
        <f t="shared" ref="E578:E580" si="287">"百花洲文艺出版社"</f>
        <v>百花洲文艺出版社</v>
      </c>
      <c r="F578" s="7" t="str">
        <f t="shared" ref="F578:F580" si="288">"I247.8/983"</f>
        <v>I247.8/983</v>
      </c>
    </row>
    <row r="579" customHeight="1" spans="1:6">
      <c r="A579" s="6">
        <v>578</v>
      </c>
      <c r="B579" s="7" t="str">
        <f t="shared" si="284"/>
        <v>978-7-5500-4251-3</v>
      </c>
      <c r="C579" s="7" t="str">
        <f t="shared" si="285"/>
        <v>寻找证明：庆祝中国共产党成立100周年微型小说作品精选</v>
      </c>
      <c r="D579" s="7" t="str">
        <f t="shared" si="286"/>
        <v>微型小说选刊杂志社主编</v>
      </c>
      <c r="E579" s="7" t="str">
        <f t="shared" si="287"/>
        <v>百花洲文艺出版社</v>
      </c>
      <c r="F579" s="7" t="str">
        <f t="shared" si="288"/>
        <v>I247.8/983</v>
      </c>
    </row>
    <row r="580" customHeight="1" spans="1:6">
      <c r="A580" s="6">
        <v>579</v>
      </c>
      <c r="B580" s="7" t="str">
        <f t="shared" si="284"/>
        <v>978-7-5500-4251-3</v>
      </c>
      <c r="C580" s="7" t="str">
        <f t="shared" si="285"/>
        <v>寻找证明：庆祝中国共产党成立100周年微型小说作品精选</v>
      </c>
      <c r="D580" s="7" t="str">
        <f t="shared" si="286"/>
        <v>微型小说选刊杂志社主编</v>
      </c>
      <c r="E580" s="7" t="str">
        <f t="shared" si="287"/>
        <v>百花洲文艺出版社</v>
      </c>
      <c r="F580" s="7" t="str">
        <f t="shared" si="288"/>
        <v>I247.8/983</v>
      </c>
    </row>
    <row r="581" customHeight="1" spans="1:6">
      <c r="A581" s="6">
        <v>580</v>
      </c>
      <c r="B581" s="8" t="s">
        <v>10016</v>
      </c>
      <c r="C581" s="8" t="s">
        <v>10017</v>
      </c>
      <c r="D581" s="8" t="s">
        <v>10018</v>
      </c>
      <c r="E581" s="8" t="s">
        <v>810</v>
      </c>
      <c r="F581" s="8" t="s">
        <v>10019</v>
      </c>
    </row>
    <row r="582" customHeight="1" spans="1:6">
      <c r="A582" s="6">
        <v>581</v>
      </c>
      <c r="B582" s="8" t="s">
        <v>10016</v>
      </c>
      <c r="C582" s="8" t="s">
        <v>10017</v>
      </c>
      <c r="D582" s="8" t="s">
        <v>10018</v>
      </c>
      <c r="E582" s="8" t="s">
        <v>810</v>
      </c>
      <c r="F582" s="8" t="s">
        <v>10019</v>
      </c>
    </row>
    <row r="583" customHeight="1" spans="1:6">
      <c r="A583" s="6">
        <v>582</v>
      </c>
      <c r="B583" s="7" t="str">
        <f t="shared" ref="B583:B585" si="289">"978-7-5142-3461-9"</f>
        <v>978-7-5142-3461-9</v>
      </c>
      <c r="C583" s="7" t="str">
        <f t="shared" ref="C583:C585" si="290">"漫天精灵：第九届小小说金麻雀奖获奖作品集"</f>
        <v>漫天精灵：第九届小小说金麻雀奖获奖作品集</v>
      </c>
      <c r="D583" s="7" t="str">
        <f t="shared" ref="D583:D585" si="291">"杨晓敏， 梁小萍主编"</f>
        <v>杨晓敏， 梁小萍主编</v>
      </c>
      <c r="E583" s="7" t="str">
        <f t="shared" ref="E583:E585" si="292">"文化发展出版社"</f>
        <v>文化发展出版社</v>
      </c>
      <c r="F583" s="7" t="str">
        <f t="shared" ref="F583:F585" si="293">"I247.82/245"</f>
        <v>I247.82/245</v>
      </c>
    </row>
    <row r="584" customHeight="1" spans="1:6">
      <c r="A584" s="6">
        <v>583</v>
      </c>
      <c r="B584" s="7" t="str">
        <f t="shared" si="289"/>
        <v>978-7-5142-3461-9</v>
      </c>
      <c r="C584" s="7" t="str">
        <f t="shared" si="290"/>
        <v>漫天精灵：第九届小小说金麻雀奖获奖作品集</v>
      </c>
      <c r="D584" s="7" t="str">
        <f t="shared" si="291"/>
        <v>杨晓敏， 梁小萍主编</v>
      </c>
      <c r="E584" s="7" t="str">
        <f t="shared" si="292"/>
        <v>文化发展出版社</v>
      </c>
      <c r="F584" s="7" t="str">
        <f t="shared" si="293"/>
        <v>I247.82/245</v>
      </c>
    </row>
    <row r="585" customHeight="1" spans="1:6">
      <c r="A585" s="6">
        <v>584</v>
      </c>
      <c r="B585" s="7" t="str">
        <f t="shared" si="289"/>
        <v>978-7-5142-3461-9</v>
      </c>
      <c r="C585" s="7" t="str">
        <f t="shared" si="290"/>
        <v>漫天精灵：第九届小小说金麻雀奖获奖作品集</v>
      </c>
      <c r="D585" s="7" t="str">
        <f t="shared" si="291"/>
        <v>杨晓敏， 梁小萍主编</v>
      </c>
      <c r="E585" s="7" t="str">
        <f t="shared" si="292"/>
        <v>文化发展出版社</v>
      </c>
      <c r="F585" s="7" t="str">
        <f t="shared" si="293"/>
        <v>I247.82/245</v>
      </c>
    </row>
    <row r="586" customHeight="1" spans="1:6">
      <c r="A586" s="6">
        <v>585</v>
      </c>
      <c r="B586" s="7" t="str">
        <f>"978-7-5526-4162-2"</f>
        <v>978-7-5526-4162-2</v>
      </c>
      <c r="C586" s="7" t="str">
        <f>"族中人"</f>
        <v>族中人</v>
      </c>
      <c r="D586" s="7" t="str">
        <f>"岑燮钧著"</f>
        <v>岑燮钧著</v>
      </c>
      <c r="E586" s="7" t="str">
        <f>"宁波出版社"</f>
        <v>宁波出版社</v>
      </c>
      <c r="F586" s="7" t="str">
        <f>"I247.82/246"</f>
        <v>I247.82/246</v>
      </c>
    </row>
    <row r="587" customHeight="1" spans="1:6">
      <c r="A587" s="6">
        <v>586</v>
      </c>
      <c r="B587" s="7" t="str">
        <f>"978-7-5526-4162-2"</f>
        <v>978-7-5526-4162-2</v>
      </c>
      <c r="C587" s="7" t="str">
        <f>"族中人"</f>
        <v>族中人</v>
      </c>
      <c r="D587" s="7" t="str">
        <f>"岑燮钧著"</f>
        <v>岑燮钧著</v>
      </c>
      <c r="E587" s="7" t="str">
        <f>"宁波出版社"</f>
        <v>宁波出版社</v>
      </c>
      <c r="F587" s="7" t="str">
        <f>"I247.82/246"</f>
        <v>I247.82/246</v>
      </c>
    </row>
    <row r="588" customHeight="1" spans="1:6">
      <c r="A588" s="6">
        <v>587</v>
      </c>
      <c r="B588" s="7" t="str">
        <f>"978-7-5360-9415-4"</f>
        <v>978-7-5360-9415-4</v>
      </c>
      <c r="C588" s="7" t="str">
        <f>"月球上的父亲"</f>
        <v>月球上的父亲</v>
      </c>
      <c r="D588" s="7" t="str">
        <f>"胡晓江著"</f>
        <v>胡晓江著</v>
      </c>
      <c r="E588" s="7" t="str">
        <f t="shared" ref="E588:E592" si="294">"花城出版社"</f>
        <v>花城出版社</v>
      </c>
      <c r="F588" s="7" t="str">
        <f>"I247.82/247"</f>
        <v>I247.82/247</v>
      </c>
    </row>
    <row r="589" customHeight="1" spans="1:6">
      <c r="A589" s="6">
        <v>588</v>
      </c>
      <c r="B589" s="7" t="str">
        <f>"978-7-5360-9415-4"</f>
        <v>978-7-5360-9415-4</v>
      </c>
      <c r="C589" s="7" t="str">
        <f>"月球上的父亲"</f>
        <v>月球上的父亲</v>
      </c>
      <c r="D589" s="7" t="str">
        <f>"胡晓江著"</f>
        <v>胡晓江著</v>
      </c>
      <c r="E589" s="7" t="str">
        <f t="shared" si="294"/>
        <v>花城出版社</v>
      </c>
      <c r="F589" s="7" t="str">
        <f>"I247.82/247"</f>
        <v>I247.82/247</v>
      </c>
    </row>
    <row r="590" customHeight="1" spans="1:6">
      <c r="A590" s="6">
        <v>589</v>
      </c>
      <c r="B590" s="7" t="str">
        <f t="shared" ref="B590:B592" si="295">"978-7-5360-9403-1"</f>
        <v>978-7-5360-9403-1</v>
      </c>
      <c r="C590" s="7" t="str">
        <f t="shared" ref="C590:C592" si="296">"呼唤"</f>
        <v>呼唤</v>
      </c>
      <c r="D590" s="7" t="str">
        <f t="shared" ref="D590:D592" si="297">"主编陈鹏"</f>
        <v>主编陈鹏</v>
      </c>
      <c r="E590" s="7" t="str">
        <f t="shared" si="294"/>
        <v>花城出版社</v>
      </c>
      <c r="F590" s="7" t="str">
        <f t="shared" ref="F590:F592" si="298">"I247/667"</f>
        <v>I247/667</v>
      </c>
    </row>
    <row r="591" customHeight="1" spans="1:6">
      <c r="A591" s="6">
        <v>590</v>
      </c>
      <c r="B591" s="7" t="str">
        <f t="shared" si="295"/>
        <v>978-7-5360-9403-1</v>
      </c>
      <c r="C591" s="7" t="str">
        <f t="shared" si="296"/>
        <v>呼唤</v>
      </c>
      <c r="D591" s="7" t="str">
        <f t="shared" si="297"/>
        <v>主编陈鹏</v>
      </c>
      <c r="E591" s="7" t="str">
        <f t="shared" si="294"/>
        <v>花城出版社</v>
      </c>
      <c r="F591" s="7" t="str">
        <f t="shared" si="298"/>
        <v>I247/667</v>
      </c>
    </row>
    <row r="592" customHeight="1" spans="1:6">
      <c r="A592" s="6">
        <v>591</v>
      </c>
      <c r="B592" s="7" t="str">
        <f t="shared" si="295"/>
        <v>978-7-5360-9403-1</v>
      </c>
      <c r="C592" s="7" t="str">
        <f t="shared" si="296"/>
        <v>呼唤</v>
      </c>
      <c r="D592" s="7" t="str">
        <f t="shared" si="297"/>
        <v>主编陈鹏</v>
      </c>
      <c r="E592" s="7" t="str">
        <f t="shared" si="294"/>
        <v>花城出版社</v>
      </c>
      <c r="F592" s="7" t="str">
        <f t="shared" si="298"/>
        <v>I247/667</v>
      </c>
    </row>
    <row r="593" customHeight="1" spans="1:6">
      <c r="A593" s="6">
        <v>592</v>
      </c>
      <c r="B593" s="7" t="str">
        <f>"978-7-5217-3056-2"</f>
        <v>978-7-5217-3056-2</v>
      </c>
      <c r="C593" s="7" t="str">
        <f>"塔鱼浜自然史"</f>
        <v>塔鱼浜自然史</v>
      </c>
      <c r="D593" s="7" t="str">
        <f>"邹汉明著"</f>
        <v>邹汉明著</v>
      </c>
      <c r="E593" s="7" t="str">
        <f>"中信出版集团股份有限公司"</f>
        <v>中信出版集团股份有限公司</v>
      </c>
      <c r="F593" s="7" t="str">
        <f>"I25/424"</f>
        <v>I25/424</v>
      </c>
    </row>
    <row r="594" customHeight="1" spans="1:6">
      <c r="A594" s="6">
        <v>593</v>
      </c>
      <c r="B594" s="7" t="str">
        <f>"978-7-5217-3056-2"</f>
        <v>978-7-5217-3056-2</v>
      </c>
      <c r="C594" s="7" t="str">
        <f>"塔鱼浜自然史"</f>
        <v>塔鱼浜自然史</v>
      </c>
      <c r="D594" s="7" t="str">
        <f>"邹汉明著"</f>
        <v>邹汉明著</v>
      </c>
      <c r="E594" s="7" t="str">
        <f>"中信出版集团股份有限公司"</f>
        <v>中信出版集团股份有限公司</v>
      </c>
      <c r="F594" s="7" t="str">
        <f>"I25/424"</f>
        <v>I25/424</v>
      </c>
    </row>
    <row r="595" customHeight="1" spans="1:6">
      <c r="A595" s="6">
        <v>594</v>
      </c>
      <c r="B595" s="7" t="str">
        <f>"978-7-108-07006-7"</f>
        <v>978-7-108-07006-7</v>
      </c>
      <c r="C595" s="7" t="str">
        <f>"留学时代"</f>
        <v>留学时代</v>
      </c>
      <c r="D595" s="7" t="str">
        <f>"周作人等；张春田， 张耀宗编"</f>
        <v>周作人等；张春田， 张耀宗编</v>
      </c>
      <c r="E595" s="7" t="str">
        <f t="shared" ref="E595:E598" si="299">"三联书店"</f>
        <v>三联书店</v>
      </c>
      <c r="F595" s="7" t="str">
        <f>"I251.4/2"</f>
        <v>I251.4/2</v>
      </c>
    </row>
    <row r="596" customHeight="1" spans="1:6">
      <c r="A596" s="6">
        <v>595</v>
      </c>
      <c r="B596" s="7" t="str">
        <f>"978-7-108-07006-7"</f>
        <v>978-7-108-07006-7</v>
      </c>
      <c r="C596" s="7" t="str">
        <f>"留学时代"</f>
        <v>留学时代</v>
      </c>
      <c r="D596" s="7" t="str">
        <f>"周作人等；张春田， 张耀宗编"</f>
        <v>周作人等；张春田， 张耀宗编</v>
      </c>
      <c r="E596" s="7" t="str">
        <f t="shared" si="299"/>
        <v>三联书店</v>
      </c>
      <c r="F596" s="7" t="str">
        <f>"I251.4/2"</f>
        <v>I251.4/2</v>
      </c>
    </row>
    <row r="597" customHeight="1" spans="1:6">
      <c r="A597" s="6">
        <v>596</v>
      </c>
      <c r="B597" s="7" t="str">
        <f>"978-7-108-07013-5"</f>
        <v>978-7-108-07013-5</v>
      </c>
      <c r="C597" s="7" t="str">
        <f>"文学江湖"</f>
        <v>文学江湖</v>
      </c>
      <c r="D597" s="7" t="str">
        <f>"王鼎钧著"</f>
        <v>王鼎钧著</v>
      </c>
      <c r="E597" s="7" t="str">
        <f t="shared" si="299"/>
        <v>三联书店</v>
      </c>
      <c r="F597" s="7" t="str">
        <f>"I251/383-2"</f>
        <v>I251/383-2</v>
      </c>
    </row>
    <row r="598" customHeight="1" spans="1:6">
      <c r="A598" s="6">
        <v>597</v>
      </c>
      <c r="B598" s="7" t="str">
        <f>"978-7-108-07013-5"</f>
        <v>978-7-108-07013-5</v>
      </c>
      <c r="C598" s="7" t="str">
        <f>"文学江湖"</f>
        <v>文学江湖</v>
      </c>
      <c r="D598" s="7" t="str">
        <f>"王鼎钧著"</f>
        <v>王鼎钧著</v>
      </c>
      <c r="E598" s="7" t="str">
        <f t="shared" si="299"/>
        <v>三联书店</v>
      </c>
      <c r="F598" s="7" t="str">
        <f>"I251/383-2"</f>
        <v>I251/383-2</v>
      </c>
    </row>
    <row r="599" customHeight="1" spans="1:6">
      <c r="A599" s="6">
        <v>598</v>
      </c>
      <c r="B599" s="7" t="str">
        <f>"978-7-02-016535-3"</f>
        <v>978-7-02-016535-3</v>
      </c>
      <c r="C599" s="7" t="str">
        <f>"靠山"</f>
        <v>靠山</v>
      </c>
      <c r="D599" s="7" t="str">
        <f>"铁流著"</f>
        <v>铁流著</v>
      </c>
      <c r="E599" s="7" t="str">
        <f>"人民文学出版社"</f>
        <v>人民文学出版社</v>
      </c>
      <c r="F599" s="7" t="str">
        <f>"I253.2/315"</f>
        <v>I253.2/315</v>
      </c>
    </row>
    <row r="600" customHeight="1" spans="1:6">
      <c r="A600" s="6">
        <v>599</v>
      </c>
      <c r="B600" s="7" t="str">
        <f>"978-7-02-016535-3"</f>
        <v>978-7-02-016535-3</v>
      </c>
      <c r="C600" s="7" t="str">
        <f>"靠山"</f>
        <v>靠山</v>
      </c>
      <c r="D600" s="7" t="str">
        <f>"铁流著"</f>
        <v>铁流著</v>
      </c>
      <c r="E600" s="7" t="str">
        <f>"人民文学出版社"</f>
        <v>人民文学出版社</v>
      </c>
      <c r="F600" s="7" t="str">
        <f>"I253.2/315"</f>
        <v>I253.2/315</v>
      </c>
    </row>
    <row r="601" customHeight="1" spans="1:6">
      <c r="A601" s="6">
        <v>600</v>
      </c>
      <c r="B601" s="7" t="str">
        <f>"978-7-109-28254-4"</f>
        <v>978-7-109-28254-4</v>
      </c>
      <c r="C601" s="7" t="str">
        <f>"特困片区脱贫记"</f>
        <v>特困片区脱贫记</v>
      </c>
      <c r="D601" s="7" t="str">
        <f>"何兰生等著"</f>
        <v>何兰生等著</v>
      </c>
      <c r="E601" s="7" t="str">
        <f>"中国农业出版社"</f>
        <v>中国农业出版社</v>
      </c>
      <c r="F601" s="7" t="str">
        <f>"I253.3/216"</f>
        <v>I253.3/216</v>
      </c>
    </row>
    <row r="602" customHeight="1" spans="1:6">
      <c r="A602" s="6">
        <v>601</v>
      </c>
      <c r="B602" s="7" t="str">
        <f>"978-7-109-28254-4"</f>
        <v>978-7-109-28254-4</v>
      </c>
      <c r="C602" s="7" t="str">
        <f>"特困片区脱贫记"</f>
        <v>特困片区脱贫记</v>
      </c>
      <c r="D602" s="7" t="str">
        <f>"何兰生等著"</f>
        <v>何兰生等著</v>
      </c>
      <c r="E602" s="7" t="str">
        <f>"中国农业出版社"</f>
        <v>中国农业出版社</v>
      </c>
      <c r="F602" s="7" t="str">
        <f>"I253.3/216"</f>
        <v>I253.3/216</v>
      </c>
    </row>
    <row r="603" customHeight="1" spans="1:6">
      <c r="A603" s="6">
        <v>602</v>
      </c>
      <c r="B603" s="7" t="str">
        <f t="shared" ref="B603:B605" si="300">"978-7-229-15776-0"</f>
        <v>978-7-229-15776-0</v>
      </c>
      <c r="C603" s="7" t="str">
        <f t="shared" ref="C603:C605" si="301">"社区现场"</f>
        <v>社区现场</v>
      </c>
      <c r="D603" s="7" t="str">
        <f t="shared" ref="D603:D605" si="302">"李燕燕著"</f>
        <v>李燕燕著</v>
      </c>
      <c r="E603" s="7" t="str">
        <f t="shared" ref="E603:E605" si="303">"重庆出版社"</f>
        <v>重庆出版社</v>
      </c>
      <c r="F603" s="7" t="str">
        <f t="shared" ref="F603:F605" si="304">"I253.7/477"</f>
        <v>I253.7/477</v>
      </c>
    </row>
    <row r="604" customHeight="1" spans="1:6">
      <c r="A604" s="6">
        <v>603</v>
      </c>
      <c r="B604" s="7" t="str">
        <f t="shared" si="300"/>
        <v>978-7-229-15776-0</v>
      </c>
      <c r="C604" s="7" t="str">
        <f t="shared" si="301"/>
        <v>社区现场</v>
      </c>
      <c r="D604" s="7" t="str">
        <f t="shared" si="302"/>
        <v>李燕燕著</v>
      </c>
      <c r="E604" s="7" t="str">
        <f t="shared" si="303"/>
        <v>重庆出版社</v>
      </c>
      <c r="F604" s="7" t="str">
        <f t="shared" si="304"/>
        <v>I253.7/477</v>
      </c>
    </row>
    <row r="605" customHeight="1" spans="1:6">
      <c r="A605" s="6">
        <v>604</v>
      </c>
      <c r="B605" s="7" t="str">
        <f t="shared" si="300"/>
        <v>978-7-229-15776-0</v>
      </c>
      <c r="C605" s="7" t="str">
        <f t="shared" si="301"/>
        <v>社区现场</v>
      </c>
      <c r="D605" s="7" t="str">
        <f t="shared" si="302"/>
        <v>李燕燕著</v>
      </c>
      <c r="E605" s="7" t="str">
        <f t="shared" si="303"/>
        <v>重庆出版社</v>
      </c>
      <c r="F605" s="7" t="str">
        <f t="shared" si="304"/>
        <v>I253.7/477</v>
      </c>
    </row>
    <row r="606" customHeight="1" spans="1:6">
      <c r="A606" s="6">
        <v>605</v>
      </c>
      <c r="B606" s="7" t="str">
        <f>"978-7-5695-2239-6"</f>
        <v>978-7-5695-2239-6</v>
      </c>
      <c r="C606" s="7" t="str">
        <f>"国家战略：延安脱贫的真正秘密"</f>
        <v>国家战略：延安脱贫的真正秘密</v>
      </c>
      <c r="D606" s="7" t="str">
        <f>"邢小俊著"</f>
        <v>邢小俊著</v>
      </c>
      <c r="E606" s="7" t="str">
        <f>"陕西师范大学出版总社"</f>
        <v>陕西师范大学出版总社</v>
      </c>
      <c r="F606" s="7" t="str">
        <f>"I253.7/478"</f>
        <v>I253.7/478</v>
      </c>
    </row>
    <row r="607" customHeight="1" spans="1:6">
      <c r="A607" s="6">
        <v>606</v>
      </c>
      <c r="B607" s="7" t="str">
        <f>"978-7-5695-2239-6"</f>
        <v>978-7-5695-2239-6</v>
      </c>
      <c r="C607" s="7" t="str">
        <f>"国家战略：延安脱贫的真正秘密"</f>
        <v>国家战略：延安脱贫的真正秘密</v>
      </c>
      <c r="D607" s="7" t="str">
        <f>"邢小俊著"</f>
        <v>邢小俊著</v>
      </c>
      <c r="E607" s="7" t="str">
        <f>"陕西师范大学出版总社"</f>
        <v>陕西师范大学出版总社</v>
      </c>
      <c r="F607" s="7" t="str">
        <f>"I253.7/478"</f>
        <v>I253.7/478</v>
      </c>
    </row>
    <row r="608" customHeight="1" spans="1:6">
      <c r="A608" s="6">
        <v>607</v>
      </c>
      <c r="B608" s="7" t="str">
        <f>"978-7-5490-2016-4"</f>
        <v>978-7-5490-2016-4</v>
      </c>
      <c r="C608" s="7" t="str">
        <f>"丹心挥洒新愿"</f>
        <v>丹心挥洒新愿</v>
      </c>
      <c r="D608" s="7" t="str">
        <f t="shared" ref="D608:D611" si="305">"读者原创版编辑部编"</f>
        <v>读者原创版编辑部编</v>
      </c>
      <c r="E608" s="7" t="str">
        <f t="shared" ref="E608:E611" si="306">"甘肃文化出版社"</f>
        <v>甘肃文化出版社</v>
      </c>
      <c r="F608" s="7" t="str">
        <f>"I253.7/479"</f>
        <v>I253.7/479</v>
      </c>
    </row>
    <row r="609" customHeight="1" spans="1:6">
      <c r="A609" s="6">
        <v>608</v>
      </c>
      <c r="B609" s="7" t="str">
        <f>"978-7-5490-2016-4"</f>
        <v>978-7-5490-2016-4</v>
      </c>
      <c r="C609" s="7" t="str">
        <f>"丹心挥洒新愿"</f>
        <v>丹心挥洒新愿</v>
      </c>
      <c r="D609" s="7" t="str">
        <f t="shared" si="305"/>
        <v>读者原创版编辑部编</v>
      </c>
      <c r="E609" s="7" t="str">
        <f t="shared" si="306"/>
        <v>甘肃文化出版社</v>
      </c>
      <c r="F609" s="7" t="str">
        <f>"I253.7/479"</f>
        <v>I253.7/479</v>
      </c>
    </row>
    <row r="610" customHeight="1" spans="1:6">
      <c r="A610" s="6">
        <v>609</v>
      </c>
      <c r="B610" s="7" t="str">
        <f>"978-7-5490-2019-5"</f>
        <v>978-7-5490-2019-5</v>
      </c>
      <c r="C610" s="7" t="str">
        <f>"一生终于一事：故事里的中国印象"</f>
        <v>一生终于一事：故事里的中国印象</v>
      </c>
      <c r="D610" s="7" t="str">
        <f t="shared" si="305"/>
        <v>读者原创版编辑部编</v>
      </c>
      <c r="E610" s="7" t="str">
        <f t="shared" si="306"/>
        <v>甘肃文化出版社</v>
      </c>
      <c r="F610" s="7" t="str">
        <f>"I253.7/480"</f>
        <v>I253.7/480</v>
      </c>
    </row>
    <row r="611" customHeight="1" spans="1:6">
      <c r="A611" s="6">
        <v>610</v>
      </c>
      <c r="B611" s="7" t="str">
        <f>"978-7-5490-2019-5"</f>
        <v>978-7-5490-2019-5</v>
      </c>
      <c r="C611" s="7" t="str">
        <f>"一生终于一事：故事里的中国印象"</f>
        <v>一生终于一事：故事里的中国印象</v>
      </c>
      <c r="D611" s="7" t="str">
        <f t="shared" si="305"/>
        <v>读者原创版编辑部编</v>
      </c>
      <c r="E611" s="7" t="str">
        <f t="shared" si="306"/>
        <v>甘肃文化出版社</v>
      </c>
      <c r="F611" s="7" t="str">
        <f>"I253.7/480"</f>
        <v>I253.7/480</v>
      </c>
    </row>
    <row r="612" customHeight="1" spans="1:6">
      <c r="A612" s="6">
        <v>611</v>
      </c>
      <c r="B612" s="8" t="s">
        <v>10020</v>
      </c>
      <c r="C612" s="8" t="s">
        <v>10021</v>
      </c>
      <c r="D612" s="8" t="s">
        <v>10022</v>
      </c>
      <c r="E612" s="8" t="s">
        <v>10023</v>
      </c>
      <c r="F612" s="8" t="s">
        <v>10024</v>
      </c>
    </row>
    <row r="613" customHeight="1" spans="1:6">
      <c r="A613" s="6">
        <v>612</v>
      </c>
      <c r="B613" s="8" t="s">
        <v>10020</v>
      </c>
      <c r="C613" s="8" t="s">
        <v>10021</v>
      </c>
      <c r="D613" s="8" t="s">
        <v>10022</v>
      </c>
      <c r="E613" s="8" t="s">
        <v>10023</v>
      </c>
      <c r="F613" s="8" t="s">
        <v>10024</v>
      </c>
    </row>
    <row r="614" customHeight="1" spans="1:6">
      <c r="A614" s="6">
        <v>613</v>
      </c>
      <c r="B614" s="7" t="str">
        <f>"978-7-5455-6159-3"</f>
        <v>978-7-5455-6159-3</v>
      </c>
      <c r="C614" s="7" t="str">
        <f>"红墙警卫：卫士长回忆毛泽东"</f>
        <v>红墙警卫：卫士长回忆毛泽东</v>
      </c>
      <c r="D614" s="7" t="str">
        <f>"何建明著"</f>
        <v>何建明著</v>
      </c>
      <c r="E614" s="7" t="str">
        <f>"天地出版社"</f>
        <v>天地出版社</v>
      </c>
      <c r="F614" s="7" t="str">
        <f>"I253/292-3"</f>
        <v>I253/292-3</v>
      </c>
    </row>
    <row r="615" customHeight="1" spans="1:6">
      <c r="A615" s="6">
        <v>614</v>
      </c>
      <c r="B615" s="7" t="str">
        <f>"978-7-5455-6159-3"</f>
        <v>978-7-5455-6159-3</v>
      </c>
      <c r="C615" s="7" t="str">
        <f>"红墙警卫：卫士长回忆毛泽东"</f>
        <v>红墙警卫：卫士长回忆毛泽东</v>
      </c>
      <c r="D615" s="7" t="str">
        <f>"何建明著"</f>
        <v>何建明著</v>
      </c>
      <c r="E615" s="7" t="str">
        <f>"天地出版社"</f>
        <v>天地出版社</v>
      </c>
      <c r="F615" s="7" t="str">
        <f>"I253/292-3"</f>
        <v>I253/292-3</v>
      </c>
    </row>
    <row r="616" customHeight="1" spans="1:6">
      <c r="A616" s="6">
        <v>615</v>
      </c>
      <c r="B616" s="7" t="str">
        <f>"978-7-5115-6974-5"</f>
        <v>978-7-5115-6974-5</v>
      </c>
      <c r="C616" s="7" t="str">
        <f>"好新闻的样子：中国新闻奖作品赏析"</f>
        <v>好新闻的样子：中国新闻奖作品赏析</v>
      </c>
      <c r="D616" s="7" t="str">
        <f>"朱建华， 郑良中著"</f>
        <v>朱建华， 郑良中著</v>
      </c>
      <c r="E616" s="7" t="str">
        <f>"人民日报出版社"</f>
        <v>人民日报出版社</v>
      </c>
      <c r="F616" s="7" t="str">
        <f>"I253/756"</f>
        <v>I253/756</v>
      </c>
    </row>
    <row r="617" customHeight="1" spans="1:6">
      <c r="A617" s="6">
        <v>616</v>
      </c>
      <c r="B617" s="7" t="str">
        <f>"978-7-5115-6974-5"</f>
        <v>978-7-5115-6974-5</v>
      </c>
      <c r="C617" s="7" t="str">
        <f>"好新闻的样子：中国新闻奖作品赏析"</f>
        <v>好新闻的样子：中国新闻奖作品赏析</v>
      </c>
      <c r="D617" s="7" t="str">
        <f>"朱建华， 郑良中著"</f>
        <v>朱建华， 郑良中著</v>
      </c>
      <c r="E617" s="7" t="str">
        <f>"人民日报出版社"</f>
        <v>人民日报出版社</v>
      </c>
      <c r="F617" s="7" t="str">
        <f>"I253/756"</f>
        <v>I253/756</v>
      </c>
    </row>
    <row r="618" customHeight="1" spans="1:6">
      <c r="A618" s="6">
        <v>617</v>
      </c>
      <c r="B618" s="7" t="str">
        <f>"978-7-5212-1383-6"</f>
        <v>978-7-5212-1383-6</v>
      </c>
      <c r="C618" s="7" t="str">
        <f>"红色引擎：来自上海市国资委系统红旗党组织的报告"</f>
        <v>红色引擎：来自上海市国资委系统红旗党组织的报告</v>
      </c>
      <c r="D618" s="7" t="str">
        <f>"上海市国资委党委主编"</f>
        <v>上海市国资委党委主编</v>
      </c>
      <c r="E618" s="7" t="str">
        <f>"作家出版社"</f>
        <v>作家出版社</v>
      </c>
      <c r="F618" s="7" t="str">
        <f>"I253/757"</f>
        <v>I253/757</v>
      </c>
    </row>
    <row r="619" customHeight="1" spans="1:6">
      <c r="A619" s="6">
        <v>618</v>
      </c>
      <c r="B619" s="7" t="str">
        <f>"978-7-5212-1383-6"</f>
        <v>978-7-5212-1383-6</v>
      </c>
      <c r="C619" s="7" t="str">
        <f>"红色引擎：来自上海市国资委系统红旗党组织的报告"</f>
        <v>红色引擎：来自上海市国资委系统红旗党组织的报告</v>
      </c>
      <c r="D619" s="7" t="str">
        <f>"上海市国资委党委主编"</f>
        <v>上海市国资委党委主编</v>
      </c>
      <c r="E619" s="7" t="str">
        <f>"作家出版社"</f>
        <v>作家出版社</v>
      </c>
      <c r="F619" s="7" t="str">
        <f>"I253/757"</f>
        <v>I253/757</v>
      </c>
    </row>
    <row r="620" customHeight="1" spans="1:6">
      <c r="A620" s="6">
        <v>619</v>
      </c>
      <c r="B620" s="8" t="s">
        <v>10025</v>
      </c>
      <c r="C620" s="8" t="s">
        <v>10026</v>
      </c>
      <c r="D620" s="8" t="s">
        <v>10027</v>
      </c>
      <c r="E620" s="8" t="s">
        <v>9881</v>
      </c>
      <c r="F620" s="8" t="s">
        <v>10028</v>
      </c>
    </row>
    <row r="621" customHeight="1" spans="1:6">
      <c r="A621" s="6">
        <v>620</v>
      </c>
      <c r="B621" s="8" t="s">
        <v>10025</v>
      </c>
      <c r="C621" s="8" t="s">
        <v>10026</v>
      </c>
      <c r="D621" s="8" t="s">
        <v>10027</v>
      </c>
      <c r="E621" s="8" t="s">
        <v>9881</v>
      </c>
      <c r="F621" s="8" t="s">
        <v>10028</v>
      </c>
    </row>
    <row r="622" customHeight="1" spans="1:6">
      <c r="A622" s="6">
        <v>621</v>
      </c>
      <c r="B622" s="8" t="s">
        <v>10025</v>
      </c>
      <c r="C622" s="8" t="s">
        <v>10026</v>
      </c>
      <c r="D622" s="8" t="s">
        <v>10027</v>
      </c>
      <c r="E622" s="8" t="s">
        <v>9881</v>
      </c>
      <c r="F622" s="8" t="s">
        <v>10028</v>
      </c>
    </row>
    <row r="623" customHeight="1" spans="1:6">
      <c r="A623" s="6">
        <v>622</v>
      </c>
      <c r="B623" s="7" t="str">
        <f t="shared" ref="B623:B625" si="307">"978-7-5145-1752-1"</f>
        <v>978-7-5145-1752-1</v>
      </c>
      <c r="C623" s="7" t="str">
        <f t="shared" ref="C623:C625" si="308">"沈从文：到日光下去生活"</f>
        <v>沈从文：到日光下去生活</v>
      </c>
      <c r="D623" s="7" t="str">
        <f t="shared" ref="D623:D625" si="309">"沈从文著"</f>
        <v>沈从文著</v>
      </c>
      <c r="E623" s="7" t="str">
        <f t="shared" ref="E623:E625" si="310">"中国致公出版社"</f>
        <v>中国致公出版社</v>
      </c>
      <c r="F623" s="7" t="str">
        <f t="shared" ref="F623:F625" si="311">"I266/1152"</f>
        <v>I266/1152</v>
      </c>
    </row>
    <row r="624" customHeight="1" spans="1:6">
      <c r="A624" s="6">
        <v>623</v>
      </c>
      <c r="B624" s="7" t="str">
        <f t="shared" si="307"/>
        <v>978-7-5145-1752-1</v>
      </c>
      <c r="C624" s="7" t="str">
        <f t="shared" si="308"/>
        <v>沈从文：到日光下去生活</v>
      </c>
      <c r="D624" s="7" t="str">
        <f t="shared" si="309"/>
        <v>沈从文著</v>
      </c>
      <c r="E624" s="7" t="str">
        <f t="shared" si="310"/>
        <v>中国致公出版社</v>
      </c>
      <c r="F624" s="7" t="str">
        <f t="shared" si="311"/>
        <v>I266/1152</v>
      </c>
    </row>
    <row r="625" customHeight="1" spans="1:6">
      <c r="A625" s="6">
        <v>624</v>
      </c>
      <c r="B625" s="7" t="str">
        <f t="shared" si="307"/>
        <v>978-7-5145-1752-1</v>
      </c>
      <c r="C625" s="7" t="str">
        <f t="shared" si="308"/>
        <v>沈从文：到日光下去生活</v>
      </c>
      <c r="D625" s="7" t="str">
        <f t="shared" si="309"/>
        <v>沈从文著</v>
      </c>
      <c r="E625" s="7" t="str">
        <f t="shared" si="310"/>
        <v>中国致公出版社</v>
      </c>
      <c r="F625" s="7" t="str">
        <f t="shared" si="311"/>
        <v>I266/1152</v>
      </c>
    </row>
    <row r="626" customHeight="1" spans="1:6">
      <c r="A626" s="6">
        <v>625</v>
      </c>
      <c r="B626" s="9" t="str">
        <f>"978-7-101-15254-8"</f>
        <v>978-7-101-15254-8</v>
      </c>
      <c r="C626" s="9" t="str">
        <f>"掌故．第八集"</f>
        <v>掌故．第八集</v>
      </c>
      <c r="D626" s="9" t="str">
        <f>"主编徐俊"</f>
        <v>主编徐俊</v>
      </c>
      <c r="E626" s="9" t="str">
        <f>"中华书局"</f>
        <v>中华书局</v>
      </c>
      <c r="F626" s="9" t="str">
        <f>"I267.1/1557/8"</f>
        <v>I267.1/1557/8</v>
      </c>
    </row>
    <row r="627" customHeight="1" spans="1:6">
      <c r="A627" s="6">
        <v>626</v>
      </c>
      <c r="B627" s="9" t="str">
        <f>"978-7-101-15254-8"</f>
        <v>978-7-101-15254-8</v>
      </c>
      <c r="C627" s="9" t="str">
        <f>"掌故．第八集"</f>
        <v>掌故．第八集</v>
      </c>
      <c r="D627" s="9" t="str">
        <f>"主编徐俊"</f>
        <v>主编徐俊</v>
      </c>
      <c r="E627" s="9" t="str">
        <f>"中华书局"</f>
        <v>中华书局</v>
      </c>
      <c r="F627" s="9" t="str">
        <f>"I267.1/1557/8"</f>
        <v>I267.1/1557/8</v>
      </c>
    </row>
    <row r="628" customHeight="1" spans="1:6">
      <c r="A628" s="6">
        <v>627</v>
      </c>
      <c r="B628" s="7" t="str">
        <f>"978-7-5302-2154-9"</f>
        <v>978-7-5302-2154-9</v>
      </c>
      <c r="C628" s="7" t="str">
        <f>"宝贝， 宝贝"</f>
        <v>宝贝， 宝贝</v>
      </c>
      <c r="D628" s="7" t="str">
        <f>"周国平著"</f>
        <v>周国平著</v>
      </c>
      <c r="E628" s="7" t="str">
        <f>"北京十月文艺出版社"</f>
        <v>北京十月文艺出版社</v>
      </c>
      <c r="F628" s="7" t="str">
        <f>"I267.1/1639=2D"</f>
        <v>I267.1/1639=2D</v>
      </c>
    </row>
    <row r="629" customHeight="1" spans="1:6">
      <c r="A629" s="6">
        <v>628</v>
      </c>
      <c r="B629" s="7" t="str">
        <f>"978-7-5302-2154-9"</f>
        <v>978-7-5302-2154-9</v>
      </c>
      <c r="C629" s="7" t="str">
        <f>"宝贝， 宝贝"</f>
        <v>宝贝， 宝贝</v>
      </c>
      <c r="D629" s="7" t="str">
        <f>"周国平著"</f>
        <v>周国平著</v>
      </c>
      <c r="E629" s="7" t="str">
        <f>"北京十月文艺出版社"</f>
        <v>北京十月文艺出版社</v>
      </c>
      <c r="F629" s="7" t="str">
        <f>"I267.1/1639=2D"</f>
        <v>I267.1/1639=2D</v>
      </c>
    </row>
    <row r="630" customHeight="1" spans="1:6">
      <c r="A630" s="6">
        <v>629</v>
      </c>
      <c r="B630" s="7" t="str">
        <f t="shared" ref="B630:B632" si="312">"978-7-5447-8705-5"</f>
        <v>978-7-5447-8705-5</v>
      </c>
      <c r="C630" s="7" t="str">
        <f t="shared" ref="C630:C632" si="313">"寡人"</f>
        <v>寡人</v>
      </c>
      <c r="D630" s="7" t="str">
        <f t="shared" ref="D630:D632" si="314">"阿乙"</f>
        <v>阿乙</v>
      </c>
      <c r="E630" s="7" t="str">
        <f t="shared" ref="E630:E632" si="315">"译林出版社"</f>
        <v>译林出版社</v>
      </c>
      <c r="F630" s="7" t="str">
        <f t="shared" ref="F630:F632" si="316">"I267.1/2788"</f>
        <v>I267.1/2788</v>
      </c>
    </row>
    <row r="631" customHeight="1" spans="1:6">
      <c r="A631" s="6">
        <v>630</v>
      </c>
      <c r="B631" s="7" t="str">
        <f t="shared" si="312"/>
        <v>978-7-5447-8705-5</v>
      </c>
      <c r="C631" s="7" t="str">
        <f t="shared" si="313"/>
        <v>寡人</v>
      </c>
      <c r="D631" s="7" t="str">
        <f t="shared" si="314"/>
        <v>阿乙</v>
      </c>
      <c r="E631" s="7" t="str">
        <f t="shared" si="315"/>
        <v>译林出版社</v>
      </c>
      <c r="F631" s="7" t="str">
        <f t="shared" si="316"/>
        <v>I267.1/2788</v>
      </c>
    </row>
    <row r="632" customHeight="1" spans="1:6">
      <c r="A632" s="6">
        <v>631</v>
      </c>
      <c r="B632" s="7" t="str">
        <f t="shared" si="312"/>
        <v>978-7-5447-8705-5</v>
      </c>
      <c r="C632" s="7" t="str">
        <f t="shared" si="313"/>
        <v>寡人</v>
      </c>
      <c r="D632" s="7" t="str">
        <f t="shared" si="314"/>
        <v>阿乙</v>
      </c>
      <c r="E632" s="7" t="str">
        <f t="shared" si="315"/>
        <v>译林出版社</v>
      </c>
      <c r="F632" s="7" t="str">
        <f t="shared" si="316"/>
        <v>I267.1/2788</v>
      </c>
    </row>
    <row r="633" customHeight="1" spans="1:6">
      <c r="A633" s="6">
        <v>632</v>
      </c>
      <c r="B633" s="7" t="str">
        <f>"978-7-5133-4549-1"</f>
        <v>978-7-5133-4549-1</v>
      </c>
      <c r="C633" s="7" t="str">
        <f>"随笔集"</f>
        <v>随笔集</v>
      </c>
      <c r="D633" s="7" t="str">
        <f>"严家炎著"</f>
        <v>严家炎著</v>
      </c>
      <c r="E633" s="7" t="str">
        <f>"新星出版社"</f>
        <v>新星出版社</v>
      </c>
      <c r="F633" s="7" t="str">
        <f>"I267.1/2789"</f>
        <v>I267.1/2789</v>
      </c>
    </row>
    <row r="634" customHeight="1" spans="1:6">
      <c r="A634" s="6">
        <v>633</v>
      </c>
      <c r="B634" s="7" t="str">
        <f>"978-7-5133-4550-7"</f>
        <v>978-7-5133-4550-7</v>
      </c>
      <c r="C634" s="7" t="str">
        <f>"对话集"</f>
        <v>对话集</v>
      </c>
      <c r="D634" s="7" t="str">
        <f>"严家炎著"</f>
        <v>严家炎著</v>
      </c>
      <c r="E634" s="7" t="str">
        <f>"新星出版社"</f>
        <v>新星出版社</v>
      </c>
      <c r="F634" s="7" t="str">
        <f>"I267.1/2790"</f>
        <v>I267.1/2790</v>
      </c>
    </row>
    <row r="635" customHeight="1" spans="1:6">
      <c r="A635" s="6">
        <v>634</v>
      </c>
      <c r="B635" s="7" t="str">
        <f t="shared" ref="B635:B637" si="317">"978-7-5596-5314-7"</f>
        <v>978-7-5596-5314-7</v>
      </c>
      <c r="C635" s="7" t="str">
        <f t="shared" ref="C635:C637" si="318">"有本事"</f>
        <v>有本事</v>
      </c>
      <c r="D635" s="7" t="str">
        <f t="shared" ref="D635:D637" si="319">"冯唐著"</f>
        <v>冯唐著</v>
      </c>
      <c r="E635" s="7" t="str">
        <f t="shared" ref="E635:E637" si="320">"北京联合出版公司"</f>
        <v>北京联合出版公司</v>
      </c>
      <c r="F635" s="7" t="str">
        <f t="shared" ref="F635:F637" si="321">"I267.1/2791"</f>
        <v>I267.1/2791</v>
      </c>
    </row>
    <row r="636" customHeight="1" spans="1:6">
      <c r="A636" s="6">
        <v>635</v>
      </c>
      <c r="B636" s="7" t="str">
        <f t="shared" si="317"/>
        <v>978-7-5596-5314-7</v>
      </c>
      <c r="C636" s="7" t="str">
        <f t="shared" si="318"/>
        <v>有本事</v>
      </c>
      <c r="D636" s="7" t="str">
        <f t="shared" si="319"/>
        <v>冯唐著</v>
      </c>
      <c r="E636" s="7" t="str">
        <f t="shared" si="320"/>
        <v>北京联合出版公司</v>
      </c>
      <c r="F636" s="7" t="str">
        <f t="shared" si="321"/>
        <v>I267.1/2791</v>
      </c>
    </row>
    <row r="637" customHeight="1" spans="1:6">
      <c r="A637" s="6">
        <v>636</v>
      </c>
      <c r="B637" s="7" t="str">
        <f t="shared" si="317"/>
        <v>978-7-5596-5314-7</v>
      </c>
      <c r="C637" s="7" t="str">
        <f t="shared" si="318"/>
        <v>有本事</v>
      </c>
      <c r="D637" s="7" t="str">
        <f t="shared" si="319"/>
        <v>冯唐著</v>
      </c>
      <c r="E637" s="7" t="str">
        <f t="shared" si="320"/>
        <v>北京联合出版公司</v>
      </c>
      <c r="F637" s="7" t="str">
        <f t="shared" si="321"/>
        <v>I267.1/2791</v>
      </c>
    </row>
    <row r="638" customHeight="1" spans="1:6">
      <c r="A638" s="6">
        <v>637</v>
      </c>
      <c r="B638" s="7" t="str">
        <f t="shared" ref="B638:B640" si="322">"978-7-5302-2194-5"</f>
        <v>978-7-5302-2194-5</v>
      </c>
      <c r="C638" s="7" t="str">
        <f t="shared" ref="C638:C640" si="323">"我爱这哭不出来的浪漫"</f>
        <v>我爱这哭不出来的浪漫</v>
      </c>
      <c r="D638" s="7" t="str">
        <f t="shared" ref="D638:D640" si="324">"严明著"</f>
        <v>严明著</v>
      </c>
      <c r="E638" s="7" t="str">
        <f t="shared" ref="E638:E640" si="325">"北京十月文艺出版社"</f>
        <v>北京十月文艺出版社</v>
      </c>
      <c r="F638" s="7" t="str">
        <f t="shared" ref="F638:F640" si="326">"I267.1/2792"</f>
        <v>I267.1/2792</v>
      </c>
    </row>
    <row r="639" customHeight="1" spans="1:6">
      <c r="A639" s="6">
        <v>638</v>
      </c>
      <c r="B639" s="7" t="str">
        <f t="shared" si="322"/>
        <v>978-7-5302-2194-5</v>
      </c>
      <c r="C639" s="7" t="str">
        <f t="shared" si="323"/>
        <v>我爱这哭不出来的浪漫</v>
      </c>
      <c r="D639" s="7" t="str">
        <f t="shared" si="324"/>
        <v>严明著</v>
      </c>
      <c r="E639" s="7" t="str">
        <f t="shared" si="325"/>
        <v>北京十月文艺出版社</v>
      </c>
      <c r="F639" s="7" t="str">
        <f t="shared" si="326"/>
        <v>I267.1/2792</v>
      </c>
    </row>
    <row r="640" customHeight="1" spans="1:6">
      <c r="A640" s="6">
        <v>639</v>
      </c>
      <c r="B640" s="7" t="str">
        <f t="shared" si="322"/>
        <v>978-7-5302-2194-5</v>
      </c>
      <c r="C640" s="7" t="str">
        <f t="shared" si="323"/>
        <v>我爱这哭不出来的浪漫</v>
      </c>
      <c r="D640" s="7" t="str">
        <f t="shared" si="324"/>
        <v>严明著</v>
      </c>
      <c r="E640" s="7" t="str">
        <f t="shared" si="325"/>
        <v>北京十月文艺出版社</v>
      </c>
      <c r="F640" s="7" t="str">
        <f t="shared" si="326"/>
        <v>I267.1/2792</v>
      </c>
    </row>
    <row r="641" customHeight="1" spans="1:6">
      <c r="A641" s="6">
        <v>640</v>
      </c>
      <c r="B641" s="8" t="s">
        <v>10029</v>
      </c>
      <c r="C641" s="8" t="s">
        <v>10030</v>
      </c>
      <c r="D641" s="8" t="s">
        <v>10031</v>
      </c>
      <c r="E641" s="8" t="s">
        <v>202</v>
      </c>
      <c r="F641" s="8" t="s">
        <v>10032</v>
      </c>
    </row>
    <row r="642" customHeight="1" spans="1:6">
      <c r="A642" s="6">
        <v>641</v>
      </c>
      <c r="B642" s="8" t="s">
        <v>10029</v>
      </c>
      <c r="C642" s="8" t="s">
        <v>10030</v>
      </c>
      <c r="D642" s="8" t="s">
        <v>10031</v>
      </c>
      <c r="E642" s="8" t="s">
        <v>202</v>
      </c>
      <c r="F642" s="8" t="s">
        <v>10032</v>
      </c>
    </row>
    <row r="643" customHeight="1" spans="1:6">
      <c r="A643" s="6">
        <v>642</v>
      </c>
      <c r="B643" s="8" t="s">
        <v>10033</v>
      </c>
      <c r="C643" s="8" t="s">
        <v>10034</v>
      </c>
      <c r="D643" s="8" t="s">
        <v>9985</v>
      </c>
      <c r="E643" s="8" t="s">
        <v>7057</v>
      </c>
      <c r="F643" s="8" t="s">
        <v>10035</v>
      </c>
    </row>
    <row r="644" customHeight="1" spans="1:6">
      <c r="A644" s="6">
        <v>643</v>
      </c>
      <c r="B644" s="8" t="s">
        <v>10033</v>
      </c>
      <c r="C644" s="8" t="s">
        <v>10034</v>
      </c>
      <c r="D644" s="8" t="s">
        <v>9985</v>
      </c>
      <c r="E644" s="8" t="s">
        <v>7057</v>
      </c>
      <c r="F644" s="8" t="s">
        <v>10035</v>
      </c>
    </row>
    <row r="645" customHeight="1" spans="1:6">
      <c r="A645" s="6">
        <v>644</v>
      </c>
      <c r="B645" s="8" t="s">
        <v>10036</v>
      </c>
      <c r="C645" s="8" t="s">
        <v>10037</v>
      </c>
      <c r="D645" s="8" t="s">
        <v>10038</v>
      </c>
      <c r="E645" s="8" t="s">
        <v>197</v>
      </c>
      <c r="F645" s="8" t="s">
        <v>10039</v>
      </c>
    </row>
    <row r="646" customHeight="1" spans="1:6">
      <c r="A646" s="6">
        <v>645</v>
      </c>
      <c r="B646" s="8" t="s">
        <v>10036</v>
      </c>
      <c r="C646" s="8" t="s">
        <v>10037</v>
      </c>
      <c r="D646" s="8" t="s">
        <v>10038</v>
      </c>
      <c r="E646" s="8" t="s">
        <v>197</v>
      </c>
      <c r="F646" s="8" t="s">
        <v>10039</v>
      </c>
    </row>
    <row r="647" customHeight="1" spans="1:6">
      <c r="A647" s="6">
        <v>646</v>
      </c>
      <c r="B647" s="8" t="s">
        <v>10040</v>
      </c>
      <c r="C647" s="8" t="s">
        <v>10041</v>
      </c>
      <c r="D647" s="8" t="s">
        <v>10042</v>
      </c>
      <c r="E647" s="8" t="s">
        <v>8383</v>
      </c>
      <c r="F647" s="8" t="s">
        <v>10043</v>
      </c>
    </row>
    <row r="648" customHeight="1" spans="1:6">
      <c r="A648" s="6">
        <v>647</v>
      </c>
      <c r="B648" s="8" t="s">
        <v>10040</v>
      </c>
      <c r="C648" s="8" t="s">
        <v>10041</v>
      </c>
      <c r="D648" s="8" t="s">
        <v>10042</v>
      </c>
      <c r="E648" s="8" t="s">
        <v>8383</v>
      </c>
      <c r="F648" s="8" t="s">
        <v>10043</v>
      </c>
    </row>
    <row r="649" customHeight="1" spans="1:6">
      <c r="A649" s="6">
        <v>648</v>
      </c>
      <c r="B649" s="7" t="str">
        <f>"978-7-101-15246-3"</f>
        <v>978-7-101-15246-3</v>
      </c>
      <c r="C649" s="7" t="str">
        <f>"书问京都"</f>
        <v>书问京都</v>
      </c>
      <c r="D649" s="7" t="str">
        <f>"苏枕书著"</f>
        <v>苏枕书著</v>
      </c>
      <c r="E649" s="7" t="str">
        <f>"中华书局"</f>
        <v>中华书局</v>
      </c>
      <c r="F649" s="7" t="str">
        <f>"I267.5/275"</f>
        <v>I267.5/275</v>
      </c>
    </row>
    <row r="650" customHeight="1" spans="1:6">
      <c r="A650" s="6">
        <v>649</v>
      </c>
      <c r="B650" s="7" t="str">
        <f>"978-7-101-15246-3"</f>
        <v>978-7-101-15246-3</v>
      </c>
      <c r="C650" s="7" t="str">
        <f>"书问京都"</f>
        <v>书问京都</v>
      </c>
      <c r="D650" s="7" t="str">
        <f>"苏枕书著"</f>
        <v>苏枕书著</v>
      </c>
      <c r="E650" s="7" t="str">
        <f>"中华书局"</f>
        <v>中华书局</v>
      </c>
      <c r="F650" s="7" t="str">
        <f>"I267.5/275"</f>
        <v>I267.5/275</v>
      </c>
    </row>
    <row r="651" customHeight="1" spans="1:6">
      <c r="A651" s="6">
        <v>650</v>
      </c>
      <c r="B651" s="7" t="str">
        <f t="shared" ref="B651:B653" si="327">"978-7-5442-9795-0"</f>
        <v>978-7-5442-9795-0</v>
      </c>
      <c r="C651" s="7" t="str">
        <f t="shared" ref="C651:C653" si="328">"我的灵魂在纸背上"</f>
        <v>我的灵魂在纸背上</v>
      </c>
      <c r="D651" s="7" t="str">
        <f t="shared" ref="D651:D653" si="329">"三毛著"</f>
        <v>三毛著</v>
      </c>
      <c r="E651" s="7" t="str">
        <f t="shared" ref="E651:E653" si="330">"南海出版公司"</f>
        <v>南海出版公司</v>
      </c>
      <c r="F651" s="7" t="str">
        <f t="shared" ref="F651:F653" si="331">"I267.5/276"</f>
        <v>I267.5/276</v>
      </c>
    </row>
    <row r="652" customHeight="1" spans="1:6">
      <c r="A652" s="6">
        <v>651</v>
      </c>
      <c r="B652" s="7" t="str">
        <f t="shared" si="327"/>
        <v>978-7-5442-9795-0</v>
      </c>
      <c r="C652" s="7" t="str">
        <f t="shared" si="328"/>
        <v>我的灵魂在纸背上</v>
      </c>
      <c r="D652" s="7" t="str">
        <f t="shared" si="329"/>
        <v>三毛著</v>
      </c>
      <c r="E652" s="7" t="str">
        <f t="shared" si="330"/>
        <v>南海出版公司</v>
      </c>
      <c r="F652" s="7" t="str">
        <f t="shared" si="331"/>
        <v>I267.5/276</v>
      </c>
    </row>
    <row r="653" customHeight="1" spans="1:6">
      <c r="A653" s="6">
        <v>652</v>
      </c>
      <c r="B653" s="7" t="str">
        <f t="shared" si="327"/>
        <v>978-7-5442-9795-0</v>
      </c>
      <c r="C653" s="7" t="str">
        <f t="shared" si="328"/>
        <v>我的灵魂在纸背上</v>
      </c>
      <c r="D653" s="7" t="str">
        <f t="shared" si="329"/>
        <v>三毛著</v>
      </c>
      <c r="E653" s="7" t="str">
        <f t="shared" si="330"/>
        <v>南海出版公司</v>
      </c>
      <c r="F653" s="7" t="str">
        <f t="shared" si="331"/>
        <v>I267.5/276</v>
      </c>
    </row>
    <row r="654" customHeight="1" spans="1:6">
      <c r="A654" s="6">
        <v>653</v>
      </c>
      <c r="B654" s="7" t="str">
        <f t="shared" ref="B654:B656" si="332">"978-7-02-016233-8"</f>
        <v>978-7-02-016233-8</v>
      </c>
      <c r="C654" s="7" t="str">
        <f t="shared" ref="C654:C656" si="333">"柔软的距离"</f>
        <v>柔软的距离</v>
      </c>
      <c r="D654" s="7" t="str">
        <f t="shared" ref="D654:D656" si="334">"邓安庆著"</f>
        <v>邓安庆著</v>
      </c>
      <c r="E654" s="7" t="str">
        <f t="shared" ref="E654:E656" si="335">"人民文学出版社"</f>
        <v>人民文学出版社</v>
      </c>
      <c r="F654" s="7" t="str">
        <f t="shared" ref="F654:F656" si="336">"I267/1174-2"</f>
        <v>I267/1174-2</v>
      </c>
    </row>
    <row r="655" customHeight="1" spans="1:6">
      <c r="A655" s="6">
        <v>654</v>
      </c>
      <c r="B655" s="7" t="str">
        <f t="shared" si="332"/>
        <v>978-7-02-016233-8</v>
      </c>
      <c r="C655" s="7" t="str">
        <f t="shared" si="333"/>
        <v>柔软的距离</v>
      </c>
      <c r="D655" s="7" t="str">
        <f t="shared" si="334"/>
        <v>邓安庆著</v>
      </c>
      <c r="E655" s="7" t="str">
        <f t="shared" si="335"/>
        <v>人民文学出版社</v>
      </c>
      <c r="F655" s="7" t="str">
        <f t="shared" si="336"/>
        <v>I267/1174-2</v>
      </c>
    </row>
    <row r="656" customHeight="1" spans="1:6">
      <c r="A656" s="6">
        <v>655</v>
      </c>
      <c r="B656" s="7" t="str">
        <f t="shared" si="332"/>
        <v>978-7-02-016233-8</v>
      </c>
      <c r="C656" s="7" t="str">
        <f t="shared" si="333"/>
        <v>柔软的距离</v>
      </c>
      <c r="D656" s="7" t="str">
        <f t="shared" si="334"/>
        <v>邓安庆著</v>
      </c>
      <c r="E656" s="7" t="str">
        <f t="shared" si="335"/>
        <v>人民文学出版社</v>
      </c>
      <c r="F656" s="7" t="str">
        <f t="shared" si="336"/>
        <v>I267/1174-2</v>
      </c>
    </row>
    <row r="657" customHeight="1" spans="1:6">
      <c r="A657" s="6">
        <v>656</v>
      </c>
      <c r="B657" s="8" t="s">
        <v>10044</v>
      </c>
      <c r="C657" s="8" t="s">
        <v>10045</v>
      </c>
      <c r="D657" s="13"/>
      <c r="E657" s="8" t="s">
        <v>330</v>
      </c>
      <c r="F657" s="8" t="s">
        <v>10046</v>
      </c>
    </row>
    <row r="658" customHeight="1" spans="1:6">
      <c r="A658" s="6">
        <v>657</v>
      </c>
      <c r="B658" s="8" t="s">
        <v>10044</v>
      </c>
      <c r="C658" s="8" t="s">
        <v>10045</v>
      </c>
      <c r="D658" s="13"/>
      <c r="E658" s="8" t="s">
        <v>330</v>
      </c>
      <c r="F658" s="8" t="s">
        <v>10046</v>
      </c>
    </row>
    <row r="659" customHeight="1" spans="1:6">
      <c r="A659" s="6">
        <v>658</v>
      </c>
      <c r="B659" s="7" t="str">
        <f t="shared" ref="B659:B661" si="337">"978-7-5212-0884-9"</f>
        <v>978-7-5212-0884-9</v>
      </c>
      <c r="C659" s="7" t="str">
        <f t="shared" ref="C659:C661" si="338">"不完满才是人生"</f>
        <v>不完满才是人生</v>
      </c>
      <c r="D659" s="7" t="str">
        <f t="shared" ref="D659:D661" si="339">"季羡林著"</f>
        <v>季羡林著</v>
      </c>
      <c r="E659" s="7" t="str">
        <f t="shared" ref="E659:E661" si="340">"作家出版社"</f>
        <v>作家出版社</v>
      </c>
      <c r="F659" s="7" t="str">
        <f t="shared" ref="F659:F661" si="341">"I267/377-2"</f>
        <v>I267/377-2</v>
      </c>
    </row>
    <row r="660" customHeight="1" spans="1:6">
      <c r="A660" s="6">
        <v>659</v>
      </c>
      <c r="B660" s="7" t="str">
        <f t="shared" si="337"/>
        <v>978-7-5212-0884-9</v>
      </c>
      <c r="C660" s="7" t="str">
        <f t="shared" si="338"/>
        <v>不完满才是人生</v>
      </c>
      <c r="D660" s="7" t="str">
        <f t="shared" si="339"/>
        <v>季羡林著</v>
      </c>
      <c r="E660" s="7" t="str">
        <f t="shared" si="340"/>
        <v>作家出版社</v>
      </c>
      <c r="F660" s="7" t="str">
        <f t="shared" si="341"/>
        <v>I267/377-2</v>
      </c>
    </row>
    <row r="661" customHeight="1" spans="1:6">
      <c r="A661" s="6">
        <v>660</v>
      </c>
      <c r="B661" s="7" t="str">
        <f t="shared" si="337"/>
        <v>978-7-5212-0884-9</v>
      </c>
      <c r="C661" s="7" t="str">
        <f t="shared" si="338"/>
        <v>不完满才是人生</v>
      </c>
      <c r="D661" s="7" t="str">
        <f t="shared" si="339"/>
        <v>季羡林著</v>
      </c>
      <c r="E661" s="7" t="str">
        <f t="shared" si="340"/>
        <v>作家出版社</v>
      </c>
      <c r="F661" s="7" t="str">
        <f t="shared" si="341"/>
        <v>I267/377-2</v>
      </c>
    </row>
    <row r="662" customHeight="1" spans="1:6">
      <c r="A662" s="6">
        <v>661</v>
      </c>
      <c r="B662" s="9" t="str">
        <f>"978-7-5484-6013-8"</f>
        <v>978-7-5484-6013-8</v>
      </c>
      <c r="C662" s="9" t="str">
        <f>"中国人的人文精神"</f>
        <v>中国人的人文精神</v>
      </c>
      <c r="D662" s="9" t="str">
        <f>"张岱年著"</f>
        <v>张岱年著</v>
      </c>
      <c r="E662" s="9" t="str">
        <f>"哈尔滨出版社"</f>
        <v>哈尔滨出版社</v>
      </c>
      <c r="F662" s="9" t="str">
        <f>"I267/4464-2"</f>
        <v>I267/4464-2</v>
      </c>
    </row>
    <row r="663" customHeight="1" spans="1:6">
      <c r="A663" s="6">
        <v>662</v>
      </c>
      <c r="B663" s="9" t="str">
        <f>"978-7-5484-6013-8"</f>
        <v>978-7-5484-6013-8</v>
      </c>
      <c r="C663" s="9" t="str">
        <f>"中国人的人文精神"</f>
        <v>中国人的人文精神</v>
      </c>
      <c r="D663" s="9" t="str">
        <f>"张岱年著"</f>
        <v>张岱年著</v>
      </c>
      <c r="E663" s="9" t="str">
        <f>"哈尔滨出版社"</f>
        <v>哈尔滨出版社</v>
      </c>
      <c r="F663" s="9" t="str">
        <f>"I267/4464-2"</f>
        <v>I267/4464-2</v>
      </c>
    </row>
    <row r="664" customHeight="1" spans="1:6">
      <c r="A664" s="6">
        <v>663</v>
      </c>
      <c r="B664" s="9" t="str">
        <f>"978-7-5212-1214-3"</f>
        <v>978-7-5212-1214-3</v>
      </c>
      <c r="C664" s="9" t="str">
        <f>"纸上繁花"</f>
        <v>纸上繁花</v>
      </c>
      <c r="D664" s="9" t="str">
        <f>"祝勇著"</f>
        <v>祝勇著</v>
      </c>
      <c r="E664" s="9" t="str">
        <f>"作家出版社"</f>
        <v>作家出版社</v>
      </c>
      <c r="F664" s="9" t="str">
        <f>"I267/6653"</f>
        <v>I267/6653</v>
      </c>
    </row>
    <row r="665" customHeight="1" spans="1:6">
      <c r="A665" s="6">
        <v>664</v>
      </c>
      <c r="B665" s="9" t="str">
        <f>"978-7-5212-1214-3"</f>
        <v>978-7-5212-1214-3</v>
      </c>
      <c r="C665" s="9" t="str">
        <f>"纸上繁花"</f>
        <v>纸上繁花</v>
      </c>
      <c r="D665" s="9" t="str">
        <f>"祝勇著"</f>
        <v>祝勇著</v>
      </c>
      <c r="E665" s="9" t="str">
        <f>"作家出版社"</f>
        <v>作家出版社</v>
      </c>
      <c r="F665" s="9" t="str">
        <f>"I267/6653"</f>
        <v>I267/6653</v>
      </c>
    </row>
    <row r="666" customHeight="1" spans="1:6">
      <c r="A666" s="6">
        <v>665</v>
      </c>
      <c r="B666" s="9" t="str">
        <f>"978-7-5205-2844-3"</f>
        <v>978-7-5205-2844-3</v>
      </c>
      <c r="C666" s="9" t="str">
        <f>"向阳草暖"</f>
        <v>向阳草暖</v>
      </c>
      <c r="D666" s="9" t="str">
        <f>"张建春著"</f>
        <v>张建春著</v>
      </c>
      <c r="E666" s="9" t="str">
        <f t="shared" ref="E666:E669" si="342">"中国文史出版社"</f>
        <v>中国文史出版社</v>
      </c>
      <c r="F666" s="9" t="str">
        <f>"I267/6654"</f>
        <v>I267/6654</v>
      </c>
    </row>
    <row r="667" customHeight="1" spans="1:6">
      <c r="A667" s="6">
        <v>666</v>
      </c>
      <c r="B667" s="9" t="str">
        <f>"978-7-5205-2844-3"</f>
        <v>978-7-5205-2844-3</v>
      </c>
      <c r="C667" s="9" t="str">
        <f>"向阳草暖"</f>
        <v>向阳草暖</v>
      </c>
      <c r="D667" s="9" t="str">
        <f>"张建春著"</f>
        <v>张建春著</v>
      </c>
      <c r="E667" s="9" t="str">
        <f t="shared" si="342"/>
        <v>中国文史出版社</v>
      </c>
      <c r="F667" s="9" t="str">
        <f>"I267/6654"</f>
        <v>I267/6654</v>
      </c>
    </row>
    <row r="668" customHeight="1" spans="1:6">
      <c r="A668" s="6">
        <v>667</v>
      </c>
      <c r="B668" s="9" t="str">
        <f>"978-7-5205-2843-6"</f>
        <v>978-7-5205-2843-6</v>
      </c>
      <c r="C668" s="9" t="str">
        <f>"素衣闲坐赏杏花"</f>
        <v>素衣闲坐赏杏花</v>
      </c>
      <c r="D668" s="9" t="str">
        <f>"吕秀彬著"</f>
        <v>吕秀彬著</v>
      </c>
      <c r="E668" s="9" t="str">
        <f t="shared" si="342"/>
        <v>中国文史出版社</v>
      </c>
      <c r="F668" s="9" t="str">
        <f>"I267/6655"</f>
        <v>I267/6655</v>
      </c>
    </row>
    <row r="669" customHeight="1" spans="1:6">
      <c r="A669" s="6">
        <v>668</v>
      </c>
      <c r="B669" s="9" t="str">
        <f>"978-7-5205-2843-6"</f>
        <v>978-7-5205-2843-6</v>
      </c>
      <c r="C669" s="9" t="str">
        <f>"素衣闲坐赏杏花"</f>
        <v>素衣闲坐赏杏花</v>
      </c>
      <c r="D669" s="9" t="str">
        <f>"吕秀彬著"</f>
        <v>吕秀彬著</v>
      </c>
      <c r="E669" s="9" t="str">
        <f t="shared" si="342"/>
        <v>中国文史出版社</v>
      </c>
      <c r="F669" s="9" t="str">
        <f>"I267/6655"</f>
        <v>I267/6655</v>
      </c>
    </row>
    <row r="670" customHeight="1" spans="1:6">
      <c r="A670" s="6">
        <v>669</v>
      </c>
      <c r="B670" s="9" t="str">
        <f>"978-7-100-19505-8"</f>
        <v>978-7-100-19505-8</v>
      </c>
      <c r="C670" s="9" t="str">
        <f>"乡愁的滋味"</f>
        <v>乡愁的滋味</v>
      </c>
      <c r="D670" s="9" t="str">
        <f>"胡川安， 郭婷， 郭忠豪著"</f>
        <v>胡川安， 郭婷， 郭忠豪著</v>
      </c>
      <c r="E670" s="9" t="str">
        <f>"商务印书馆"</f>
        <v>商务印书馆</v>
      </c>
      <c r="F670" s="9" t="str">
        <f>"I267/6656"</f>
        <v>I267/6656</v>
      </c>
    </row>
    <row r="671" customHeight="1" spans="1:6">
      <c r="A671" s="6">
        <v>670</v>
      </c>
      <c r="B671" s="9" t="str">
        <f>"978-7-100-19505-8"</f>
        <v>978-7-100-19505-8</v>
      </c>
      <c r="C671" s="9" t="str">
        <f>"乡愁的滋味"</f>
        <v>乡愁的滋味</v>
      </c>
      <c r="D671" s="9" t="str">
        <f>"胡川安， 郭婷， 郭忠豪著"</f>
        <v>胡川安， 郭婷， 郭忠豪著</v>
      </c>
      <c r="E671" s="9" t="str">
        <f>"商务印书馆"</f>
        <v>商务印书馆</v>
      </c>
      <c r="F671" s="9" t="str">
        <f>"I267/6656"</f>
        <v>I267/6656</v>
      </c>
    </row>
    <row r="672" customHeight="1" spans="1:6">
      <c r="A672" s="6">
        <v>671</v>
      </c>
      <c r="B672" s="9" t="str">
        <f>"978-7-5302-2146-4"</f>
        <v>978-7-5302-2146-4</v>
      </c>
      <c r="C672" s="9" t="str">
        <f>"与父亲书"</f>
        <v>与父亲书</v>
      </c>
      <c r="D672" s="9" t="str">
        <f>"向迅著"</f>
        <v>向迅著</v>
      </c>
      <c r="E672" s="9" t="str">
        <f>"北京十月文艺出版社"</f>
        <v>北京十月文艺出版社</v>
      </c>
      <c r="F672" s="9" t="str">
        <f>"I267/6657"</f>
        <v>I267/6657</v>
      </c>
    </row>
    <row r="673" customHeight="1" spans="1:6">
      <c r="A673" s="6">
        <v>672</v>
      </c>
      <c r="B673" s="9" t="str">
        <f>"978-7-5302-2146-4"</f>
        <v>978-7-5302-2146-4</v>
      </c>
      <c r="C673" s="9" t="str">
        <f>"与父亲书"</f>
        <v>与父亲书</v>
      </c>
      <c r="D673" s="9" t="str">
        <f>"向迅著"</f>
        <v>向迅著</v>
      </c>
      <c r="E673" s="9" t="str">
        <f>"北京十月文艺出版社"</f>
        <v>北京十月文艺出版社</v>
      </c>
      <c r="F673" s="9" t="str">
        <f>"I267/6657"</f>
        <v>I267/6657</v>
      </c>
    </row>
    <row r="674" customHeight="1" spans="1:6">
      <c r="A674" s="6">
        <v>673</v>
      </c>
      <c r="B674" s="7" t="str">
        <f>"978-7-5702-1757-1"</f>
        <v>978-7-5702-1757-1</v>
      </c>
      <c r="C674" s="7" t="str">
        <f>"绍兴十二年"</f>
        <v>绍兴十二年</v>
      </c>
      <c r="D674" s="7" t="str">
        <f>"夏坚勇著"</f>
        <v>夏坚勇著</v>
      </c>
      <c r="E674" s="7" t="str">
        <f t="shared" ref="E674:E681" si="343">"长江文艺出版社"</f>
        <v>长江文艺出版社</v>
      </c>
      <c r="F674" s="7" t="str">
        <f>"I267/6658"</f>
        <v>I267/6658</v>
      </c>
    </row>
    <row r="675" customHeight="1" spans="1:6">
      <c r="A675" s="6">
        <v>674</v>
      </c>
      <c r="B675" s="7" t="str">
        <f>"978-7-5702-1757-1"</f>
        <v>978-7-5702-1757-1</v>
      </c>
      <c r="C675" s="7" t="str">
        <f>"绍兴十二年"</f>
        <v>绍兴十二年</v>
      </c>
      <c r="D675" s="7" t="str">
        <f>"夏坚勇著"</f>
        <v>夏坚勇著</v>
      </c>
      <c r="E675" s="7" t="str">
        <f t="shared" si="343"/>
        <v>长江文艺出版社</v>
      </c>
      <c r="F675" s="7" t="str">
        <f>"I267/6658"</f>
        <v>I267/6658</v>
      </c>
    </row>
    <row r="676" customHeight="1" spans="1:6">
      <c r="A676" s="6">
        <v>675</v>
      </c>
      <c r="B676" s="7" t="str">
        <f t="shared" ref="B676:B678" si="344">"978-7-5212-0880-1"</f>
        <v>978-7-5212-0880-1</v>
      </c>
      <c r="C676" s="7" t="str">
        <f t="shared" ref="C676:C678" si="345">"天下第一好事， 还是读书"</f>
        <v>天下第一好事， 还是读书</v>
      </c>
      <c r="D676" s="7" t="str">
        <f t="shared" ref="D676:D678" si="346">"季羡林著"</f>
        <v>季羡林著</v>
      </c>
      <c r="E676" s="7" t="str">
        <f t="shared" ref="E676:E678" si="347">"作家出版社"</f>
        <v>作家出版社</v>
      </c>
      <c r="F676" s="7" t="str">
        <f t="shared" ref="F676:F678" si="348">"I267/6659"</f>
        <v>I267/6659</v>
      </c>
    </row>
    <row r="677" customHeight="1" spans="1:6">
      <c r="A677" s="6">
        <v>676</v>
      </c>
      <c r="B677" s="7" t="str">
        <f t="shared" si="344"/>
        <v>978-7-5212-0880-1</v>
      </c>
      <c r="C677" s="7" t="str">
        <f t="shared" si="345"/>
        <v>天下第一好事， 还是读书</v>
      </c>
      <c r="D677" s="7" t="str">
        <f t="shared" si="346"/>
        <v>季羡林著</v>
      </c>
      <c r="E677" s="7" t="str">
        <f t="shared" si="347"/>
        <v>作家出版社</v>
      </c>
      <c r="F677" s="7" t="str">
        <f t="shared" si="348"/>
        <v>I267/6659</v>
      </c>
    </row>
    <row r="678" customHeight="1" spans="1:6">
      <c r="A678" s="6">
        <v>677</v>
      </c>
      <c r="B678" s="7" t="str">
        <f t="shared" si="344"/>
        <v>978-7-5212-0880-1</v>
      </c>
      <c r="C678" s="7" t="str">
        <f t="shared" si="345"/>
        <v>天下第一好事， 还是读书</v>
      </c>
      <c r="D678" s="7" t="str">
        <f t="shared" si="346"/>
        <v>季羡林著</v>
      </c>
      <c r="E678" s="7" t="str">
        <f t="shared" si="347"/>
        <v>作家出版社</v>
      </c>
      <c r="F678" s="7" t="str">
        <f t="shared" si="348"/>
        <v>I267/6659</v>
      </c>
    </row>
    <row r="679" customHeight="1" spans="1:6">
      <c r="A679" s="6">
        <v>678</v>
      </c>
      <c r="B679" s="7" t="str">
        <f t="shared" ref="B679:B681" si="349">"978-7-5354-9693-5"</f>
        <v>978-7-5354-9693-5</v>
      </c>
      <c r="C679" s="7" t="str">
        <f t="shared" ref="C679:C681" si="350">"李商隐"</f>
        <v>李商隐</v>
      </c>
      <c r="D679" s="7" t="str">
        <f t="shared" ref="D679:D681" si="351">"王军著"</f>
        <v>王军著</v>
      </c>
      <c r="E679" s="7" t="str">
        <f t="shared" si="343"/>
        <v>长江文艺出版社</v>
      </c>
      <c r="F679" s="7" t="str">
        <f t="shared" ref="F679:F681" si="352">"I267/6660"</f>
        <v>I267/6660</v>
      </c>
    </row>
    <row r="680" customHeight="1" spans="1:6">
      <c r="A680" s="6">
        <v>679</v>
      </c>
      <c r="B680" s="7" t="str">
        <f t="shared" si="349"/>
        <v>978-7-5354-9693-5</v>
      </c>
      <c r="C680" s="7" t="str">
        <f t="shared" si="350"/>
        <v>李商隐</v>
      </c>
      <c r="D680" s="7" t="str">
        <f t="shared" si="351"/>
        <v>王军著</v>
      </c>
      <c r="E680" s="7" t="str">
        <f t="shared" si="343"/>
        <v>长江文艺出版社</v>
      </c>
      <c r="F680" s="7" t="str">
        <f t="shared" si="352"/>
        <v>I267/6660</v>
      </c>
    </row>
    <row r="681" customHeight="1" spans="1:6">
      <c r="A681" s="6">
        <v>680</v>
      </c>
      <c r="B681" s="7" t="str">
        <f t="shared" si="349"/>
        <v>978-7-5354-9693-5</v>
      </c>
      <c r="C681" s="7" t="str">
        <f t="shared" si="350"/>
        <v>李商隐</v>
      </c>
      <c r="D681" s="7" t="str">
        <f t="shared" si="351"/>
        <v>王军著</v>
      </c>
      <c r="E681" s="7" t="str">
        <f t="shared" si="343"/>
        <v>长江文艺出版社</v>
      </c>
      <c r="F681" s="7" t="str">
        <f t="shared" si="352"/>
        <v>I267/6660</v>
      </c>
    </row>
    <row r="682" customHeight="1" spans="1:6">
      <c r="A682" s="6">
        <v>681</v>
      </c>
      <c r="B682" s="7" t="str">
        <f t="shared" ref="B682:B684" si="353">"978-7-5455-6396-2"</f>
        <v>978-7-5455-6396-2</v>
      </c>
      <c r="C682" s="7" t="str">
        <f t="shared" ref="C682:C684" si="354">"春秋．1：大国游戏"</f>
        <v>春秋．1：大国游戏</v>
      </c>
      <c r="D682" s="7" t="str">
        <f t="shared" ref="D682:D687" si="355">"小马连环著"</f>
        <v>小马连环著</v>
      </c>
      <c r="E682" s="7" t="str">
        <f t="shared" ref="E682:E687" si="356">"天地出版社"</f>
        <v>天地出版社</v>
      </c>
      <c r="F682" s="7" t="str">
        <f t="shared" ref="F682:F684" si="357">"I267/6661/1"</f>
        <v>I267/6661/1</v>
      </c>
    </row>
    <row r="683" customHeight="1" spans="1:6">
      <c r="A683" s="6">
        <v>682</v>
      </c>
      <c r="B683" s="7" t="str">
        <f t="shared" si="353"/>
        <v>978-7-5455-6396-2</v>
      </c>
      <c r="C683" s="7" t="str">
        <f t="shared" si="354"/>
        <v>春秋．1：大国游戏</v>
      </c>
      <c r="D683" s="7" t="str">
        <f t="shared" si="355"/>
        <v>小马连环著</v>
      </c>
      <c r="E683" s="7" t="str">
        <f t="shared" si="356"/>
        <v>天地出版社</v>
      </c>
      <c r="F683" s="7" t="str">
        <f t="shared" si="357"/>
        <v>I267/6661/1</v>
      </c>
    </row>
    <row r="684" customHeight="1" spans="1:6">
      <c r="A684" s="6">
        <v>683</v>
      </c>
      <c r="B684" s="7" t="str">
        <f t="shared" si="353"/>
        <v>978-7-5455-6396-2</v>
      </c>
      <c r="C684" s="7" t="str">
        <f t="shared" si="354"/>
        <v>春秋．1：大国游戏</v>
      </c>
      <c r="D684" s="7" t="str">
        <f t="shared" si="355"/>
        <v>小马连环著</v>
      </c>
      <c r="E684" s="7" t="str">
        <f t="shared" si="356"/>
        <v>天地出版社</v>
      </c>
      <c r="F684" s="7" t="str">
        <f t="shared" si="357"/>
        <v>I267/6661/1</v>
      </c>
    </row>
    <row r="685" customHeight="1" spans="1:6">
      <c r="A685" s="6">
        <v>684</v>
      </c>
      <c r="B685" s="7" t="str">
        <f t="shared" ref="B685:B687" si="358">"978-7-5455-6399-3"</f>
        <v>978-7-5455-6399-3</v>
      </c>
      <c r="C685" s="7" t="str">
        <f t="shared" ref="C685:C687" si="359">"春秋．4：惊人一鸣"</f>
        <v>春秋．4：惊人一鸣</v>
      </c>
      <c r="D685" s="7" t="str">
        <f t="shared" si="355"/>
        <v>小马连环著</v>
      </c>
      <c r="E685" s="7" t="str">
        <f t="shared" si="356"/>
        <v>天地出版社</v>
      </c>
      <c r="F685" s="7" t="str">
        <f t="shared" ref="F685:F687" si="360">"I267/6661/4"</f>
        <v>I267/6661/4</v>
      </c>
    </row>
    <row r="686" customHeight="1" spans="1:6">
      <c r="A686" s="6">
        <v>685</v>
      </c>
      <c r="B686" s="7" t="str">
        <f t="shared" si="358"/>
        <v>978-7-5455-6399-3</v>
      </c>
      <c r="C686" s="7" t="str">
        <f t="shared" si="359"/>
        <v>春秋．4：惊人一鸣</v>
      </c>
      <c r="D686" s="7" t="str">
        <f t="shared" si="355"/>
        <v>小马连环著</v>
      </c>
      <c r="E686" s="7" t="str">
        <f t="shared" si="356"/>
        <v>天地出版社</v>
      </c>
      <c r="F686" s="7" t="str">
        <f t="shared" si="360"/>
        <v>I267/6661/4</v>
      </c>
    </row>
    <row r="687" customHeight="1" spans="1:6">
      <c r="A687" s="6">
        <v>686</v>
      </c>
      <c r="B687" s="7" t="str">
        <f t="shared" si="358"/>
        <v>978-7-5455-6399-3</v>
      </c>
      <c r="C687" s="7" t="str">
        <f t="shared" si="359"/>
        <v>春秋．4：惊人一鸣</v>
      </c>
      <c r="D687" s="7" t="str">
        <f t="shared" si="355"/>
        <v>小马连环著</v>
      </c>
      <c r="E687" s="7" t="str">
        <f t="shared" si="356"/>
        <v>天地出版社</v>
      </c>
      <c r="F687" s="7" t="str">
        <f t="shared" si="360"/>
        <v>I267/6661/4</v>
      </c>
    </row>
    <row r="688" customHeight="1" spans="1:6">
      <c r="A688" s="6">
        <v>687</v>
      </c>
      <c r="B688" s="7" t="str">
        <f>"978-7-5139-3539-5"</f>
        <v>978-7-5139-3539-5</v>
      </c>
      <c r="C688" s="7" t="str">
        <f>"桑干河畔的情思"</f>
        <v>桑干河畔的情思</v>
      </c>
      <c r="D688" s="7" t="str">
        <f>"桑农著"</f>
        <v>桑农著</v>
      </c>
      <c r="E688" s="7" t="str">
        <f>"民主与建设出版社"</f>
        <v>民主与建设出版社</v>
      </c>
      <c r="F688" s="7" t="str">
        <f>"I267/6662"</f>
        <v>I267/6662</v>
      </c>
    </row>
    <row r="689" customHeight="1" spans="1:6">
      <c r="A689" s="6">
        <v>688</v>
      </c>
      <c r="B689" s="7" t="str">
        <f>"978-7-5139-3539-5"</f>
        <v>978-7-5139-3539-5</v>
      </c>
      <c r="C689" s="7" t="str">
        <f>"桑干河畔的情思"</f>
        <v>桑干河畔的情思</v>
      </c>
      <c r="D689" s="7" t="str">
        <f>"桑农著"</f>
        <v>桑农著</v>
      </c>
      <c r="E689" s="7" t="str">
        <f>"民主与建设出版社"</f>
        <v>民主与建设出版社</v>
      </c>
      <c r="F689" s="7" t="str">
        <f>"I267/6662"</f>
        <v>I267/6662</v>
      </c>
    </row>
    <row r="690" customHeight="1" spans="1:6">
      <c r="A690" s="6">
        <v>689</v>
      </c>
      <c r="B690" s="7" t="str">
        <f t="shared" ref="B690:B692" si="361">"978-7-5122-1482-8"</f>
        <v>978-7-5122-1482-8</v>
      </c>
      <c r="C690" s="7" t="str">
        <f t="shared" ref="C690:C692" si="362">"青藜"</f>
        <v>青藜</v>
      </c>
      <c r="D690" s="7" t="str">
        <f t="shared" ref="D690:D692" si="363">"刘渝庆著"</f>
        <v>刘渝庆著</v>
      </c>
      <c r="E690" s="7" t="str">
        <f t="shared" ref="E690:E695" si="364">"中国民族文化出版社"</f>
        <v>中国民族文化出版社</v>
      </c>
      <c r="F690" s="7" t="str">
        <f t="shared" ref="F690:F692" si="365">"I267/6663"</f>
        <v>I267/6663</v>
      </c>
    </row>
    <row r="691" customHeight="1" spans="1:6">
      <c r="A691" s="6">
        <v>690</v>
      </c>
      <c r="B691" s="7" t="str">
        <f t="shared" si="361"/>
        <v>978-7-5122-1482-8</v>
      </c>
      <c r="C691" s="7" t="str">
        <f t="shared" si="362"/>
        <v>青藜</v>
      </c>
      <c r="D691" s="7" t="str">
        <f t="shared" si="363"/>
        <v>刘渝庆著</v>
      </c>
      <c r="E691" s="7" t="str">
        <f t="shared" si="364"/>
        <v>中国民族文化出版社</v>
      </c>
      <c r="F691" s="7" t="str">
        <f t="shared" si="365"/>
        <v>I267/6663</v>
      </c>
    </row>
    <row r="692" customHeight="1" spans="1:6">
      <c r="A692" s="6">
        <v>691</v>
      </c>
      <c r="B692" s="7" t="str">
        <f t="shared" si="361"/>
        <v>978-7-5122-1482-8</v>
      </c>
      <c r="C692" s="7" t="str">
        <f t="shared" si="362"/>
        <v>青藜</v>
      </c>
      <c r="D692" s="7" t="str">
        <f t="shared" si="363"/>
        <v>刘渝庆著</v>
      </c>
      <c r="E692" s="7" t="str">
        <f t="shared" si="364"/>
        <v>中国民族文化出版社</v>
      </c>
      <c r="F692" s="7" t="str">
        <f t="shared" si="365"/>
        <v>I267/6663</v>
      </c>
    </row>
    <row r="693" customHeight="1" spans="1:6">
      <c r="A693" s="6">
        <v>692</v>
      </c>
      <c r="B693" s="7" t="str">
        <f t="shared" ref="B693:B695" si="366">"978-7-5122-1471-2"</f>
        <v>978-7-5122-1471-2</v>
      </c>
      <c r="C693" s="7" t="str">
        <f t="shared" ref="C693:C695" si="367">"碧清的河"</f>
        <v>碧清的河</v>
      </c>
      <c r="D693" s="7" t="str">
        <f t="shared" ref="D693:D695" si="368">"沙黑著"</f>
        <v>沙黑著</v>
      </c>
      <c r="E693" s="7" t="str">
        <f t="shared" si="364"/>
        <v>中国民族文化出版社</v>
      </c>
      <c r="F693" s="7" t="str">
        <f t="shared" ref="F693:F695" si="369">"I267/6664"</f>
        <v>I267/6664</v>
      </c>
    </row>
    <row r="694" customHeight="1" spans="1:6">
      <c r="A694" s="6">
        <v>693</v>
      </c>
      <c r="B694" s="7" t="str">
        <f t="shared" si="366"/>
        <v>978-7-5122-1471-2</v>
      </c>
      <c r="C694" s="7" t="str">
        <f t="shared" si="367"/>
        <v>碧清的河</v>
      </c>
      <c r="D694" s="7" t="str">
        <f t="shared" si="368"/>
        <v>沙黑著</v>
      </c>
      <c r="E694" s="7" t="str">
        <f t="shared" si="364"/>
        <v>中国民族文化出版社</v>
      </c>
      <c r="F694" s="7" t="str">
        <f t="shared" si="369"/>
        <v>I267/6664</v>
      </c>
    </row>
    <row r="695" customHeight="1" spans="1:6">
      <c r="A695" s="6">
        <v>694</v>
      </c>
      <c r="B695" s="7" t="str">
        <f t="shared" si="366"/>
        <v>978-7-5122-1471-2</v>
      </c>
      <c r="C695" s="7" t="str">
        <f t="shared" si="367"/>
        <v>碧清的河</v>
      </c>
      <c r="D695" s="7" t="str">
        <f t="shared" si="368"/>
        <v>沙黑著</v>
      </c>
      <c r="E695" s="7" t="str">
        <f t="shared" si="364"/>
        <v>中国民族文化出版社</v>
      </c>
      <c r="F695" s="7" t="str">
        <f t="shared" si="369"/>
        <v>I267/6664</v>
      </c>
    </row>
    <row r="696" customHeight="1" spans="1:6">
      <c r="A696" s="6">
        <v>695</v>
      </c>
      <c r="B696" s="7" t="str">
        <f>"978-7-5205-2845-0"</f>
        <v>978-7-5205-2845-0</v>
      </c>
      <c r="C696" s="7" t="str">
        <f>"与虞山为邻"</f>
        <v>与虞山为邻</v>
      </c>
      <c r="D696" s="7" t="str">
        <f>"俞建峰著"</f>
        <v>俞建峰著</v>
      </c>
      <c r="E696" s="7" t="str">
        <f t="shared" ref="E696:E702" si="370">"中国文史出版社"</f>
        <v>中国文史出版社</v>
      </c>
      <c r="F696" s="7" t="str">
        <f>"I267/6665"</f>
        <v>I267/6665</v>
      </c>
    </row>
    <row r="697" customHeight="1" spans="1:6">
      <c r="A697" s="6">
        <v>696</v>
      </c>
      <c r="B697" s="7" t="str">
        <f>"978-7-5205-2845-0"</f>
        <v>978-7-5205-2845-0</v>
      </c>
      <c r="C697" s="7" t="str">
        <f>"与虞山为邻"</f>
        <v>与虞山为邻</v>
      </c>
      <c r="D697" s="7" t="str">
        <f>"俞建峰著"</f>
        <v>俞建峰著</v>
      </c>
      <c r="E697" s="7" t="str">
        <f t="shared" si="370"/>
        <v>中国文史出版社</v>
      </c>
      <c r="F697" s="7" t="str">
        <f>"I267/6665"</f>
        <v>I267/6665</v>
      </c>
    </row>
    <row r="698" customHeight="1" spans="1:6">
      <c r="A698" s="6">
        <v>697</v>
      </c>
      <c r="B698" s="7" t="str">
        <f t="shared" ref="B698:B700" si="371">"978-7-5122-1464-4"</f>
        <v>978-7-5122-1464-4</v>
      </c>
      <c r="C698" s="7" t="str">
        <f t="shared" ref="C698:C700" si="372">"雪窗煨芋"</f>
        <v>雪窗煨芋</v>
      </c>
      <c r="D698" s="7" t="str">
        <f t="shared" ref="D698:D700" si="373">"陈爱兰著"</f>
        <v>陈爱兰著</v>
      </c>
      <c r="E698" s="7" t="str">
        <f t="shared" ref="E698:E700" si="374">"中国民族文化出版社"</f>
        <v>中国民族文化出版社</v>
      </c>
      <c r="F698" s="7" t="str">
        <f t="shared" ref="F698:F700" si="375">"I267/6666"</f>
        <v>I267/6666</v>
      </c>
    </row>
    <row r="699" customHeight="1" spans="1:6">
      <c r="A699" s="6">
        <v>698</v>
      </c>
      <c r="B699" s="7" t="str">
        <f t="shared" si="371"/>
        <v>978-7-5122-1464-4</v>
      </c>
      <c r="C699" s="7" t="str">
        <f t="shared" si="372"/>
        <v>雪窗煨芋</v>
      </c>
      <c r="D699" s="7" t="str">
        <f t="shared" si="373"/>
        <v>陈爱兰著</v>
      </c>
      <c r="E699" s="7" t="str">
        <f t="shared" si="374"/>
        <v>中国民族文化出版社</v>
      </c>
      <c r="F699" s="7" t="str">
        <f t="shared" si="375"/>
        <v>I267/6666</v>
      </c>
    </row>
    <row r="700" customHeight="1" spans="1:6">
      <c r="A700" s="6">
        <v>699</v>
      </c>
      <c r="B700" s="7" t="str">
        <f t="shared" si="371"/>
        <v>978-7-5122-1464-4</v>
      </c>
      <c r="C700" s="7" t="str">
        <f t="shared" si="372"/>
        <v>雪窗煨芋</v>
      </c>
      <c r="D700" s="7" t="str">
        <f t="shared" si="373"/>
        <v>陈爱兰著</v>
      </c>
      <c r="E700" s="7" t="str">
        <f t="shared" si="374"/>
        <v>中国民族文化出版社</v>
      </c>
      <c r="F700" s="7" t="str">
        <f t="shared" si="375"/>
        <v>I267/6666</v>
      </c>
    </row>
    <row r="701" customHeight="1" spans="1:6">
      <c r="A701" s="6">
        <v>700</v>
      </c>
      <c r="B701" s="7" t="str">
        <f>"978-7-5205-2835-1"</f>
        <v>978-7-5205-2835-1</v>
      </c>
      <c r="C701" s="7" t="str">
        <f>"花一样的灯盏"</f>
        <v>花一样的灯盏</v>
      </c>
      <c r="D701" s="7" t="str">
        <f>"若荷著"</f>
        <v>若荷著</v>
      </c>
      <c r="E701" s="7" t="str">
        <f t="shared" si="370"/>
        <v>中国文史出版社</v>
      </c>
      <c r="F701" s="7" t="str">
        <f>"I267/6667"</f>
        <v>I267/6667</v>
      </c>
    </row>
    <row r="702" customHeight="1" spans="1:6">
      <c r="A702" s="6">
        <v>701</v>
      </c>
      <c r="B702" s="7" t="str">
        <f>"978-7-5205-2835-1"</f>
        <v>978-7-5205-2835-1</v>
      </c>
      <c r="C702" s="7" t="str">
        <f>"花一样的灯盏"</f>
        <v>花一样的灯盏</v>
      </c>
      <c r="D702" s="7" t="str">
        <f>"若荷著"</f>
        <v>若荷著</v>
      </c>
      <c r="E702" s="7" t="str">
        <f t="shared" si="370"/>
        <v>中国文史出版社</v>
      </c>
      <c r="F702" s="7" t="str">
        <f>"I267/6667"</f>
        <v>I267/6667</v>
      </c>
    </row>
    <row r="703" customHeight="1" spans="1:6">
      <c r="A703" s="6">
        <v>702</v>
      </c>
      <c r="B703" s="7" t="str">
        <f t="shared" ref="B703:B705" si="376">"978-7-5057-5249-8"</f>
        <v>978-7-5057-5249-8</v>
      </c>
      <c r="C703" s="7" t="str">
        <f t="shared" ref="C703:C705" si="377">"背影渐远"</f>
        <v>背影渐远</v>
      </c>
      <c r="D703" s="7" t="str">
        <f t="shared" ref="D703:D705" si="378">"范若丁著"</f>
        <v>范若丁著</v>
      </c>
      <c r="E703" s="7" t="str">
        <f t="shared" ref="E703:E705" si="379">"中国友谊出版公司"</f>
        <v>中国友谊出版公司</v>
      </c>
      <c r="F703" s="7" t="str">
        <f t="shared" ref="F703:F705" si="380">"I267/6668"</f>
        <v>I267/6668</v>
      </c>
    </row>
    <row r="704" customHeight="1" spans="1:6">
      <c r="A704" s="6">
        <v>703</v>
      </c>
      <c r="B704" s="7" t="str">
        <f t="shared" si="376"/>
        <v>978-7-5057-5249-8</v>
      </c>
      <c r="C704" s="7" t="str">
        <f t="shared" si="377"/>
        <v>背影渐远</v>
      </c>
      <c r="D704" s="7" t="str">
        <f t="shared" si="378"/>
        <v>范若丁著</v>
      </c>
      <c r="E704" s="7" t="str">
        <f t="shared" si="379"/>
        <v>中国友谊出版公司</v>
      </c>
      <c r="F704" s="7" t="str">
        <f t="shared" si="380"/>
        <v>I267/6668</v>
      </c>
    </row>
    <row r="705" customHeight="1" spans="1:6">
      <c r="A705" s="6">
        <v>704</v>
      </c>
      <c r="B705" s="7" t="str">
        <f t="shared" si="376"/>
        <v>978-7-5057-5249-8</v>
      </c>
      <c r="C705" s="7" t="str">
        <f t="shared" si="377"/>
        <v>背影渐远</v>
      </c>
      <c r="D705" s="7" t="str">
        <f t="shared" si="378"/>
        <v>范若丁著</v>
      </c>
      <c r="E705" s="7" t="str">
        <f t="shared" si="379"/>
        <v>中国友谊出版公司</v>
      </c>
      <c r="F705" s="7" t="str">
        <f t="shared" si="380"/>
        <v>I267/6668</v>
      </c>
    </row>
    <row r="706" customHeight="1" spans="1:6">
      <c r="A706" s="6">
        <v>705</v>
      </c>
      <c r="B706" s="7" t="str">
        <f>"978-7-108-06849-1"</f>
        <v>978-7-108-06849-1</v>
      </c>
      <c r="C706" s="7" t="str">
        <f>"写在人间"</f>
        <v>写在人间</v>
      </c>
      <c r="D706" s="7" t="str">
        <f>"吕正惠著"</f>
        <v>吕正惠著</v>
      </c>
      <c r="E706" s="7" t="str">
        <f>"三联书店"</f>
        <v>三联书店</v>
      </c>
      <c r="F706" s="7" t="str">
        <f>"I267/6669"</f>
        <v>I267/6669</v>
      </c>
    </row>
    <row r="707" customHeight="1" spans="1:6">
      <c r="A707" s="6">
        <v>706</v>
      </c>
      <c r="B707" s="7" t="str">
        <f>"978-7-108-06849-1"</f>
        <v>978-7-108-06849-1</v>
      </c>
      <c r="C707" s="7" t="str">
        <f>"写在人间"</f>
        <v>写在人间</v>
      </c>
      <c r="D707" s="7" t="str">
        <f>"吕正惠著"</f>
        <v>吕正惠著</v>
      </c>
      <c r="E707" s="7" t="str">
        <f>"三联书店"</f>
        <v>三联书店</v>
      </c>
      <c r="F707" s="7" t="str">
        <f>"I267/6669"</f>
        <v>I267/6669</v>
      </c>
    </row>
    <row r="708" customHeight="1" spans="1:6">
      <c r="A708" s="6">
        <v>707</v>
      </c>
      <c r="B708" s="7" t="str">
        <f>"978-7-5726-0276-4"</f>
        <v>978-7-5726-0276-4</v>
      </c>
      <c r="C708" s="7" t="str">
        <f>"在你们离开以前"</f>
        <v>在你们离开以前</v>
      </c>
      <c r="D708" s="7" t="str">
        <f>"作者毕啸南"</f>
        <v>作者毕啸南</v>
      </c>
      <c r="E708" s="7" t="str">
        <f>"湖南文艺出版社"</f>
        <v>湖南文艺出版社</v>
      </c>
      <c r="F708" s="7" t="str">
        <f>"I267/6670"</f>
        <v>I267/6670</v>
      </c>
    </row>
    <row r="709" customHeight="1" spans="1:6">
      <c r="A709" s="6">
        <v>708</v>
      </c>
      <c r="B709" s="7" t="str">
        <f>"978-7-5726-0276-4"</f>
        <v>978-7-5726-0276-4</v>
      </c>
      <c r="C709" s="7" t="str">
        <f>"在你们离开以前"</f>
        <v>在你们离开以前</v>
      </c>
      <c r="D709" s="7" t="str">
        <f>"作者毕啸南"</f>
        <v>作者毕啸南</v>
      </c>
      <c r="E709" s="7" t="str">
        <f>"湖南文艺出版社"</f>
        <v>湖南文艺出版社</v>
      </c>
      <c r="F709" s="7" t="str">
        <f>"I267/6670"</f>
        <v>I267/6670</v>
      </c>
    </row>
    <row r="710" customHeight="1" spans="1:6">
      <c r="A710" s="6">
        <v>709</v>
      </c>
      <c r="B710" s="7" t="str">
        <f>"978-7-5212-1237-2"</f>
        <v>978-7-5212-1237-2</v>
      </c>
      <c r="C710" s="7" t="str">
        <f>"名人与美食"</f>
        <v>名人与美食</v>
      </c>
      <c r="D710" s="7" t="str">
        <f>"《作家文摘》编"</f>
        <v>《作家文摘》编</v>
      </c>
      <c r="E710" s="7" t="str">
        <f t="shared" ref="E710:E713" si="381">"作家出版社"</f>
        <v>作家出版社</v>
      </c>
      <c r="F710" s="7" t="str">
        <f>"I267/6671"</f>
        <v>I267/6671</v>
      </c>
    </row>
    <row r="711" customHeight="1" spans="1:6">
      <c r="A711" s="6">
        <v>710</v>
      </c>
      <c r="B711" s="7" t="str">
        <f>"978-7-5212-1237-2"</f>
        <v>978-7-5212-1237-2</v>
      </c>
      <c r="C711" s="7" t="str">
        <f>"名人与美食"</f>
        <v>名人与美食</v>
      </c>
      <c r="D711" s="7" t="str">
        <f>"《作家文摘》编"</f>
        <v>《作家文摘》编</v>
      </c>
      <c r="E711" s="7" t="str">
        <f t="shared" si="381"/>
        <v>作家出版社</v>
      </c>
      <c r="F711" s="7" t="str">
        <f>"I267/6671"</f>
        <v>I267/6671</v>
      </c>
    </row>
    <row r="712" customHeight="1" spans="1:6">
      <c r="A712" s="6">
        <v>711</v>
      </c>
      <c r="B712" s="7" t="str">
        <f>"978-7-5212-1493-2"</f>
        <v>978-7-5212-1493-2</v>
      </c>
      <c r="C712" s="7" t="str">
        <f>"塬上"</f>
        <v>塬上</v>
      </c>
      <c r="D712" s="7" t="str">
        <f>"王剑冰著"</f>
        <v>王剑冰著</v>
      </c>
      <c r="E712" s="7" t="str">
        <f t="shared" si="381"/>
        <v>作家出版社</v>
      </c>
      <c r="F712" s="7" t="str">
        <f>"I267/6672"</f>
        <v>I267/6672</v>
      </c>
    </row>
    <row r="713" customHeight="1" spans="1:6">
      <c r="A713" s="6">
        <v>712</v>
      </c>
      <c r="B713" s="7" t="str">
        <f>"978-7-5212-1493-2"</f>
        <v>978-7-5212-1493-2</v>
      </c>
      <c r="C713" s="7" t="str">
        <f>"塬上"</f>
        <v>塬上</v>
      </c>
      <c r="D713" s="7" t="str">
        <f>"王剑冰著"</f>
        <v>王剑冰著</v>
      </c>
      <c r="E713" s="7" t="str">
        <f t="shared" si="381"/>
        <v>作家出版社</v>
      </c>
      <c r="F713" s="7" t="str">
        <f>"I267/6672"</f>
        <v>I267/6672</v>
      </c>
    </row>
    <row r="714" customHeight="1" spans="1:6">
      <c r="A714" s="6">
        <v>713</v>
      </c>
      <c r="B714" s="7" t="str">
        <f>"978-7-5080-8397-1"</f>
        <v>978-7-5080-8397-1</v>
      </c>
      <c r="C714" s="7" t="str">
        <f>"历史的真面目：现当代人物事件考信录"</f>
        <v>历史的真面目：现当代人物事件考信录</v>
      </c>
      <c r="D714" s="7" t="str">
        <f>"刘统著"</f>
        <v>刘统著</v>
      </c>
      <c r="E714" s="7" t="str">
        <f>"华夏出版社"</f>
        <v>华夏出版社</v>
      </c>
      <c r="F714" s="7" t="str">
        <f>"I267/6673"</f>
        <v>I267/6673</v>
      </c>
    </row>
    <row r="715" customHeight="1" spans="1:6">
      <c r="A715" s="6">
        <v>714</v>
      </c>
      <c r="B715" s="7" t="str">
        <f>"978-7-5080-8397-1"</f>
        <v>978-7-5080-8397-1</v>
      </c>
      <c r="C715" s="7" t="str">
        <f>"历史的真面目：现当代人物事件考信录"</f>
        <v>历史的真面目：现当代人物事件考信录</v>
      </c>
      <c r="D715" s="7" t="str">
        <f>"刘统著"</f>
        <v>刘统著</v>
      </c>
      <c r="E715" s="7" t="str">
        <f>"华夏出版社"</f>
        <v>华夏出版社</v>
      </c>
      <c r="F715" s="7" t="str">
        <f>"I267/6673"</f>
        <v>I267/6673</v>
      </c>
    </row>
    <row r="716" customHeight="1" spans="1:6">
      <c r="A716" s="6">
        <v>715</v>
      </c>
      <c r="B716" s="7" t="str">
        <f>"978-7-5212-0882-5"</f>
        <v>978-7-5212-0882-5</v>
      </c>
      <c r="C716" s="7" t="str">
        <f>"我的学术人生"</f>
        <v>我的学术人生</v>
      </c>
      <c r="D716" s="7" t="str">
        <f>"季羡林著"</f>
        <v>季羡林著</v>
      </c>
      <c r="E716" s="7" t="str">
        <f>"作家出版社"</f>
        <v>作家出版社</v>
      </c>
      <c r="F716" s="7" t="str">
        <f>"I267/6674"</f>
        <v>I267/6674</v>
      </c>
    </row>
    <row r="717" customHeight="1" spans="1:6">
      <c r="A717" s="6">
        <v>716</v>
      </c>
      <c r="B717" s="7" t="str">
        <f>"978-7-5212-0882-5"</f>
        <v>978-7-5212-0882-5</v>
      </c>
      <c r="C717" s="7" t="str">
        <f>"我的学术人生"</f>
        <v>我的学术人生</v>
      </c>
      <c r="D717" s="7" t="str">
        <f>"季羡林著"</f>
        <v>季羡林著</v>
      </c>
      <c r="E717" s="7" t="str">
        <f>"作家出版社"</f>
        <v>作家出版社</v>
      </c>
      <c r="F717" s="7" t="str">
        <f>"I267/6674"</f>
        <v>I267/6674</v>
      </c>
    </row>
    <row r="718" customHeight="1" spans="1:6">
      <c r="A718" s="6">
        <v>717</v>
      </c>
      <c r="B718" s="7" t="str">
        <f>"978-7-5594-3702-0"</f>
        <v>978-7-5594-3702-0</v>
      </c>
      <c r="C718" s="7" t="str">
        <f>"人生不过四季"</f>
        <v>人生不过四季</v>
      </c>
      <c r="D718" s="7" t="str">
        <f>"阎连科著"</f>
        <v>阎连科著</v>
      </c>
      <c r="E718" s="7" t="str">
        <f>"江苏凤凰文艺出版社"</f>
        <v>江苏凤凰文艺出版社</v>
      </c>
      <c r="F718" s="7" t="str">
        <f>"I267/6675"</f>
        <v>I267/6675</v>
      </c>
    </row>
    <row r="719" customHeight="1" spans="1:6">
      <c r="A719" s="6">
        <v>718</v>
      </c>
      <c r="B719" s="7" t="str">
        <f>"978-7-5594-3702-0"</f>
        <v>978-7-5594-3702-0</v>
      </c>
      <c r="C719" s="7" t="str">
        <f>"人生不过四季"</f>
        <v>人生不过四季</v>
      </c>
      <c r="D719" s="7" t="str">
        <f>"阎连科著"</f>
        <v>阎连科著</v>
      </c>
      <c r="E719" s="7" t="str">
        <f>"江苏凤凰文艺出版社"</f>
        <v>江苏凤凰文艺出版社</v>
      </c>
      <c r="F719" s="7" t="str">
        <f>"I267/6675"</f>
        <v>I267/6675</v>
      </c>
    </row>
    <row r="720" customHeight="1" spans="1:6">
      <c r="A720" s="6">
        <v>719</v>
      </c>
      <c r="B720" s="7" t="str">
        <f t="shared" ref="B720:B722" si="382">"978-7-5596-5318-5"</f>
        <v>978-7-5596-5318-5</v>
      </c>
      <c r="C720" s="7" t="str">
        <f t="shared" ref="C720:C722" si="383">"诸神充满"</f>
        <v>诸神充满</v>
      </c>
      <c r="D720" s="7" t="str">
        <f t="shared" ref="D720:D722" si="384">"贾平凹著"</f>
        <v>贾平凹著</v>
      </c>
      <c r="E720" s="7" t="str">
        <f t="shared" ref="E720:E722" si="385">"北京联合出版公司"</f>
        <v>北京联合出版公司</v>
      </c>
      <c r="F720" s="7" t="str">
        <f t="shared" ref="F720:F722" si="386">"I267/6676"</f>
        <v>I267/6676</v>
      </c>
    </row>
    <row r="721" customHeight="1" spans="1:6">
      <c r="A721" s="6">
        <v>720</v>
      </c>
      <c r="B721" s="7" t="str">
        <f t="shared" si="382"/>
        <v>978-7-5596-5318-5</v>
      </c>
      <c r="C721" s="7" t="str">
        <f t="shared" si="383"/>
        <v>诸神充满</v>
      </c>
      <c r="D721" s="7" t="str">
        <f t="shared" si="384"/>
        <v>贾平凹著</v>
      </c>
      <c r="E721" s="7" t="str">
        <f t="shared" si="385"/>
        <v>北京联合出版公司</v>
      </c>
      <c r="F721" s="7" t="str">
        <f t="shared" si="386"/>
        <v>I267/6676</v>
      </c>
    </row>
    <row r="722" customHeight="1" spans="1:6">
      <c r="A722" s="6">
        <v>721</v>
      </c>
      <c r="B722" s="7" t="str">
        <f t="shared" si="382"/>
        <v>978-7-5596-5318-5</v>
      </c>
      <c r="C722" s="7" t="str">
        <f t="shared" si="383"/>
        <v>诸神充满</v>
      </c>
      <c r="D722" s="7" t="str">
        <f t="shared" si="384"/>
        <v>贾平凹著</v>
      </c>
      <c r="E722" s="7" t="str">
        <f t="shared" si="385"/>
        <v>北京联合出版公司</v>
      </c>
      <c r="F722" s="7" t="str">
        <f t="shared" si="386"/>
        <v>I267/6676</v>
      </c>
    </row>
    <row r="723" customHeight="1" spans="1:6">
      <c r="A723" s="6">
        <v>722</v>
      </c>
      <c r="B723" s="7" t="str">
        <f t="shared" ref="B723:B725" si="387">"978-7-02-016941-2"</f>
        <v>978-7-02-016941-2</v>
      </c>
      <c r="C723" s="7" t="str">
        <f t="shared" ref="C723:C725" si="388">"故宫里的中国：祝勇故宫作品：selected works of Zhu Yong"</f>
        <v>故宫里的中国：祝勇故宫作品：selected works of Zhu Yong</v>
      </c>
      <c r="D723" s="7" t="str">
        <f t="shared" ref="D723:D725" si="389">"祝勇著"</f>
        <v>祝勇著</v>
      </c>
      <c r="E723" s="7" t="str">
        <f t="shared" ref="E723:E725" si="390">"人民文学出版社"</f>
        <v>人民文学出版社</v>
      </c>
      <c r="F723" s="7" t="str">
        <f t="shared" ref="F723:F725" si="391">"I267/6677"</f>
        <v>I267/6677</v>
      </c>
    </row>
    <row r="724" customHeight="1" spans="1:6">
      <c r="A724" s="6">
        <v>723</v>
      </c>
      <c r="B724" s="7" t="str">
        <f t="shared" si="387"/>
        <v>978-7-02-016941-2</v>
      </c>
      <c r="C724" s="7" t="str">
        <f t="shared" si="388"/>
        <v>故宫里的中国：祝勇故宫作品：selected works of Zhu Yong</v>
      </c>
      <c r="D724" s="7" t="str">
        <f t="shared" si="389"/>
        <v>祝勇著</v>
      </c>
      <c r="E724" s="7" t="str">
        <f t="shared" si="390"/>
        <v>人民文学出版社</v>
      </c>
      <c r="F724" s="7" t="str">
        <f t="shared" si="391"/>
        <v>I267/6677</v>
      </c>
    </row>
    <row r="725" customHeight="1" spans="1:6">
      <c r="A725" s="6">
        <v>724</v>
      </c>
      <c r="B725" s="7" t="str">
        <f t="shared" si="387"/>
        <v>978-7-02-016941-2</v>
      </c>
      <c r="C725" s="7" t="str">
        <f t="shared" si="388"/>
        <v>故宫里的中国：祝勇故宫作品：selected works of Zhu Yong</v>
      </c>
      <c r="D725" s="7" t="str">
        <f t="shared" si="389"/>
        <v>祝勇著</v>
      </c>
      <c r="E725" s="7" t="str">
        <f t="shared" si="390"/>
        <v>人民文学出版社</v>
      </c>
      <c r="F725" s="7" t="str">
        <f t="shared" si="391"/>
        <v>I267/6677</v>
      </c>
    </row>
    <row r="726" customHeight="1" spans="1:6">
      <c r="A726" s="6">
        <v>725</v>
      </c>
      <c r="B726" s="7" t="str">
        <f t="shared" ref="B726:B728" si="392">"978-7-5329-6409-3"</f>
        <v>978-7-5329-6409-3</v>
      </c>
      <c r="C726" s="7" t="str">
        <f t="shared" ref="C726:C728" si="393">"人生答案之书"</f>
        <v>人生答案之书</v>
      </c>
      <c r="D726" s="7" t="str">
        <f t="shared" ref="D726:D728" si="394">"周国平著"</f>
        <v>周国平著</v>
      </c>
      <c r="E726" s="7" t="str">
        <f t="shared" ref="E726:E728" si="395">"山东文艺出版社"</f>
        <v>山东文艺出版社</v>
      </c>
      <c r="F726" s="7" t="str">
        <f t="shared" ref="F726:F728" si="396">"I267/6678"</f>
        <v>I267/6678</v>
      </c>
    </row>
    <row r="727" customHeight="1" spans="1:6">
      <c r="A727" s="6">
        <v>726</v>
      </c>
      <c r="B727" s="7" t="str">
        <f t="shared" si="392"/>
        <v>978-7-5329-6409-3</v>
      </c>
      <c r="C727" s="7" t="str">
        <f t="shared" si="393"/>
        <v>人生答案之书</v>
      </c>
      <c r="D727" s="7" t="str">
        <f t="shared" si="394"/>
        <v>周国平著</v>
      </c>
      <c r="E727" s="7" t="str">
        <f t="shared" si="395"/>
        <v>山东文艺出版社</v>
      </c>
      <c r="F727" s="7" t="str">
        <f t="shared" si="396"/>
        <v>I267/6678</v>
      </c>
    </row>
    <row r="728" customHeight="1" spans="1:6">
      <c r="A728" s="6">
        <v>727</v>
      </c>
      <c r="B728" s="7" t="str">
        <f t="shared" si="392"/>
        <v>978-7-5329-6409-3</v>
      </c>
      <c r="C728" s="7" t="str">
        <f t="shared" si="393"/>
        <v>人生答案之书</v>
      </c>
      <c r="D728" s="7" t="str">
        <f t="shared" si="394"/>
        <v>周国平著</v>
      </c>
      <c r="E728" s="7" t="str">
        <f t="shared" si="395"/>
        <v>山东文艺出版社</v>
      </c>
      <c r="F728" s="7" t="str">
        <f t="shared" si="396"/>
        <v>I267/6678</v>
      </c>
    </row>
    <row r="729" customHeight="1" spans="1:6">
      <c r="A729" s="6">
        <v>728</v>
      </c>
      <c r="B729" s="7" t="str">
        <f t="shared" ref="B729:B731" si="397">"978-7-205-10201-2"</f>
        <v>978-7-205-10201-2</v>
      </c>
      <c r="C729" s="7" t="str">
        <f t="shared" ref="C729:C731" si="398">"在群山之间"</f>
        <v>在群山之间</v>
      </c>
      <c r="D729" s="7" t="str">
        <f t="shared" ref="D729:D731" si="399">"陈涛著"</f>
        <v>陈涛著</v>
      </c>
      <c r="E729" s="7" t="str">
        <f t="shared" ref="E729:E731" si="400">"辽宁人民出版社"</f>
        <v>辽宁人民出版社</v>
      </c>
      <c r="F729" s="7" t="str">
        <f t="shared" ref="F729:F731" si="401">"I267/6679"</f>
        <v>I267/6679</v>
      </c>
    </row>
    <row r="730" customHeight="1" spans="1:6">
      <c r="A730" s="6">
        <v>729</v>
      </c>
      <c r="B730" s="7" t="str">
        <f t="shared" si="397"/>
        <v>978-7-205-10201-2</v>
      </c>
      <c r="C730" s="7" t="str">
        <f t="shared" si="398"/>
        <v>在群山之间</v>
      </c>
      <c r="D730" s="7" t="str">
        <f t="shared" si="399"/>
        <v>陈涛著</v>
      </c>
      <c r="E730" s="7" t="str">
        <f t="shared" si="400"/>
        <v>辽宁人民出版社</v>
      </c>
      <c r="F730" s="7" t="str">
        <f t="shared" si="401"/>
        <v>I267/6679</v>
      </c>
    </row>
    <row r="731" customHeight="1" spans="1:6">
      <c r="A731" s="6">
        <v>730</v>
      </c>
      <c r="B731" s="7" t="str">
        <f t="shared" si="397"/>
        <v>978-7-205-10201-2</v>
      </c>
      <c r="C731" s="7" t="str">
        <f t="shared" si="398"/>
        <v>在群山之间</v>
      </c>
      <c r="D731" s="7" t="str">
        <f t="shared" si="399"/>
        <v>陈涛著</v>
      </c>
      <c r="E731" s="7" t="str">
        <f t="shared" si="400"/>
        <v>辽宁人民出版社</v>
      </c>
      <c r="F731" s="7" t="str">
        <f t="shared" si="401"/>
        <v>I267/6679</v>
      </c>
    </row>
    <row r="732" customHeight="1" spans="1:6">
      <c r="A732" s="6">
        <v>731</v>
      </c>
      <c r="B732" s="7" t="str">
        <f>"978-7-208-16409-3"</f>
        <v>978-7-208-16409-3</v>
      </c>
      <c r="C732" s="7" t="str">
        <f>"在故宫书写整个世界"</f>
        <v>在故宫书写整个世界</v>
      </c>
      <c r="D732" s="7" t="str">
        <f>"祝勇"</f>
        <v>祝勇</v>
      </c>
      <c r="E732" s="7" t="str">
        <f>"上海人民出版社"</f>
        <v>上海人民出版社</v>
      </c>
      <c r="F732" s="7" t="str">
        <f>"I267/6680"</f>
        <v>I267/6680</v>
      </c>
    </row>
    <row r="733" customHeight="1" spans="1:6">
      <c r="A733" s="6">
        <v>732</v>
      </c>
      <c r="B733" s="7" t="str">
        <f>"978-7-208-16409-3"</f>
        <v>978-7-208-16409-3</v>
      </c>
      <c r="C733" s="7" t="str">
        <f>"在故宫书写整个世界"</f>
        <v>在故宫书写整个世界</v>
      </c>
      <c r="D733" s="7" t="str">
        <f>"祝勇"</f>
        <v>祝勇</v>
      </c>
      <c r="E733" s="7" t="str">
        <f>"上海人民出版社"</f>
        <v>上海人民出版社</v>
      </c>
      <c r="F733" s="7" t="str">
        <f>"I267/6680"</f>
        <v>I267/6680</v>
      </c>
    </row>
    <row r="734" customHeight="1" spans="1:6">
      <c r="A734" s="6">
        <v>733</v>
      </c>
      <c r="B734" s="7" t="str">
        <f t="shared" ref="B734:B736" si="402">"978-7-02-016791-3"</f>
        <v>978-7-02-016791-3</v>
      </c>
      <c r="C734" s="7" t="str">
        <f t="shared" ref="C734:C736" si="403">"魔笔"</f>
        <v>魔笔</v>
      </c>
      <c r="D734" s="7" t="str">
        <f t="shared" ref="D734:D739" si="404">"琦君著"</f>
        <v>琦君著</v>
      </c>
      <c r="E734" s="7" t="str">
        <f t="shared" ref="E734:E739" si="405">"人民文学出版社"</f>
        <v>人民文学出版社</v>
      </c>
      <c r="F734" s="7" t="str">
        <f t="shared" ref="F734:F736" si="406">"I267/6681"</f>
        <v>I267/6681</v>
      </c>
    </row>
    <row r="735" customHeight="1" spans="1:6">
      <c r="A735" s="6">
        <v>734</v>
      </c>
      <c r="B735" s="7" t="str">
        <f t="shared" si="402"/>
        <v>978-7-02-016791-3</v>
      </c>
      <c r="C735" s="7" t="str">
        <f t="shared" si="403"/>
        <v>魔笔</v>
      </c>
      <c r="D735" s="7" t="str">
        <f t="shared" si="404"/>
        <v>琦君著</v>
      </c>
      <c r="E735" s="7" t="str">
        <f t="shared" si="405"/>
        <v>人民文学出版社</v>
      </c>
      <c r="F735" s="7" t="str">
        <f t="shared" si="406"/>
        <v>I267/6681</v>
      </c>
    </row>
    <row r="736" customHeight="1" spans="1:6">
      <c r="A736" s="6">
        <v>735</v>
      </c>
      <c r="B736" s="7" t="str">
        <f t="shared" si="402"/>
        <v>978-7-02-016791-3</v>
      </c>
      <c r="C736" s="7" t="str">
        <f t="shared" si="403"/>
        <v>魔笔</v>
      </c>
      <c r="D736" s="7" t="str">
        <f t="shared" si="404"/>
        <v>琦君著</v>
      </c>
      <c r="E736" s="7" t="str">
        <f t="shared" si="405"/>
        <v>人民文学出版社</v>
      </c>
      <c r="F736" s="7" t="str">
        <f t="shared" si="406"/>
        <v>I267/6681</v>
      </c>
    </row>
    <row r="737" customHeight="1" spans="1:6">
      <c r="A737" s="6">
        <v>736</v>
      </c>
      <c r="B737" s="7" t="str">
        <f t="shared" ref="B737:B739" si="407">"978-7-02-016796-8"</f>
        <v>978-7-02-016796-8</v>
      </c>
      <c r="C737" s="7" t="str">
        <f t="shared" ref="C737:C739" si="408">"忧愁风雨"</f>
        <v>忧愁风雨</v>
      </c>
      <c r="D737" s="7" t="str">
        <f t="shared" si="404"/>
        <v>琦君著</v>
      </c>
      <c r="E737" s="7" t="str">
        <f t="shared" si="405"/>
        <v>人民文学出版社</v>
      </c>
      <c r="F737" s="7" t="str">
        <f t="shared" ref="F737:F739" si="409">"I267/6682"</f>
        <v>I267/6682</v>
      </c>
    </row>
    <row r="738" customHeight="1" spans="1:6">
      <c r="A738" s="6">
        <v>737</v>
      </c>
      <c r="B738" s="7" t="str">
        <f t="shared" si="407"/>
        <v>978-7-02-016796-8</v>
      </c>
      <c r="C738" s="7" t="str">
        <f t="shared" si="408"/>
        <v>忧愁风雨</v>
      </c>
      <c r="D738" s="7" t="str">
        <f t="shared" si="404"/>
        <v>琦君著</v>
      </c>
      <c r="E738" s="7" t="str">
        <f t="shared" si="405"/>
        <v>人民文学出版社</v>
      </c>
      <c r="F738" s="7" t="str">
        <f t="shared" si="409"/>
        <v>I267/6682</v>
      </c>
    </row>
    <row r="739" customHeight="1" spans="1:6">
      <c r="A739" s="6">
        <v>738</v>
      </c>
      <c r="B739" s="7" t="str">
        <f t="shared" si="407"/>
        <v>978-7-02-016796-8</v>
      </c>
      <c r="C739" s="7" t="str">
        <f t="shared" si="408"/>
        <v>忧愁风雨</v>
      </c>
      <c r="D739" s="7" t="str">
        <f t="shared" si="404"/>
        <v>琦君著</v>
      </c>
      <c r="E739" s="7" t="str">
        <f t="shared" si="405"/>
        <v>人民文学出版社</v>
      </c>
      <c r="F739" s="7" t="str">
        <f t="shared" si="409"/>
        <v>I267/6682</v>
      </c>
    </row>
    <row r="740" customHeight="1" spans="1:6">
      <c r="A740" s="6">
        <v>739</v>
      </c>
      <c r="B740" s="7" t="str">
        <f t="shared" ref="B740:B742" si="410">"978-7-5702-1360-3"</f>
        <v>978-7-5702-1360-3</v>
      </c>
      <c r="C740" s="7" t="str">
        <f t="shared" ref="C740:C742" si="411">"乾隆的惆怅"</f>
        <v>乾隆的惆怅</v>
      </c>
      <c r="D740" s="7" t="str">
        <f t="shared" ref="D740:D742" si="412">"范军著"</f>
        <v>范军著</v>
      </c>
      <c r="E740" s="7" t="str">
        <f t="shared" ref="E740:E748" si="413">"长江文艺出版社"</f>
        <v>长江文艺出版社</v>
      </c>
      <c r="F740" s="7" t="str">
        <f t="shared" ref="F740:F742" si="414">"I267/6683"</f>
        <v>I267/6683</v>
      </c>
    </row>
    <row r="741" customHeight="1" spans="1:6">
      <c r="A741" s="6">
        <v>740</v>
      </c>
      <c r="B741" s="7" t="str">
        <f t="shared" si="410"/>
        <v>978-7-5702-1360-3</v>
      </c>
      <c r="C741" s="7" t="str">
        <f t="shared" si="411"/>
        <v>乾隆的惆怅</v>
      </c>
      <c r="D741" s="7" t="str">
        <f t="shared" si="412"/>
        <v>范军著</v>
      </c>
      <c r="E741" s="7" t="str">
        <f t="shared" si="413"/>
        <v>长江文艺出版社</v>
      </c>
      <c r="F741" s="7" t="str">
        <f t="shared" si="414"/>
        <v>I267/6683</v>
      </c>
    </row>
    <row r="742" customHeight="1" spans="1:6">
      <c r="A742" s="6">
        <v>741</v>
      </c>
      <c r="B742" s="7" t="str">
        <f t="shared" si="410"/>
        <v>978-7-5702-1360-3</v>
      </c>
      <c r="C742" s="7" t="str">
        <f t="shared" si="411"/>
        <v>乾隆的惆怅</v>
      </c>
      <c r="D742" s="7" t="str">
        <f t="shared" si="412"/>
        <v>范军著</v>
      </c>
      <c r="E742" s="7" t="str">
        <f t="shared" si="413"/>
        <v>长江文艺出版社</v>
      </c>
      <c r="F742" s="7" t="str">
        <f t="shared" si="414"/>
        <v>I267/6683</v>
      </c>
    </row>
    <row r="743" customHeight="1" spans="1:6">
      <c r="A743" s="6">
        <v>742</v>
      </c>
      <c r="B743" s="7" t="str">
        <f t="shared" ref="B743:B745" si="415">"978-7-5702-1433-4"</f>
        <v>978-7-5702-1433-4</v>
      </c>
      <c r="C743" s="7" t="str">
        <f t="shared" ref="C743:C745" si="416">"半元社稷半明臣"</f>
        <v>半元社稷半明臣</v>
      </c>
      <c r="D743" s="7" t="str">
        <f t="shared" ref="D743:D745" si="417">"詹谷丰著"</f>
        <v>詹谷丰著</v>
      </c>
      <c r="E743" s="7" t="str">
        <f t="shared" si="413"/>
        <v>长江文艺出版社</v>
      </c>
      <c r="F743" s="7" t="str">
        <f t="shared" ref="F743:F745" si="418">"I267/6684"</f>
        <v>I267/6684</v>
      </c>
    </row>
    <row r="744" customHeight="1" spans="1:6">
      <c r="A744" s="6">
        <v>743</v>
      </c>
      <c r="B744" s="7" t="str">
        <f t="shared" si="415"/>
        <v>978-7-5702-1433-4</v>
      </c>
      <c r="C744" s="7" t="str">
        <f t="shared" si="416"/>
        <v>半元社稷半明臣</v>
      </c>
      <c r="D744" s="7" t="str">
        <f t="shared" si="417"/>
        <v>詹谷丰著</v>
      </c>
      <c r="E744" s="7" t="str">
        <f t="shared" si="413"/>
        <v>长江文艺出版社</v>
      </c>
      <c r="F744" s="7" t="str">
        <f t="shared" si="418"/>
        <v>I267/6684</v>
      </c>
    </row>
    <row r="745" customHeight="1" spans="1:6">
      <c r="A745" s="6">
        <v>744</v>
      </c>
      <c r="B745" s="7" t="str">
        <f t="shared" si="415"/>
        <v>978-7-5702-1433-4</v>
      </c>
      <c r="C745" s="7" t="str">
        <f t="shared" si="416"/>
        <v>半元社稷半明臣</v>
      </c>
      <c r="D745" s="7" t="str">
        <f t="shared" si="417"/>
        <v>詹谷丰著</v>
      </c>
      <c r="E745" s="7" t="str">
        <f t="shared" si="413"/>
        <v>长江文艺出版社</v>
      </c>
      <c r="F745" s="7" t="str">
        <f t="shared" si="418"/>
        <v>I267/6684</v>
      </c>
    </row>
    <row r="746" customHeight="1" spans="1:6">
      <c r="A746" s="6">
        <v>745</v>
      </c>
      <c r="B746" s="7" t="str">
        <f t="shared" ref="B746:B748" si="419">"978-7-5702-1107-4"</f>
        <v>978-7-5702-1107-4</v>
      </c>
      <c r="C746" s="7" t="str">
        <f t="shared" ref="C746:C748" si="420">"历史的面孔"</f>
        <v>历史的面孔</v>
      </c>
      <c r="D746" s="7" t="str">
        <f t="shared" ref="D746:D748" si="421">"曾纪鑫著"</f>
        <v>曾纪鑫著</v>
      </c>
      <c r="E746" s="7" t="str">
        <f t="shared" si="413"/>
        <v>长江文艺出版社</v>
      </c>
      <c r="F746" s="7" t="str">
        <f t="shared" ref="F746:F748" si="422">"I267/6685"</f>
        <v>I267/6685</v>
      </c>
    </row>
    <row r="747" customHeight="1" spans="1:6">
      <c r="A747" s="6">
        <v>746</v>
      </c>
      <c r="B747" s="7" t="str">
        <f t="shared" si="419"/>
        <v>978-7-5702-1107-4</v>
      </c>
      <c r="C747" s="7" t="str">
        <f t="shared" si="420"/>
        <v>历史的面孔</v>
      </c>
      <c r="D747" s="7" t="str">
        <f t="shared" si="421"/>
        <v>曾纪鑫著</v>
      </c>
      <c r="E747" s="7" t="str">
        <f t="shared" si="413"/>
        <v>长江文艺出版社</v>
      </c>
      <c r="F747" s="7" t="str">
        <f t="shared" si="422"/>
        <v>I267/6685</v>
      </c>
    </row>
    <row r="748" customHeight="1" spans="1:6">
      <c r="A748" s="6">
        <v>747</v>
      </c>
      <c r="B748" s="7" t="str">
        <f t="shared" si="419"/>
        <v>978-7-5702-1107-4</v>
      </c>
      <c r="C748" s="7" t="str">
        <f t="shared" si="420"/>
        <v>历史的面孔</v>
      </c>
      <c r="D748" s="7" t="str">
        <f t="shared" si="421"/>
        <v>曾纪鑫著</v>
      </c>
      <c r="E748" s="7" t="str">
        <f t="shared" si="413"/>
        <v>长江文艺出版社</v>
      </c>
      <c r="F748" s="7" t="str">
        <f t="shared" si="422"/>
        <v>I267/6685</v>
      </c>
    </row>
    <row r="749" customHeight="1" spans="1:6">
      <c r="A749" s="6">
        <v>748</v>
      </c>
      <c r="B749" s="7" t="str">
        <f t="shared" ref="B749:B751" si="423">"978-7-5212-0883-2"</f>
        <v>978-7-5212-0883-2</v>
      </c>
      <c r="C749" s="7" t="str">
        <f t="shared" ref="C749:C751" si="424">"读史阅世九十年"</f>
        <v>读史阅世九十年</v>
      </c>
      <c r="D749" s="7" t="str">
        <f t="shared" ref="D749:D754" si="425">"季羡林著"</f>
        <v>季羡林著</v>
      </c>
      <c r="E749" s="7" t="str">
        <f t="shared" ref="E749:E754" si="426">"作家出版社"</f>
        <v>作家出版社</v>
      </c>
      <c r="F749" s="7" t="str">
        <f t="shared" ref="F749:F751" si="427">"I267/6686"</f>
        <v>I267/6686</v>
      </c>
    </row>
    <row r="750" customHeight="1" spans="1:6">
      <c r="A750" s="6">
        <v>749</v>
      </c>
      <c r="B750" s="7" t="str">
        <f t="shared" si="423"/>
        <v>978-7-5212-0883-2</v>
      </c>
      <c r="C750" s="7" t="str">
        <f t="shared" si="424"/>
        <v>读史阅世九十年</v>
      </c>
      <c r="D750" s="7" t="str">
        <f t="shared" si="425"/>
        <v>季羡林著</v>
      </c>
      <c r="E750" s="7" t="str">
        <f t="shared" si="426"/>
        <v>作家出版社</v>
      </c>
      <c r="F750" s="7" t="str">
        <f t="shared" si="427"/>
        <v>I267/6686</v>
      </c>
    </row>
    <row r="751" customHeight="1" spans="1:6">
      <c r="A751" s="6">
        <v>750</v>
      </c>
      <c r="B751" s="7" t="str">
        <f t="shared" si="423"/>
        <v>978-7-5212-0883-2</v>
      </c>
      <c r="C751" s="7" t="str">
        <f t="shared" si="424"/>
        <v>读史阅世九十年</v>
      </c>
      <c r="D751" s="7" t="str">
        <f t="shared" si="425"/>
        <v>季羡林著</v>
      </c>
      <c r="E751" s="7" t="str">
        <f t="shared" si="426"/>
        <v>作家出版社</v>
      </c>
      <c r="F751" s="7" t="str">
        <f t="shared" si="427"/>
        <v>I267/6686</v>
      </c>
    </row>
    <row r="752" customHeight="1" spans="1:6">
      <c r="A752" s="6">
        <v>751</v>
      </c>
      <c r="B752" s="7" t="str">
        <f t="shared" ref="B752:B754" si="428">"978-7-5212-0881-8"</f>
        <v>978-7-5212-0881-8</v>
      </c>
      <c r="C752" s="7" t="str">
        <f t="shared" ref="C752:C754" si="429">"心里那一片天地"</f>
        <v>心里那一片天地</v>
      </c>
      <c r="D752" s="7" t="str">
        <f t="shared" si="425"/>
        <v>季羡林著</v>
      </c>
      <c r="E752" s="7" t="str">
        <f t="shared" si="426"/>
        <v>作家出版社</v>
      </c>
      <c r="F752" s="7" t="str">
        <f t="shared" ref="F752:F754" si="430">"I267/6687"</f>
        <v>I267/6687</v>
      </c>
    </row>
    <row r="753" customHeight="1" spans="1:6">
      <c r="A753" s="6">
        <v>752</v>
      </c>
      <c r="B753" s="7" t="str">
        <f t="shared" si="428"/>
        <v>978-7-5212-0881-8</v>
      </c>
      <c r="C753" s="7" t="str">
        <f t="shared" si="429"/>
        <v>心里那一片天地</v>
      </c>
      <c r="D753" s="7" t="str">
        <f t="shared" si="425"/>
        <v>季羡林著</v>
      </c>
      <c r="E753" s="7" t="str">
        <f t="shared" si="426"/>
        <v>作家出版社</v>
      </c>
      <c r="F753" s="7" t="str">
        <f t="shared" si="430"/>
        <v>I267/6687</v>
      </c>
    </row>
    <row r="754" customHeight="1" spans="1:6">
      <c r="A754" s="6">
        <v>753</v>
      </c>
      <c r="B754" s="7" t="str">
        <f t="shared" si="428"/>
        <v>978-7-5212-0881-8</v>
      </c>
      <c r="C754" s="7" t="str">
        <f t="shared" si="429"/>
        <v>心里那一片天地</v>
      </c>
      <c r="D754" s="7" t="str">
        <f t="shared" si="425"/>
        <v>季羡林著</v>
      </c>
      <c r="E754" s="7" t="str">
        <f t="shared" si="426"/>
        <v>作家出版社</v>
      </c>
      <c r="F754" s="7" t="str">
        <f t="shared" si="430"/>
        <v>I267/6687</v>
      </c>
    </row>
    <row r="755" customHeight="1" spans="1:6">
      <c r="A755" s="6">
        <v>754</v>
      </c>
      <c r="B755" s="7" t="str">
        <f>"978-7-02-016058-7"</f>
        <v>978-7-02-016058-7</v>
      </c>
      <c r="C755" s="7" t="str">
        <f>"一切境"</f>
        <v>一切境</v>
      </c>
      <c r="D755" s="7" t="str">
        <f>"庆山著"</f>
        <v>庆山著</v>
      </c>
      <c r="E755" s="7" t="str">
        <f t="shared" ref="E755:E768" si="431">"人民文学出版社"</f>
        <v>人民文学出版社</v>
      </c>
      <c r="F755" s="7" t="str">
        <f>"I267/6688"</f>
        <v>I267/6688</v>
      </c>
    </row>
    <row r="756" customHeight="1" spans="1:6">
      <c r="A756" s="6">
        <v>755</v>
      </c>
      <c r="B756" s="7" t="str">
        <f>"978-7-02-016058-7"</f>
        <v>978-7-02-016058-7</v>
      </c>
      <c r="C756" s="7" t="str">
        <f>"一切境"</f>
        <v>一切境</v>
      </c>
      <c r="D756" s="7" t="str">
        <f>"庆山著"</f>
        <v>庆山著</v>
      </c>
      <c r="E756" s="7" t="str">
        <f t="shared" si="431"/>
        <v>人民文学出版社</v>
      </c>
      <c r="F756" s="7" t="str">
        <f>"I267/6688"</f>
        <v>I267/6688</v>
      </c>
    </row>
    <row r="757" customHeight="1" spans="1:6">
      <c r="A757" s="6">
        <v>756</v>
      </c>
      <c r="B757" s="7" t="str">
        <f t="shared" ref="B757:B759" si="432">"978-7-5212-0879-5"</f>
        <v>978-7-5212-0879-5</v>
      </c>
      <c r="C757" s="7" t="str">
        <f t="shared" ref="C757:C759" si="433">"遥远的怀念"</f>
        <v>遥远的怀念</v>
      </c>
      <c r="D757" s="7" t="str">
        <f t="shared" ref="D757:D759" si="434">"季羡林著"</f>
        <v>季羡林著</v>
      </c>
      <c r="E757" s="7" t="str">
        <f t="shared" ref="E757:E759" si="435">"作家出版社"</f>
        <v>作家出版社</v>
      </c>
      <c r="F757" s="7" t="str">
        <f t="shared" ref="F757:F759" si="436">"I267/6689"</f>
        <v>I267/6689</v>
      </c>
    </row>
    <row r="758" customHeight="1" spans="1:6">
      <c r="A758" s="6">
        <v>757</v>
      </c>
      <c r="B758" s="7" t="str">
        <f t="shared" si="432"/>
        <v>978-7-5212-0879-5</v>
      </c>
      <c r="C758" s="7" t="str">
        <f t="shared" si="433"/>
        <v>遥远的怀念</v>
      </c>
      <c r="D758" s="7" t="str">
        <f t="shared" si="434"/>
        <v>季羡林著</v>
      </c>
      <c r="E758" s="7" t="str">
        <f t="shared" si="435"/>
        <v>作家出版社</v>
      </c>
      <c r="F758" s="7" t="str">
        <f t="shared" si="436"/>
        <v>I267/6689</v>
      </c>
    </row>
    <row r="759" customHeight="1" spans="1:6">
      <c r="A759" s="6">
        <v>758</v>
      </c>
      <c r="B759" s="7" t="str">
        <f t="shared" si="432"/>
        <v>978-7-5212-0879-5</v>
      </c>
      <c r="C759" s="7" t="str">
        <f t="shared" si="433"/>
        <v>遥远的怀念</v>
      </c>
      <c r="D759" s="7" t="str">
        <f t="shared" si="434"/>
        <v>季羡林著</v>
      </c>
      <c r="E759" s="7" t="str">
        <f t="shared" si="435"/>
        <v>作家出版社</v>
      </c>
      <c r="F759" s="7" t="str">
        <f t="shared" si="436"/>
        <v>I267/6689</v>
      </c>
    </row>
    <row r="760" customHeight="1" spans="1:6">
      <c r="A760" s="6">
        <v>759</v>
      </c>
      <c r="B760" s="7" t="str">
        <f t="shared" ref="B760:B762" si="437">"978-7-02-016797-5"</f>
        <v>978-7-02-016797-5</v>
      </c>
      <c r="C760" s="7" t="str">
        <f t="shared" ref="C760:C762" si="438">"读书与生活"</f>
        <v>读书与生活</v>
      </c>
      <c r="D760" s="7" t="str">
        <f t="shared" ref="D760:D768" si="439">"琦君著"</f>
        <v>琦君著</v>
      </c>
      <c r="E760" s="7" t="str">
        <f t="shared" si="431"/>
        <v>人民文学出版社</v>
      </c>
      <c r="F760" s="7" t="str">
        <f t="shared" ref="F760:F762" si="440">"I267/6690"</f>
        <v>I267/6690</v>
      </c>
    </row>
    <row r="761" customHeight="1" spans="1:6">
      <c r="A761" s="6">
        <v>760</v>
      </c>
      <c r="B761" s="7" t="str">
        <f t="shared" si="437"/>
        <v>978-7-02-016797-5</v>
      </c>
      <c r="C761" s="7" t="str">
        <f t="shared" si="438"/>
        <v>读书与生活</v>
      </c>
      <c r="D761" s="7" t="str">
        <f t="shared" si="439"/>
        <v>琦君著</v>
      </c>
      <c r="E761" s="7" t="str">
        <f t="shared" si="431"/>
        <v>人民文学出版社</v>
      </c>
      <c r="F761" s="7" t="str">
        <f t="shared" si="440"/>
        <v>I267/6690</v>
      </c>
    </row>
    <row r="762" customHeight="1" spans="1:6">
      <c r="A762" s="6">
        <v>761</v>
      </c>
      <c r="B762" s="7" t="str">
        <f t="shared" si="437"/>
        <v>978-7-02-016797-5</v>
      </c>
      <c r="C762" s="7" t="str">
        <f t="shared" si="438"/>
        <v>读书与生活</v>
      </c>
      <c r="D762" s="7" t="str">
        <f t="shared" si="439"/>
        <v>琦君著</v>
      </c>
      <c r="E762" s="7" t="str">
        <f t="shared" si="431"/>
        <v>人民文学出版社</v>
      </c>
      <c r="F762" s="7" t="str">
        <f t="shared" si="440"/>
        <v>I267/6690</v>
      </c>
    </row>
    <row r="763" customHeight="1" spans="1:6">
      <c r="A763" s="6">
        <v>762</v>
      </c>
      <c r="B763" s="7" t="str">
        <f t="shared" ref="B763:B765" si="441">"978-7-02-016793-7"</f>
        <v>978-7-02-016793-7</v>
      </c>
      <c r="C763" s="7" t="str">
        <f t="shared" ref="C763:C765" si="442">"文与情"</f>
        <v>文与情</v>
      </c>
      <c r="D763" s="7" t="str">
        <f t="shared" si="439"/>
        <v>琦君著</v>
      </c>
      <c r="E763" s="7" t="str">
        <f t="shared" si="431"/>
        <v>人民文学出版社</v>
      </c>
      <c r="F763" s="7" t="str">
        <f t="shared" ref="F763:F765" si="443">"I267/6691"</f>
        <v>I267/6691</v>
      </c>
    </row>
    <row r="764" customHeight="1" spans="1:6">
      <c r="A764" s="6">
        <v>763</v>
      </c>
      <c r="B764" s="7" t="str">
        <f t="shared" si="441"/>
        <v>978-7-02-016793-7</v>
      </c>
      <c r="C764" s="7" t="str">
        <f t="shared" si="442"/>
        <v>文与情</v>
      </c>
      <c r="D764" s="7" t="str">
        <f t="shared" si="439"/>
        <v>琦君著</v>
      </c>
      <c r="E764" s="7" t="str">
        <f t="shared" si="431"/>
        <v>人民文学出版社</v>
      </c>
      <c r="F764" s="7" t="str">
        <f t="shared" si="443"/>
        <v>I267/6691</v>
      </c>
    </row>
    <row r="765" customHeight="1" spans="1:6">
      <c r="A765" s="6">
        <v>764</v>
      </c>
      <c r="B765" s="7" t="str">
        <f t="shared" si="441"/>
        <v>978-7-02-016793-7</v>
      </c>
      <c r="C765" s="7" t="str">
        <f t="shared" si="442"/>
        <v>文与情</v>
      </c>
      <c r="D765" s="7" t="str">
        <f t="shared" si="439"/>
        <v>琦君著</v>
      </c>
      <c r="E765" s="7" t="str">
        <f t="shared" si="431"/>
        <v>人民文学出版社</v>
      </c>
      <c r="F765" s="7" t="str">
        <f t="shared" si="443"/>
        <v>I267/6691</v>
      </c>
    </row>
    <row r="766" customHeight="1" spans="1:6">
      <c r="A766" s="6">
        <v>765</v>
      </c>
      <c r="B766" s="7" t="str">
        <f t="shared" ref="B766:B768" si="444">"978-7-02-016795-1"</f>
        <v>978-7-02-016795-1</v>
      </c>
      <c r="C766" s="7" t="str">
        <f t="shared" ref="C766:C768" si="445">"红纱灯"</f>
        <v>红纱灯</v>
      </c>
      <c r="D766" s="7" t="str">
        <f t="shared" si="439"/>
        <v>琦君著</v>
      </c>
      <c r="E766" s="7" t="str">
        <f t="shared" si="431"/>
        <v>人民文学出版社</v>
      </c>
      <c r="F766" s="7" t="str">
        <f t="shared" ref="F766:F768" si="446">"I267/6692"</f>
        <v>I267/6692</v>
      </c>
    </row>
    <row r="767" customHeight="1" spans="1:6">
      <c r="A767" s="6">
        <v>766</v>
      </c>
      <c r="B767" s="7" t="str">
        <f t="shared" si="444"/>
        <v>978-7-02-016795-1</v>
      </c>
      <c r="C767" s="7" t="str">
        <f t="shared" si="445"/>
        <v>红纱灯</v>
      </c>
      <c r="D767" s="7" t="str">
        <f t="shared" si="439"/>
        <v>琦君著</v>
      </c>
      <c r="E767" s="7" t="str">
        <f t="shared" si="431"/>
        <v>人民文学出版社</v>
      </c>
      <c r="F767" s="7" t="str">
        <f t="shared" si="446"/>
        <v>I267/6692</v>
      </c>
    </row>
    <row r="768" customHeight="1" spans="1:6">
      <c r="A768" s="6">
        <v>767</v>
      </c>
      <c r="B768" s="7" t="str">
        <f t="shared" si="444"/>
        <v>978-7-02-016795-1</v>
      </c>
      <c r="C768" s="7" t="str">
        <f t="shared" si="445"/>
        <v>红纱灯</v>
      </c>
      <c r="D768" s="7" t="str">
        <f t="shared" si="439"/>
        <v>琦君著</v>
      </c>
      <c r="E768" s="7" t="str">
        <f t="shared" si="431"/>
        <v>人民文学出版社</v>
      </c>
      <c r="F768" s="7" t="str">
        <f t="shared" si="446"/>
        <v>I267/6692</v>
      </c>
    </row>
    <row r="769" customHeight="1" spans="1:6">
      <c r="A769" s="6">
        <v>768</v>
      </c>
      <c r="B769" s="8" t="s">
        <v>10047</v>
      </c>
      <c r="C769" s="8" t="s">
        <v>10048</v>
      </c>
      <c r="D769" s="8" t="s">
        <v>10049</v>
      </c>
      <c r="E769" s="8" t="s">
        <v>854</v>
      </c>
      <c r="F769" s="8" t="s">
        <v>10050</v>
      </c>
    </row>
    <row r="770" customHeight="1" spans="1:6">
      <c r="A770" s="6">
        <v>769</v>
      </c>
      <c r="B770" s="8" t="s">
        <v>10047</v>
      </c>
      <c r="C770" s="8" t="s">
        <v>10048</v>
      </c>
      <c r="D770" s="8" t="s">
        <v>10049</v>
      </c>
      <c r="E770" s="8" t="s">
        <v>854</v>
      </c>
      <c r="F770" s="8" t="s">
        <v>10050</v>
      </c>
    </row>
    <row r="771" customHeight="1" spans="1:6">
      <c r="A771" s="6">
        <v>770</v>
      </c>
      <c r="B771" s="8" t="s">
        <v>10047</v>
      </c>
      <c r="C771" s="8" t="s">
        <v>10048</v>
      </c>
      <c r="D771" s="8" t="s">
        <v>10049</v>
      </c>
      <c r="E771" s="8" t="s">
        <v>854</v>
      </c>
      <c r="F771" s="8" t="s">
        <v>10050</v>
      </c>
    </row>
    <row r="772" customHeight="1" spans="1:6">
      <c r="A772" s="6">
        <v>771</v>
      </c>
      <c r="B772" s="8" t="s">
        <v>10051</v>
      </c>
      <c r="C772" s="8" t="s">
        <v>10052</v>
      </c>
      <c r="D772" s="8" t="s">
        <v>10053</v>
      </c>
      <c r="E772" s="8" t="s">
        <v>3996</v>
      </c>
      <c r="F772" s="8" t="s">
        <v>10054</v>
      </c>
    </row>
    <row r="773" customHeight="1" spans="1:6">
      <c r="A773" s="6">
        <v>772</v>
      </c>
      <c r="B773" s="8" t="s">
        <v>10051</v>
      </c>
      <c r="C773" s="8" t="s">
        <v>10052</v>
      </c>
      <c r="D773" s="8" t="s">
        <v>10053</v>
      </c>
      <c r="E773" s="8" t="s">
        <v>3996</v>
      </c>
      <c r="F773" s="8" t="s">
        <v>10054</v>
      </c>
    </row>
    <row r="774" customHeight="1" spans="1:6">
      <c r="A774" s="6">
        <v>773</v>
      </c>
      <c r="B774" s="8" t="s">
        <v>10055</v>
      </c>
      <c r="C774" s="8" t="s">
        <v>10056</v>
      </c>
      <c r="D774" s="8" t="s">
        <v>6747</v>
      </c>
      <c r="E774" s="8" t="s">
        <v>1818</v>
      </c>
      <c r="F774" s="8" t="s">
        <v>10057</v>
      </c>
    </row>
    <row r="775" customHeight="1" spans="1:6">
      <c r="A775" s="6">
        <v>774</v>
      </c>
      <c r="B775" s="8" t="s">
        <v>10055</v>
      </c>
      <c r="C775" s="8" t="s">
        <v>10056</v>
      </c>
      <c r="D775" s="8" t="s">
        <v>6747</v>
      </c>
      <c r="E775" s="8" t="s">
        <v>1818</v>
      </c>
      <c r="F775" s="8" t="s">
        <v>10057</v>
      </c>
    </row>
    <row r="776" customHeight="1" spans="1:6">
      <c r="A776" s="6">
        <v>775</v>
      </c>
      <c r="B776" s="8" t="s">
        <v>10058</v>
      </c>
      <c r="C776" s="8" t="s">
        <v>10059</v>
      </c>
      <c r="D776" s="13"/>
      <c r="E776" s="8" t="s">
        <v>810</v>
      </c>
      <c r="F776" s="8" t="s">
        <v>10060</v>
      </c>
    </row>
    <row r="777" customHeight="1" spans="1:6">
      <c r="A777" s="6">
        <v>776</v>
      </c>
      <c r="B777" s="8" t="s">
        <v>10058</v>
      </c>
      <c r="C777" s="8" t="s">
        <v>10059</v>
      </c>
      <c r="D777" s="13"/>
      <c r="E777" s="8" t="s">
        <v>810</v>
      </c>
      <c r="F777" s="8" t="s">
        <v>10060</v>
      </c>
    </row>
    <row r="778" customHeight="1" spans="1:6">
      <c r="A778" s="6">
        <v>777</v>
      </c>
      <c r="B778" s="8" t="s">
        <v>10061</v>
      </c>
      <c r="C778" s="8" t="s">
        <v>10062</v>
      </c>
      <c r="D778" s="8" t="s">
        <v>10063</v>
      </c>
      <c r="E778" s="8" t="s">
        <v>10064</v>
      </c>
      <c r="F778" s="8" t="s">
        <v>10065</v>
      </c>
    </row>
    <row r="779" customHeight="1" spans="1:6">
      <c r="A779" s="6">
        <v>778</v>
      </c>
      <c r="B779" s="8" t="s">
        <v>10061</v>
      </c>
      <c r="C779" s="8" t="s">
        <v>10062</v>
      </c>
      <c r="D779" s="8" t="s">
        <v>10063</v>
      </c>
      <c r="E779" s="8" t="s">
        <v>10064</v>
      </c>
      <c r="F779" s="8" t="s">
        <v>10065</v>
      </c>
    </row>
    <row r="780" customHeight="1" spans="1:6">
      <c r="A780" s="6">
        <v>779</v>
      </c>
      <c r="B780" s="8" t="s">
        <v>10066</v>
      </c>
      <c r="C780" s="8" t="s">
        <v>10067</v>
      </c>
      <c r="D780" s="8" t="s">
        <v>10068</v>
      </c>
      <c r="E780" s="8" t="s">
        <v>10069</v>
      </c>
      <c r="F780" s="8" t="s">
        <v>10070</v>
      </c>
    </row>
    <row r="781" customHeight="1" spans="1:6">
      <c r="A781" s="6">
        <v>780</v>
      </c>
      <c r="B781" s="8" t="s">
        <v>10066</v>
      </c>
      <c r="C781" s="8" t="s">
        <v>10067</v>
      </c>
      <c r="D781" s="8" t="s">
        <v>10068</v>
      </c>
      <c r="E781" s="8" t="s">
        <v>10069</v>
      </c>
      <c r="F781" s="8" t="s">
        <v>10070</v>
      </c>
    </row>
    <row r="782" customHeight="1" spans="1:6">
      <c r="A782" s="6">
        <v>781</v>
      </c>
      <c r="B782" s="8" t="s">
        <v>10071</v>
      </c>
      <c r="C782" s="8" t="s">
        <v>10072</v>
      </c>
      <c r="D782" s="8" t="s">
        <v>10073</v>
      </c>
      <c r="E782" s="8" t="s">
        <v>316</v>
      </c>
      <c r="F782" s="8" t="s">
        <v>10074</v>
      </c>
    </row>
    <row r="783" customHeight="1" spans="1:6">
      <c r="A783" s="6">
        <v>782</v>
      </c>
      <c r="B783" s="8" t="s">
        <v>10071</v>
      </c>
      <c r="C783" s="8" t="s">
        <v>10072</v>
      </c>
      <c r="D783" s="8" t="s">
        <v>10073</v>
      </c>
      <c r="E783" s="8" t="s">
        <v>316</v>
      </c>
      <c r="F783" s="8" t="s">
        <v>10074</v>
      </c>
    </row>
    <row r="784" customHeight="1" spans="1:6">
      <c r="A784" s="6">
        <v>783</v>
      </c>
      <c r="B784" s="8" t="s">
        <v>10075</v>
      </c>
      <c r="C784" s="8" t="s">
        <v>10076</v>
      </c>
      <c r="D784" s="8" t="s">
        <v>10077</v>
      </c>
      <c r="E784" s="8" t="s">
        <v>1967</v>
      </c>
      <c r="F784" s="8" t="s">
        <v>10078</v>
      </c>
    </row>
    <row r="785" customHeight="1" spans="1:6">
      <c r="A785" s="6">
        <v>784</v>
      </c>
      <c r="B785" s="8" t="s">
        <v>10075</v>
      </c>
      <c r="C785" s="8" t="s">
        <v>10076</v>
      </c>
      <c r="D785" s="8" t="s">
        <v>10077</v>
      </c>
      <c r="E785" s="8" t="s">
        <v>1967</v>
      </c>
      <c r="F785" s="8" t="s">
        <v>10078</v>
      </c>
    </row>
    <row r="786" customHeight="1" spans="1:6">
      <c r="A786" s="6">
        <v>785</v>
      </c>
      <c r="B786" s="8" t="s">
        <v>10079</v>
      </c>
      <c r="C786" s="8" t="s">
        <v>10080</v>
      </c>
      <c r="D786" s="8" t="s">
        <v>1314</v>
      </c>
      <c r="E786" s="8" t="s">
        <v>5039</v>
      </c>
      <c r="F786" s="8" t="s">
        <v>10081</v>
      </c>
    </row>
    <row r="787" customHeight="1" spans="1:6">
      <c r="A787" s="6">
        <v>786</v>
      </c>
      <c r="B787" s="8" t="s">
        <v>10079</v>
      </c>
      <c r="C787" s="8" t="s">
        <v>10080</v>
      </c>
      <c r="D787" s="8" t="s">
        <v>1314</v>
      </c>
      <c r="E787" s="8" t="s">
        <v>5039</v>
      </c>
      <c r="F787" s="8" t="s">
        <v>10081</v>
      </c>
    </row>
    <row r="788" customHeight="1" spans="1:6">
      <c r="A788" s="6">
        <v>787</v>
      </c>
      <c r="B788" s="7" t="str">
        <f t="shared" ref="B788:B790" si="447">"978-7-5702-1631-4"</f>
        <v>978-7-5702-1631-4</v>
      </c>
      <c r="C788" s="7" t="str">
        <f t="shared" ref="C788:C790" si="448">"本草春秋"</f>
        <v>本草春秋</v>
      </c>
      <c r="D788" s="7" t="str">
        <f t="shared" ref="D788:D790" si="449">"郑骁锋著"</f>
        <v>郑骁锋著</v>
      </c>
      <c r="E788" s="7" t="str">
        <f t="shared" ref="E788:E790" si="450">"长江文艺出版社"</f>
        <v>长江文艺出版社</v>
      </c>
      <c r="F788" s="7" t="str">
        <f t="shared" ref="F788:F790" si="451">"I267/956-2"</f>
        <v>I267/956-2</v>
      </c>
    </row>
    <row r="789" customHeight="1" spans="1:6">
      <c r="A789" s="6">
        <v>788</v>
      </c>
      <c r="B789" s="7" t="str">
        <f t="shared" si="447"/>
        <v>978-7-5702-1631-4</v>
      </c>
      <c r="C789" s="7" t="str">
        <f t="shared" si="448"/>
        <v>本草春秋</v>
      </c>
      <c r="D789" s="7" t="str">
        <f t="shared" si="449"/>
        <v>郑骁锋著</v>
      </c>
      <c r="E789" s="7" t="str">
        <f t="shared" si="450"/>
        <v>长江文艺出版社</v>
      </c>
      <c r="F789" s="7" t="str">
        <f t="shared" si="451"/>
        <v>I267/956-2</v>
      </c>
    </row>
    <row r="790" customHeight="1" spans="1:6">
      <c r="A790" s="6">
        <v>789</v>
      </c>
      <c r="B790" s="7" t="str">
        <f t="shared" si="447"/>
        <v>978-7-5702-1631-4</v>
      </c>
      <c r="C790" s="7" t="str">
        <f t="shared" si="448"/>
        <v>本草春秋</v>
      </c>
      <c r="D790" s="7" t="str">
        <f t="shared" si="449"/>
        <v>郑骁锋著</v>
      </c>
      <c r="E790" s="7" t="str">
        <f t="shared" si="450"/>
        <v>长江文艺出版社</v>
      </c>
      <c r="F790" s="7" t="str">
        <f t="shared" si="451"/>
        <v>I267/956-2</v>
      </c>
    </row>
    <row r="791" customHeight="1" spans="1:6">
      <c r="A791" s="6">
        <v>790</v>
      </c>
      <c r="B791" s="9" t="str">
        <f>"978-7-101-14542-7"</f>
        <v>978-7-101-14542-7</v>
      </c>
      <c r="C791" s="9" t="str">
        <f>"历代笑话集"</f>
        <v>历代笑话集</v>
      </c>
      <c r="D791" s="9" t="str">
        <f>"王利器辑录"</f>
        <v>王利器辑录</v>
      </c>
      <c r="E791" s="9" t="str">
        <f>"中华书局"</f>
        <v>中华书局</v>
      </c>
      <c r="F791" s="9" t="str">
        <f>"I277.8/129"</f>
        <v>I277.8/129</v>
      </c>
    </row>
    <row r="792" customHeight="1" spans="1:6">
      <c r="A792" s="6">
        <v>791</v>
      </c>
      <c r="B792" s="9" t="str">
        <f>"978-7-101-14542-7"</f>
        <v>978-7-101-14542-7</v>
      </c>
      <c r="C792" s="9" t="str">
        <f>"历代笑话集"</f>
        <v>历代笑话集</v>
      </c>
      <c r="D792" s="9" t="str">
        <f>"王利器辑录"</f>
        <v>王利器辑录</v>
      </c>
      <c r="E792" s="9" t="str">
        <f>"中华书局"</f>
        <v>中华书局</v>
      </c>
      <c r="F792" s="9" t="str">
        <f>"I277.8/129"</f>
        <v>I277.8/129</v>
      </c>
    </row>
    <row r="793" customHeight="1" spans="1:6">
      <c r="A793" s="6">
        <v>792</v>
      </c>
      <c r="B793" s="8" t="s">
        <v>10082</v>
      </c>
      <c r="C793" s="8" t="s">
        <v>10083</v>
      </c>
      <c r="D793" s="8" t="s">
        <v>10084</v>
      </c>
      <c r="E793" s="8" t="s">
        <v>33</v>
      </c>
      <c r="F793" s="8" t="s">
        <v>10085</v>
      </c>
    </row>
    <row r="794" customHeight="1" spans="1:6">
      <c r="A794" s="6">
        <v>793</v>
      </c>
      <c r="B794" s="8" t="s">
        <v>10082</v>
      </c>
      <c r="C794" s="8" t="s">
        <v>10083</v>
      </c>
      <c r="D794" s="8" t="s">
        <v>10084</v>
      </c>
      <c r="E794" s="8" t="s">
        <v>33</v>
      </c>
      <c r="F794" s="8" t="s">
        <v>10085</v>
      </c>
    </row>
    <row r="795" customHeight="1" spans="1:6">
      <c r="A795" s="6">
        <v>794</v>
      </c>
      <c r="B795" s="7" t="str">
        <f>"978-7-100-18514-1"</f>
        <v>978-7-100-18514-1</v>
      </c>
      <c r="C795" s="7" t="str">
        <f>"日本近代文学史"</f>
        <v>日本近代文学史</v>
      </c>
      <c r="D795" s="7" t="str">
        <f>"(日) 伊藤整著；郭尔雅译"</f>
        <v>(日) 伊藤整著；郭尔雅译</v>
      </c>
      <c r="E795" s="7" t="str">
        <f>"商务印书馆"</f>
        <v>商务印书馆</v>
      </c>
      <c r="F795" s="7" t="str">
        <f>"I313.094/3"</f>
        <v>I313.094/3</v>
      </c>
    </row>
    <row r="796" customHeight="1" spans="1:6">
      <c r="A796" s="6">
        <v>795</v>
      </c>
      <c r="B796" s="7" t="str">
        <f>"978-7-100-18514-1"</f>
        <v>978-7-100-18514-1</v>
      </c>
      <c r="C796" s="7" t="str">
        <f>"日本近代文学史"</f>
        <v>日本近代文学史</v>
      </c>
      <c r="D796" s="7" t="str">
        <f>"(日) 伊藤整著；郭尔雅译"</f>
        <v>(日) 伊藤整著；郭尔雅译</v>
      </c>
      <c r="E796" s="7" t="str">
        <f>"商务印书馆"</f>
        <v>商务印书馆</v>
      </c>
      <c r="F796" s="7" t="str">
        <f>"I313.094/3"</f>
        <v>I313.094/3</v>
      </c>
    </row>
    <row r="797" customHeight="1" spans="1:6">
      <c r="A797" s="6">
        <v>796</v>
      </c>
      <c r="B797" s="9" t="str">
        <f>"978-7-5596-4981-2"</f>
        <v>978-7-5596-4981-2</v>
      </c>
      <c r="C797" s="9" t="str">
        <f>"萨德侯爵夫人：三岛由纪夫剧作集"</f>
        <v>萨德侯爵夫人：三岛由纪夫剧作集</v>
      </c>
      <c r="D797" s="9" t="str">
        <f>"(日) 三岛由纪夫著；陈德文译"</f>
        <v>(日) 三岛由纪夫著；陈德文译</v>
      </c>
      <c r="E797" s="9" t="str">
        <f>"北京联合出版公司"</f>
        <v>北京联合出版公司</v>
      </c>
      <c r="F797" s="9" t="str">
        <f>"I313.35/7"</f>
        <v>I313.35/7</v>
      </c>
    </row>
    <row r="798" customHeight="1" spans="1:6">
      <c r="A798" s="6">
        <v>797</v>
      </c>
      <c r="B798" s="9" t="str">
        <f>"978-7-5596-4981-2"</f>
        <v>978-7-5596-4981-2</v>
      </c>
      <c r="C798" s="9" t="str">
        <f>"萨德侯爵夫人：三岛由纪夫剧作集"</f>
        <v>萨德侯爵夫人：三岛由纪夫剧作集</v>
      </c>
      <c r="D798" s="9" t="str">
        <f>"(日) 三岛由纪夫著；陈德文译"</f>
        <v>(日) 三岛由纪夫著；陈德文译</v>
      </c>
      <c r="E798" s="9" t="str">
        <f>"北京联合出版公司"</f>
        <v>北京联合出版公司</v>
      </c>
      <c r="F798" s="9" t="str">
        <f>"I313.35/7"</f>
        <v>I313.35/7</v>
      </c>
    </row>
    <row r="799" customHeight="1" spans="1:6">
      <c r="A799" s="6">
        <v>798</v>
      </c>
      <c r="B799" s="7" t="str">
        <f>"978-7-5447-6762-0"</f>
        <v>978-7-5447-6762-0</v>
      </c>
      <c r="C799" s="7" t="str">
        <f t="shared" ref="C799:C802" si="452">"细雪"</f>
        <v>细雪</v>
      </c>
      <c r="D799" s="7" t="str">
        <f>"(日本) 谷崎润一郎；周逸之译"</f>
        <v>(日本) 谷崎润一郎；周逸之译</v>
      </c>
      <c r="E799" s="7" t="str">
        <f>"译林出版社"</f>
        <v>译林出版社</v>
      </c>
      <c r="F799" s="7" t="str">
        <f>"I313.45/1030.2"</f>
        <v>I313.45/1030.2</v>
      </c>
    </row>
    <row r="800" customHeight="1" spans="1:6">
      <c r="A800" s="6">
        <v>799</v>
      </c>
      <c r="B800" s="7" t="str">
        <f>"978-7-5447-6762-0"</f>
        <v>978-7-5447-6762-0</v>
      </c>
      <c r="C800" s="7" t="str">
        <f t="shared" si="452"/>
        <v>细雪</v>
      </c>
      <c r="D800" s="7" t="str">
        <f>"(日本) 谷崎润一郎；周逸之译"</f>
        <v>(日本) 谷崎润一郎；周逸之译</v>
      </c>
      <c r="E800" s="7" t="str">
        <f>"译林出版社"</f>
        <v>译林出版社</v>
      </c>
      <c r="F800" s="7" t="str">
        <f>"I313.45/1030.2"</f>
        <v>I313.45/1030.2</v>
      </c>
    </row>
    <row r="801" customHeight="1" spans="1:6">
      <c r="A801" s="6">
        <v>800</v>
      </c>
      <c r="B801" s="7" t="str">
        <f>"978-7-5442-8162-1"</f>
        <v>978-7-5442-8162-1</v>
      </c>
      <c r="C801" s="7" t="str">
        <f t="shared" si="452"/>
        <v>细雪</v>
      </c>
      <c r="D801" s="7" t="str">
        <f>"(日) 谷崎润一郎著；郑民钦译"</f>
        <v>(日) 谷崎润一郎著；郑民钦译</v>
      </c>
      <c r="E801" s="7" t="str">
        <f t="shared" ref="E801:E804" si="453">"南海出版公司"</f>
        <v>南海出版公司</v>
      </c>
      <c r="F801" s="7" t="str">
        <f>"I313.45/1030.3"</f>
        <v>I313.45/1030.3</v>
      </c>
    </row>
    <row r="802" customHeight="1" spans="1:6">
      <c r="A802" s="6">
        <v>801</v>
      </c>
      <c r="B802" s="7" t="str">
        <f>"978-7-5442-8162-1"</f>
        <v>978-7-5442-8162-1</v>
      </c>
      <c r="C802" s="7" t="str">
        <f t="shared" si="452"/>
        <v>细雪</v>
      </c>
      <c r="D802" s="7" t="str">
        <f>"(日) 谷崎润一郎著；郑民钦译"</f>
        <v>(日) 谷崎润一郎著；郑民钦译</v>
      </c>
      <c r="E802" s="7" t="str">
        <f t="shared" si="453"/>
        <v>南海出版公司</v>
      </c>
      <c r="F802" s="7" t="str">
        <f>"I313.45/1030.3"</f>
        <v>I313.45/1030.3</v>
      </c>
    </row>
    <row r="803" customHeight="1" spans="1:6">
      <c r="A803" s="6">
        <v>802</v>
      </c>
      <c r="B803" s="7" t="str">
        <f>"978-7-5442-8631-2"</f>
        <v>978-7-5442-8631-2</v>
      </c>
      <c r="C803" s="7" t="str">
        <f>"麒麟之翼"</f>
        <v>麒麟之翼</v>
      </c>
      <c r="D803" s="7" t="str">
        <f>"(日) 东野圭吾著；田秀娟译"</f>
        <v>(日) 东野圭吾著；田秀娟译</v>
      </c>
      <c r="E803" s="7" t="str">
        <f t="shared" si="453"/>
        <v>南海出版公司</v>
      </c>
      <c r="F803" s="7" t="str">
        <f>"I313.45/1091=3D"</f>
        <v>I313.45/1091=3D</v>
      </c>
    </row>
    <row r="804" customHeight="1" spans="1:6">
      <c r="A804" s="6">
        <v>803</v>
      </c>
      <c r="B804" s="7" t="str">
        <f>"978-7-5442-8631-2"</f>
        <v>978-7-5442-8631-2</v>
      </c>
      <c r="C804" s="7" t="str">
        <f>"麒麟之翼"</f>
        <v>麒麟之翼</v>
      </c>
      <c r="D804" s="7" t="str">
        <f>"(日) 东野圭吾著；田秀娟译"</f>
        <v>(日) 东野圭吾著；田秀娟译</v>
      </c>
      <c r="E804" s="7" t="str">
        <f t="shared" si="453"/>
        <v>南海出版公司</v>
      </c>
      <c r="F804" s="7" t="str">
        <f>"I313.45/1091=3D"</f>
        <v>I313.45/1091=3D</v>
      </c>
    </row>
    <row r="805" customHeight="1" spans="1:6">
      <c r="A805" s="6">
        <v>804</v>
      </c>
      <c r="B805" s="9" t="str">
        <f>"978-7-02-016039-6"</f>
        <v>978-7-02-016039-6</v>
      </c>
      <c r="C805" s="9" t="str">
        <f>"生日故事集"</f>
        <v>生日故事集</v>
      </c>
      <c r="D805" s="9" t="str">
        <f>"(日) 村上春树编著；孔亚雷， 林少华译"</f>
        <v>(日) 村上春树编著；孔亚雷， 林少华译</v>
      </c>
      <c r="E805" s="9" t="str">
        <f>"人民文学出版社"</f>
        <v>人民文学出版社</v>
      </c>
      <c r="F805" s="9" t="str">
        <f>"I313.45/1395"</f>
        <v>I313.45/1395</v>
      </c>
    </row>
    <row r="806" customHeight="1" spans="1:6">
      <c r="A806" s="6">
        <v>805</v>
      </c>
      <c r="B806" s="9" t="str">
        <f>"978-7-02-016039-6"</f>
        <v>978-7-02-016039-6</v>
      </c>
      <c r="C806" s="9" t="str">
        <f>"生日故事集"</f>
        <v>生日故事集</v>
      </c>
      <c r="D806" s="9" t="str">
        <f>"(日) 村上春树编著；孔亚雷， 林少华译"</f>
        <v>(日) 村上春树编著；孔亚雷， 林少华译</v>
      </c>
      <c r="E806" s="9" t="str">
        <f>"人民文学出版社"</f>
        <v>人民文学出版社</v>
      </c>
      <c r="F806" s="9" t="str">
        <f>"I313.45/1395"</f>
        <v>I313.45/1395</v>
      </c>
    </row>
    <row r="807" customHeight="1" spans="1:6">
      <c r="A807" s="6">
        <v>806</v>
      </c>
      <c r="B807" s="9" t="str">
        <f>"978-7-5442-9790-5"</f>
        <v>978-7-5442-9790-5</v>
      </c>
      <c r="C807" s="9" t="str">
        <f>"无名之町"</f>
        <v>无名之町</v>
      </c>
      <c r="D807" s="9" t="str">
        <f>"(日) 东野圭吾著；王小燕译"</f>
        <v>(日) 东野圭吾著；王小燕译</v>
      </c>
      <c r="E807" s="9" t="str">
        <f>"南海出版公司"</f>
        <v>南海出版公司</v>
      </c>
      <c r="F807" s="9" t="str">
        <f>"I313.45/1396"</f>
        <v>I313.45/1396</v>
      </c>
    </row>
    <row r="808" customHeight="1" spans="1:6">
      <c r="A808" s="6">
        <v>807</v>
      </c>
      <c r="B808" s="9" t="str">
        <f>"978-7-5442-9790-5"</f>
        <v>978-7-5442-9790-5</v>
      </c>
      <c r="C808" s="9" t="str">
        <f>"无名之町"</f>
        <v>无名之町</v>
      </c>
      <c r="D808" s="9" t="str">
        <f>"(日) 东野圭吾著；王小燕译"</f>
        <v>(日) 东野圭吾著；王小燕译</v>
      </c>
      <c r="E808" s="9" t="str">
        <f>"南海出版公司"</f>
        <v>南海出版公司</v>
      </c>
      <c r="F808" s="9" t="str">
        <f>"I313.45/1396"</f>
        <v>I313.45/1396</v>
      </c>
    </row>
    <row r="809" customHeight="1" spans="1:6">
      <c r="A809" s="6">
        <v>808</v>
      </c>
      <c r="B809" s="7" t="str">
        <f t="shared" ref="B809:B811" si="454">"978-7-5360-9485-7"</f>
        <v>978-7-5360-9485-7</v>
      </c>
      <c r="C809" s="7" t="str">
        <f t="shared" ref="C809:C811" si="455">"第一人称单数"</f>
        <v>第一人称单数</v>
      </c>
      <c r="D809" s="7" t="str">
        <f t="shared" ref="D809:D811" si="456">"(日) 村上春树著；烨伊译"</f>
        <v>(日) 村上春树著；烨伊译</v>
      </c>
      <c r="E809" s="7" t="str">
        <f t="shared" ref="E809:E811" si="457">"花城出版社"</f>
        <v>花城出版社</v>
      </c>
      <c r="F809" s="7" t="str">
        <f t="shared" ref="F809:F811" si="458">"I313.45/1397"</f>
        <v>I313.45/1397</v>
      </c>
    </row>
    <row r="810" customHeight="1" spans="1:6">
      <c r="A810" s="6">
        <v>809</v>
      </c>
      <c r="B810" s="7" t="str">
        <f t="shared" si="454"/>
        <v>978-7-5360-9485-7</v>
      </c>
      <c r="C810" s="7" t="str">
        <f t="shared" si="455"/>
        <v>第一人称单数</v>
      </c>
      <c r="D810" s="7" t="str">
        <f t="shared" si="456"/>
        <v>(日) 村上春树著；烨伊译</v>
      </c>
      <c r="E810" s="7" t="str">
        <f t="shared" si="457"/>
        <v>花城出版社</v>
      </c>
      <c r="F810" s="7" t="str">
        <f t="shared" si="458"/>
        <v>I313.45/1397</v>
      </c>
    </row>
    <row r="811" customHeight="1" spans="1:6">
      <c r="A811" s="6">
        <v>810</v>
      </c>
      <c r="B811" s="7" t="str">
        <f t="shared" si="454"/>
        <v>978-7-5360-9485-7</v>
      </c>
      <c r="C811" s="7" t="str">
        <f t="shared" si="455"/>
        <v>第一人称单数</v>
      </c>
      <c r="D811" s="7" t="str">
        <f t="shared" si="456"/>
        <v>(日) 村上春树著；烨伊译</v>
      </c>
      <c r="E811" s="7" t="str">
        <f t="shared" si="457"/>
        <v>花城出版社</v>
      </c>
      <c r="F811" s="7" t="str">
        <f t="shared" si="458"/>
        <v>I313.45/1397</v>
      </c>
    </row>
    <row r="812" customHeight="1" spans="1:6">
      <c r="A812" s="6">
        <v>811</v>
      </c>
      <c r="B812" s="7" t="str">
        <f t="shared" ref="B812:B814" si="459">"978-7-5339-6512-9"</f>
        <v>978-7-5339-6512-9</v>
      </c>
      <c r="C812" s="7" t="str">
        <f t="shared" ref="C812:C814" si="460">"生命式"</f>
        <v>生命式</v>
      </c>
      <c r="D812" s="7" t="str">
        <f t="shared" ref="D812:D814" si="461">"(日) 村田沙耶香著；魏晨译"</f>
        <v>(日) 村田沙耶香著；魏晨译</v>
      </c>
      <c r="E812" s="7" t="str">
        <f t="shared" ref="E812:E814" si="462">"浙江文艺出版社"</f>
        <v>浙江文艺出版社</v>
      </c>
      <c r="F812" s="7" t="str">
        <f t="shared" ref="F812:F814" si="463">"I313.45/1398"</f>
        <v>I313.45/1398</v>
      </c>
    </row>
    <row r="813" customHeight="1" spans="1:6">
      <c r="A813" s="6">
        <v>812</v>
      </c>
      <c r="B813" s="7" t="str">
        <f t="shared" si="459"/>
        <v>978-7-5339-6512-9</v>
      </c>
      <c r="C813" s="7" t="str">
        <f t="shared" si="460"/>
        <v>生命式</v>
      </c>
      <c r="D813" s="7" t="str">
        <f t="shared" si="461"/>
        <v>(日) 村田沙耶香著；魏晨译</v>
      </c>
      <c r="E813" s="7" t="str">
        <f t="shared" si="462"/>
        <v>浙江文艺出版社</v>
      </c>
      <c r="F813" s="7" t="str">
        <f t="shared" si="463"/>
        <v>I313.45/1398</v>
      </c>
    </row>
    <row r="814" customHeight="1" spans="1:6">
      <c r="A814" s="6">
        <v>813</v>
      </c>
      <c r="B814" s="7" t="str">
        <f t="shared" si="459"/>
        <v>978-7-5339-6512-9</v>
      </c>
      <c r="C814" s="7" t="str">
        <f t="shared" si="460"/>
        <v>生命式</v>
      </c>
      <c r="D814" s="7" t="str">
        <f t="shared" si="461"/>
        <v>(日) 村田沙耶香著；魏晨译</v>
      </c>
      <c r="E814" s="7" t="str">
        <f t="shared" si="462"/>
        <v>浙江文艺出版社</v>
      </c>
      <c r="F814" s="7" t="str">
        <f t="shared" si="463"/>
        <v>I313.45/1398</v>
      </c>
    </row>
    <row r="815" customHeight="1" spans="1:6">
      <c r="A815" s="6">
        <v>814</v>
      </c>
      <c r="B815" s="7" t="str">
        <f t="shared" ref="B815:B817" si="464">"978-7-5596-5118-1"</f>
        <v>978-7-5596-5118-1</v>
      </c>
      <c r="C815" s="7" t="str">
        <f t="shared" ref="C815:C817" si="465">"为青年设立的读书俱乐部"</f>
        <v>为青年设立的读书俱乐部</v>
      </c>
      <c r="D815" s="7" t="str">
        <f t="shared" ref="D815:D817" si="466">"(日) 樱庭一树著；刘姿君译"</f>
        <v>(日) 樱庭一树著；刘姿君译</v>
      </c>
      <c r="E815" s="7" t="str">
        <f t="shared" ref="E815:E817" si="467">"北京联合出版公司"</f>
        <v>北京联合出版公司</v>
      </c>
      <c r="F815" s="7" t="str">
        <f t="shared" ref="F815:F817" si="468">"I313.45/1399"</f>
        <v>I313.45/1399</v>
      </c>
    </row>
    <row r="816" customHeight="1" spans="1:6">
      <c r="A816" s="6">
        <v>815</v>
      </c>
      <c r="B816" s="7" t="str">
        <f t="shared" si="464"/>
        <v>978-7-5596-5118-1</v>
      </c>
      <c r="C816" s="7" t="str">
        <f t="shared" si="465"/>
        <v>为青年设立的读书俱乐部</v>
      </c>
      <c r="D816" s="7" t="str">
        <f t="shared" si="466"/>
        <v>(日) 樱庭一树著；刘姿君译</v>
      </c>
      <c r="E816" s="7" t="str">
        <f t="shared" si="467"/>
        <v>北京联合出版公司</v>
      </c>
      <c r="F816" s="7" t="str">
        <f t="shared" si="468"/>
        <v>I313.45/1399</v>
      </c>
    </row>
    <row r="817" customHeight="1" spans="1:6">
      <c r="A817" s="6">
        <v>816</v>
      </c>
      <c r="B817" s="7" t="str">
        <f t="shared" si="464"/>
        <v>978-7-5596-5118-1</v>
      </c>
      <c r="C817" s="7" t="str">
        <f t="shared" si="465"/>
        <v>为青年设立的读书俱乐部</v>
      </c>
      <c r="D817" s="7" t="str">
        <f t="shared" si="466"/>
        <v>(日) 樱庭一树著；刘姿君译</v>
      </c>
      <c r="E817" s="7" t="str">
        <f t="shared" si="467"/>
        <v>北京联合出版公司</v>
      </c>
      <c r="F817" s="7" t="str">
        <f t="shared" si="468"/>
        <v>I313.45/1399</v>
      </c>
    </row>
    <row r="818" customHeight="1" spans="1:6">
      <c r="A818" s="6">
        <v>817</v>
      </c>
      <c r="B818" s="7" t="str">
        <f>"978-7-5057-5047-0"</f>
        <v>978-7-5057-5047-0</v>
      </c>
      <c r="C818" s="7" t="str">
        <f>"你好， 世界"</f>
        <v>你好， 世界</v>
      </c>
      <c r="D818" s="7" t="str">
        <f>"(日) 野崎惑著；蔡东辉译"</f>
        <v>(日) 野崎惑著；蔡东辉译</v>
      </c>
      <c r="E818" s="7" t="str">
        <f>"中国友谊出版公司"</f>
        <v>中国友谊出版公司</v>
      </c>
      <c r="F818" s="7" t="str">
        <f>"I313.45/1400"</f>
        <v>I313.45/1400</v>
      </c>
    </row>
    <row r="819" customHeight="1" spans="1:6">
      <c r="A819" s="6">
        <v>818</v>
      </c>
      <c r="B819" s="7" t="str">
        <f>"978-7-5057-5047-0"</f>
        <v>978-7-5057-5047-0</v>
      </c>
      <c r="C819" s="7" t="str">
        <f>"你好， 世界"</f>
        <v>你好， 世界</v>
      </c>
      <c r="D819" s="7" t="str">
        <f>"(日) 野崎惑著；蔡东辉译"</f>
        <v>(日) 野崎惑著；蔡东辉译</v>
      </c>
      <c r="E819" s="7" t="str">
        <f>"中国友谊出版公司"</f>
        <v>中国友谊出版公司</v>
      </c>
      <c r="F819" s="7" t="str">
        <f>"I313.45/1400"</f>
        <v>I313.45/1400</v>
      </c>
    </row>
    <row r="820" customHeight="1" spans="1:6">
      <c r="A820" s="6">
        <v>819</v>
      </c>
      <c r="B820" s="7" t="str">
        <f>"978-7-5302-2129-7"</f>
        <v>978-7-5302-2129-7</v>
      </c>
      <c r="C820" s="7" t="str">
        <f>"虚像的丑角"</f>
        <v>虚像的丑角</v>
      </c>
      <c r="D820" s="7" t="str">
        <f>"(日) 东野圭吾著；李盈春译"</f>
        <v>(日) 东野圭吾著；李盈春译</v>
      </c>
      <c r="E820" s="7" t="str">
        <f>"北京十月文艺出版社"</f>
        <v>北京十月文艺出版社</v>
      </c>
      <c r="F820" s="7" t="str">
        <f>"I313.45/1401"</f>
        <v>I313.45/1401</v>
      </c>
    </row>
    <row r="821" customHeight="1" spans="1:6">
      <c r="A821" s="6">
        <v>820</v>
      </c>
      <c r="B821" s="7" t="str">
        <f>"978-7-5302-2129-7"</f>
        <v>978-7-5302-2129-7</v>
      </c>
      <c r="C821" s="7" t="str">
        <f>"虚像的丑角"</f>
        <v>虚像的丑角</v>
      </c>
      <c r="D821" s="7" t="str">
        <f>"(日) 东野圭吾著；李盈春译"</f>
        <v>(日) 东野圭吾著；李盈春译</v>
      </c>
      <c r="E821" s="7" t="str">
        <f>"北京十月文艺出版社"</f>
        <v>北京十月文艺出版社</v>
      </c>
      <c r="F821" s="7" t="str">
        <f>"I313.45/1401"</f>
        <v>I313.45/1401</v>
      </c>
    </row>
    <row r="822" customHeight="1" spans="1:6">
      <c r="A822" s="6">
        <v>821</v>
      </c>
      <c r="B822" s="7" t="str">
        <f>"978-7-5133-4565-1"</f>
        <v>978-7-5133-4565-1</v>
      </c>
      <c r="C822" s="7" t="str">
        <f>"Blue"</f>
        <v>Blue</v>
      </c>
      <c r="D822" s="7" t="str">
        <f>"(日) 叶真中显著；吕灵芝译"</f>
        <v>(日) 叶真中显著；吕灵芝译</v>
      </c>
      <c r="E822" s="7" t="str">
        <f>"新星出版社"</f>
        <v>新星出版社</v>
      </c>
      <c r="F822" s="7" t="str">
        <f>"I313.45/1402"</f>
        <v>I313.45/1402</v>
      </c>
    </row>
    <row r="823" customHeight="1" spans="1:6">
      <c r="A823" s="6">
        <v>822</v>
      </c>
      <c r="B823" s="7" t="str">
        <f>"978-7-5133-4565-1"</f>
        <v>978-7-5133-4565-1</v>
      </c>
      <c r="C823" s="7" t="str">
        <f>"Blue"</f>
        <v>Blue</v>
      </c>
      <c r="D823" s="7" t="str">
        <f>"(日) 叶真中显著；吕灵芝译"</f>
        <v>(日) 叶真中显著；吕灵芝译</v>
      </c>
      <c r="E823" s="7" t="str">
        <f>"新星出版社"</f>
        <v>新星出版社</v>
      </c>
      <c r="F823" s="7" t="str">
        <f>"I313.45/1402"</f>
        <v>I313.45/1402</v>
      </c>
    </row>
    <row r="824" customHeight="1" spans="1:6">
      <c r="A824" s="6">
        <v>823</v>
      </c>
      <c r="B824" s="7" t="str">
        <f>"978-7-5442-6270-5"</f>
        <v>978-7-5442-6270-5</v>
      </c>
      <c r="C824" s="7" t="str">
        <f>"希望之线"</f>
        <v>希望之线</v>
      </c>
      <c r="D824" s="7" t="str">
        <f>"(日) 东野圭吾著；张舟译"</f>
        <v>(日) 东野圭吾著；张舟译</v>
      </c>
      <c r="E824" s="7" t="str">
        <f t="shared" ref="E824:E827" si="469">"南海出版公司"</f>
        <v>南海出版公司</v>
      </c>
      <c r="F824" s="7" t="str">
        <f>"I313.45/1403"</f>
        <v>I313.45/1403</v>
      </c>
    </row>
    <row r="825" customHeight="1" spans="1:6">
      <c r="A825" s="6">
        <v>824</v>
      </c>
      <c r="B825" s="7" t="str">
        <f>"978-7-5442-6270-5"</f>
        <v>978-7-5442-6270-5</v>
      </c>
      <c r="C825" s="7" t="str">
        <f>"希望之线"</f>
        <v>希望之线</v>
      </c>
      <c r="D825" s="7" t="str">
        <f>"(日) 东野圭吾著；张舟译"</f>
        <v>(日) 东野圭吾著；张舟译</v>
      </c>
      <c r="E825" s="7" t="str">
        <f t="shared" si="469"/>
        <v>南海出版公司</v>
      </c>
      <c r="F825" s="7" t="str">
        <f>"I313.45/1403"</f>
        <v>I313.45/1403</v>
      </c>
    </row>
    <row r="826" customHeight="1" spans="1:6">
      <c r="A826" s="6">
        <v>825</v>
      </c>
      <c r="B826" s="7" t="str">
        <f>"978-7-5442-9976-3"</f>
        <v>978-7-5442-9976-3</v>
      </c>
      <c r="C826" s="7" t="str">
        <f>"彷徨之刃"</f>
        <v>彷徨之刃</v>
      </c>
      <c r="D826" s="7" t="str">
        <f>"(日) 东野圭吾著；刘珮瑄译"</f>
        <v>(日) 东野圭吾著；刘珮瑄译</v>
      </c>
      <c r="E826" s="7" t="str">
        <f t="shared" si="469"/>
        <v>南海出版公司</v>
      </c>
      <c r="F826" s="7" t="str">
        <f>"I313.45/1404=3D"</f>
        <v>I313.45/1404=3D</v>
      </c>
    </row>
    <row r="827" customHeight="1" spans="1:6">
      <c r="A827" s="6">
        <v>826</v>
      </c>
      <c r="B827" s="7" t="str">
        <f>"978-7-5442-9976-3"</f>
        <v>978-7-5442-9976-3</v>
      </c>
      <c r="C827" s="7" t="str">
        <f>"彷徨之刃"</f>
        <v>彷徨之刃</v>
      </c>
      <c r="D827" s="7" t="str">
        <f>"(日) 东野圭吾著；刘珮瑄译"</f>
        <v>(日) 东野圭吾著；刘珮瑄译</v>
      </c>
      <c r="E827" s="7" t="str">
        <f t="shared" si="469"/>
        <v>南海出版公司</v>
      </c>
      <c r="F827" s="7" t="str">
        <f>"I313.45/1404=3D"</f>
        <v>I313.45/1404=3D</v>
      </c>
    </row>
    <row r="828" customHeight="1" spans="1:6">
      <c r="A828" s="6">
        <v>827</v>
      </c>
      <c r="B828" s="7" t="str">
        <f t="shared" ref="B828:B830" si="470">"978-7-5321-7551-2"</f>
        <v>978-7-5321-7551-2</v>
      </c>
      <c r="C828" s="7" t="str">
        <f t="shared" ref="C828:C830" si="471">"消失的13级台阶"</f>
        <v>消失的13级台阶</v>
      </c>
      <c r="D828" s="7" t="str">
        <f t="shared" ref="D828:D830" si="472">"(日) 高野和明著；赵建勋译"</f>
        <v>(日) 高野和明著；赵建勋译</v>
      </c>
      <c r="E828" s="7" t="str">
        <f t="shared" ref="E828:E830" si="473">"上海文艺出版社"</f>
        <v>上海文艺出版社</v>
      </c>
      <c r="F828" s="7" t="str">
        <f t="shared" ref="F828:F830" si="474">"I313.45/1405"</f>
        <v>I313.45/1405</v>
      </c>
    </row>
    <row r="829" customHeight="1" spans="1:6">
      <c r="A829" s="6">
        <v>828</v>
      </c>
      <c r="B829" s="7" t="str">
        <f t="shared" si="470"/>
        <v>978-7-5321-7551-2</v>
      </c>
      <c r="C829" s="7" t="str">
        <f t="shared" si="471"/>
        <v>消失的13级台阶</v>
      </c>
      <c r="D829" s="7" t="str">
        <f t="shared" si="472"/>
        <v>(日) 高野和明著；赵建勋译</v>
      </c>
      <c r="E829" s="7" t="str">
        <f t="shared" si="473"/>
        <v>上海文艺出版社</v>
      </c>
      <c r="F829" s="7" t="str">
        <f t="shared" si="474"/>
        <v>I313.45/1405</v>
      </c>
    </row>
    <row r="830" customHeight="1" spans="1:6">
      <c r="A830" s="6">
        <v>829</v>
      </c>
      <c r="B830" s="7" t="str">
        <f t="shared" si="470"/>
        <v>978-7-5321-7551-2</v>
      </c>
      <c r="C830" s="7" t="str">
        <f t="shared" si="471"/>
        <v>消失的13级台阶</v>
      </c>
      <c r="D830" s="7" t="str">
        <f t="shared" si="472"/>
        <v>(日) 高野和明著；赵建勋译</v>
      </c>
      <c r="E830" s="7" t="str">
        <f t="shared" si="473"/>
        <v>上海文艺出版社</v>
      </c>
      <c r="F830" s="7" t="str">
        <f t="shared" si="474"/>
        <v>I313.45/1405</v>
      </c>
    </row>
    <row r="831" customHeight="1" spans="1:6">
      <c r="A831" s="6">
        <v>830</v>
      </c>
      <c r="B831" s="7" t="str">
        <f>"978-7-5212-1309-6"</f>
        <v>978-7-5212-1309-6</v>
      </c>
      <c r="C831" s="7" t="str">
        <f>"假面自白"</f>
        <v>假面自白</v>
      </c>
      <c r="D831" s="7" t="str">
        <f t="shared" ref="D831:D834" si="475">"(日) 三岛由纪夫著；唐月梅译"</f>
        <v>(日) 三岛由纪夫著；唐月梅译</v>
      </c>
      <c r="E831" s="7" t="str">
        <f t="shared" ref="E831:E834" si="476">"作家出版社"</f>
        <v>作家出版社</v>
      </c>
      <c r="F831" s="7" t="str">
        <f>"I313.45/167-3"</f>
        <v>I313.45/167-3</v>
      </c>
    </row>
    <row r="832" customHeight="1" spans="1:6">
      <c r="A832" s="6">
        <v>831</v>
      </c>
      <c r="B832" s="7" t="str">
        <f>"978-7-5212-1309-6"</f>
        <v>978-7-5212-1309-6</v>
      </c>
      <c r="C832" s="7" t="str">
        <f>"假面自白"</f>
        <v>假面自白</v>
      </c>
      <c r="D832" s="7" t="str">
        <f t="shared" si="475"/>
        <v>(日) 三岛由纪夫著；唐月梅译</v>
      </c>
      <c r="E832" s="7" t="str">
        <f t="shared" si="476"/>
        <v>作家出版社</v>
      </c>
      <c r="F832" s="7" t="str">
        <f>"I313.45/167-3"</f>
        <v>I313.45/167-3</v>
      </c>
    </row>
    <row r="833" customHeight="1" spans="1:6">
      <c r="A833" s="6">
        <v>832</v>
      </c>
      <c r="B833" s="7" t="str">
        <f>"978-7-5212-1310-2"</f>
        <v>978-7-5212-1310-2</v>
      </c>
      <c r="C833" s="7" t="str">
        <f>"金阁寺"</f>
        <v>金阁寺</v>
      </c>
      <c r="D833" s="7" t="str">
        <f t="shared" si="475"/>
        <v>(日) 三岛由纪夫著；唐月梅译</v>
      </c>
      <c r="E833" s="7" t="str">
        <f t="shared" si="476"/>
        <v>作家出版社</v>
      </c>
      <c r="F833" s="7" t="str">
        <f>"I313.45/170-3"</f>
        <v>I313.45/170-3</v>
      </c>
    </row>
    <row r="834" customHeight="1" spans="1:6">
      <c r="A834" s="6">
        <v>833</v>
      </c>
      <c r="B834" s="7" t="str">
        <f>"978-7-5212-1310-2"</f>
        <v>978-7-5212-1310-2</v>
      </c>
      <c r="C834" s="7" t="str">
        <f>"金阁寺"</f>
        <v>金阁寺</v>
      </c>
      <c r="D834" s="7" t="str">
        <f t="shared" si="475"/>
        <v>(日) 三岛由纪夫著；唐月梅译</v>
      </c>
      <c r="E834" s="7" t="str">
        <f t="shared" si="476"/>
        <v>作家出版社</v>
      </c>
      <c r="F834" s="7" t="str">
        <f>"I313.45/170-3"</f>
        <v>I313.45/170-3</v>
      </c>
    </row>
    <row r="835" customHeight="1" spans="1:6">
      <c r="A835" s="6">
        <v>834</v>
      </c>
      <c r="B835" s="7" t="str">
        <f>"978-7-5442-9897-1"</f>
        <v>978-7-5442-9897-1</v>
      </c>
      <c r="C835" s="7" t="str">
        <f>"图书馆奇谈"</f>
        <v>图书馆奇谈</v>
      </c>
      <c r="D835" s="7" t="str">
        <f t="shared" ref="D835:D840" si="477">"(日) 村上春树著；(德) 卡特·曼施克图；施小炜译"</f>
        <v>(日) 村上春树著；(德) 卡特·曼施克图；施小炜译</v>
      </c>
      <c r="E835" s="7" t="str">
        <f t="shared" ref="E835:E840" si="478">"南海出版公司"</f>
        <v>南海出版公司</v>
      </c>
      <c r="F835" s="7" t="str">
        <f>"I313.45/646-2"</f>
        <v>I313.45/646-2</v>
      </c>
    </row>
    <row r="836" customHeight="1" spans="1:6">
      <c r="A836" s="6">
        <v>835</v>
      </c>
      <c r="B836" s="7" t="str">
        <f>"978-7-5442-9897-1"</f>
        <v>978-7-5442-9897-1</v>
      </c>
      <c r="C836" s="7" t="str">
        <f>"图书馆奇谈"</f>
        <v>图书馆奇谈</v>
      </c>
      <c r="D836" s="7" t="str">
        <f t="shared" si="477"/>
        <v>(日) 村上春树著；(德) 卡特·曼施克图；施小炜译</v>
      </c>
      <c r="E836" s="7" t="str">
        <f t="shared" si="478"/>
        <v>南海出版公司</v>
      </c>
      <c r="F836" s="7" t="str">
        <f>"I313.45/646-2"</f>
        <v>I313.45/646-2</v>
      </c>
    </row>
    <row r="837" customHeight="1" spans="1:6">
      <c r="A837" s="6">
        <v>836</v>
      </c>
      <c r="B837" s="7" t="str">
        <f>"978-7-5442-9191-0"</f>
        <v>978-7-5442-9191-0</v>
      </c>
      <c r="C837" s="7" t="str">
        <f>"古都"</f>
        <v>古都</v>
      </c>
      <c r="D837" s="7" t="str">
        <f>"(日) 川端康成著；叶渭渠， 唐月梅译"</f>
        <v>(日) 川端康成著；叶渭渠， 唐月梅译</v>
      </c>
      <c r="E837" s="7" t="str">
        <f t="shared" si="478"/>
        <v>南海出版公司</v>
      </c>
      <c r="F837" s="7" t="str">
        <f>"I313.45/663=2D"</f>
        <v>I313.45/663=2D</v>
      </c>
    </row>
    <row r="838" customHeight="1" spans="1:6">
      <c r="A838" s="6">
        <v>837</v>
      </c>
      <c r="B838" s="7" t="str">
        <f>"978-7-5442-9191-0"</f>
        <v>978-7-5442-9191-0</v>
      </c>
      <c r="C838" s="7" t="str">
        <f>"古都"</f>
        <v>古都</v>
      </c>
      <c r="D838" s="7" t="str">
        <f>"(日) 川端康成著；叶渭渠， 唐月梅译"</f>
        <v>(日) 川端康成著；叶渭渠， 唐月梅译</v>
      </c>
      <c r="E838" s="7" t="str">
        <f t="shared" si="478"/>
        <v>南海出版公司</v>
      </c>
      <c r="F838" s="7" t="str">
        <f>"I313.45/663=2D"</f>
        <v>I313.45/663=2D</v>
      </c>
    </row>
    <row r="839" customHeight="1" spans="1:6">
      <c r="A839" s="6">
        <v>838</v>
      </c>
      <c r="B839" s="7" t="str">
        <f>"978-7-5442-9772-1"</f>
        <v>978-7-5442-9772-1</v>
      </c>
      <c r="C839" s="7" t="str">
        <f>"眠"</f>
        <v>眠</v>
      </c>
      <c r="D839" s="7" t="str">
        <f t="shared" si="477"/>
        <v>(日) 村上春树著；(德) 卡特·曼施克图；施小炜译</v>
      </c>
      <c r="E839" s="7" t="str">
        <f t="shared" si="478"/>
        <v>南海出版公司</v>
      </c>
      <c r="F839" s="7" t="str">
        <f>"I313.45/722=2D"</f>
        <v>I313.45/722=2D</v>
      </c>
    </row>
    <row r="840" customHeight="1" spans="1:6">
      <c r="A840" s="6">
        <v>839</v>
      </c>
      <c r="B840" s="7" t="str">
        <f>"978-7-5442-9772-1"</f>
        <v>978-7-5442-9772-1</v>
      </c>
      <c r="C840" s="7" t="str">
        <f>"眠"</f>
        <v>眠</v>
      </c>
      <c r="D840" s="7" t="str">
        <f t="shared" si="477"/>
        <v>(日) 村上春树著；(德) 卡特·曼施克图；施小炜译</v>
      </c>
      <c r="E840" s="7" t="str">
        <f t="shared" si="478"/>
        <v>南海出版公司</v>
      </c>
      <c r="F840" s="7" t="str">
        <f>"I313.45/722=2D"</f>
        <v>I313.45/722=2D</v>
      </c>
    </row>
    <row r="841" customHeight="1" spans="1:6">
      <c r="A841" s="6">
        <v>840</v>
      </c>
      <c r="B841" s="7" t="str">
        <f t="shared" ref="B841:B843" si="479">"978-7-5596-5510-3"</f>
        <v>978-7-5596-5510-3</v>
      </c>
      <c r="C841" s="7" t="str">
        <f t="shared" ref="C841:C843" si="480">"看不见的日本"</f>
        <v>看不见的日本</v>
      </c>
      <c r="D841" s="7" t="str">
        <f t="shared" ref="D841:D843" si="481">"(日) 赤松利布著；贾逸冰译"</f>
        <v>(日) 赤松利布著；贾逸冰译</v>
      </c>
      <c r="E841" s="7" t="str">
        <f t="shared" ref="E841:E843" si="482">"北京联合出版公司"</f>
        <v>北京联合出版公司</v>
      </c>
      <c r="F841" s="7" t="str">
        <f t="shared" ref="F841:F843" si="483">"I313.55/40"</f>
        <v>I313.55/40</v>
      </c>
    </row>
    <row r="842" customHeight="1" spans="1:6">
      <c r="A842" s="6">
        <v>841</v>
      </c>
      <c r="B842" s="7" t="str">
        <f t="shared" si="479"/>
        <v>978-7-5596-5510-3</v>
      </c>
      <c r="C842" s="7" t="str">
        <f t="shared" si="480"/>
        <v>看不见的日本</v>
      </c>
      <c r="D842" s="7" t="str">
        <f t="shared" si="481"/>
        <v>(日) 赤松利布著；贾逸冰译</v>
      </c>
      <c r="E842" s="7" t="str">
        <f t="shared" si="482"/>
        <v>北京联合出版公司</v>
      </c>
      <c r="F842" s="7" t="str">
        <f t="shared" si="483"/>
        <v>I313.55/40</v>
      </c>
    </row>
    <row r="843" customHeight="1" spans="1:6">
      <c r="A843" s="6">
        <v>842</v>
      </c>
      <c r="B843" s="7" t="str">
        <f t="shared" si="479"/>
        <v>978-7-5596-5510-3</v>
      </c>
      <c r="C843" s="7" t="str">
        <f t="shared" si="480"/>
        <v>看不见的日本</v>
      </c>
      <c r="D843" s="7" t="str">
        <f t="shared" si="481"/>
        <v>(日) 赤松利布著；贾逸冰译</v>
      </c>
      <c r="E843" s="7" t="str">
        <f t="shared" si="482"/>
        <v>北京联合出版公司</v>
      </c>
      <c r="F843" s="7" t="str">
        <f t="shared" si="483"/>
        <v>I313.55/40</v>
      </c>
    </row>
    <row r="844" customHeight="1" spans="1:6">
      <c r="A844" s="6">
        <v>843</v>
      </c>
      <c r="B844" s="8" t="s">
        <v>10086</v>
      </c>
      <c r="C844" s="8" t="s">
        <v>10087</v>
      </c>
      <c r="D844" s="8" t="s">
        <v>10088</v>
      </c>
      <c r="E844" s="8" t="s">
        <v>9756</v>
      </c>
      <c r="F844" s="8" t="s">
        <v>10089</v>
      </c>
    </row>
    <row r="845" customHeight="1" spans="1:6">
      <c r="A845" s="6">
        <v>844</v>
      </c>
      <c r="B845" s="8" t="s">
        <v>10086</v>
      </c>
      <c r="C845" s="8" t="s">
        <v>10087</v>
      </c>
      <c r="D845" s="8" t="s">
        <v>10088</v>
      </c>
      <c r="E845" s="8" t="s">
        <v>9756</v>
      </c>
      <c r="F845" s="8" t="s">
        <v>10089</v>
      </c>
    </row>
    <row r="846" customHeight="1" spans="1:6">
      <c r="A846" s="6">
        <v>845</v>
      </c>
      <c r="B846" s="8" t="s">
        <v>10086</v>
      </c>
      <c r="C846" s="8" t="s">
        <v>10087</v>
      </c>
      <c r="D846" s="8" t="s">
        <v>10088</v>
      </c>
      <c r="E846" s="8" t="s">
        <v>9756</v>
      </c>
      <c r="F846" s="8" t="s">
        <v>10089</v>
      </c>
    </row>
    <row r="847" customHeight="1" spans="1:6">
      <c r="A847" s="6">
        <v>846</v>
      </c>
      <c r="B847" s="9" t="str">
        <f>"978-7-5139-0351-6"</f>
        <v>978-7-5139-0351-6</v>
      </c>
      <c r="C847" s="9" t="str">
        <f>"幻想图书馆"</f>
        <v>幻想图书馆</v>
      </c>
      <c r="D847" s="9" t="str">
        <f>"(日) 寺山修司著；黄碧君译"</f>
        <v>(日) 寺山修司著；黄碧君译</v>
      </c>
      <c r="E847" s="9" t="str">
        <f>"民主与建设出版社"</f>
        <v>民主与建设出版社</v>
      </c>
      <c r="F847" s="9" t="str">
        <f>"I313.65/316"</f>
        <v>I313.65/316</v>
      </c>
    </row>
    <row r="848" customHeight="1" spans="1:6">
      <c r="A848" s="6">
        <v>847</v>
      </c>
      <c r="B848" s="9" t="str">
        <f>"978-7-5139-0351-6"</f>
        <v>978-7-5139-0351-6</v>
      </c>
      <c r="C848" s="9" t="str">
        <f>"幻想图书馆"</f>
        <v>幻想图书馆</v>
      </c>
      <c r="D848" s="9" t="str">
        <f>"(日) 寺山修司著；黄碧君译"</f>
        <v>(日) 寺山修司著；黄碧君译</v>
      </c>
      <c r="E848" s="9" t="str">
        <f>"民主与建设出版社"</f>
        <v>民主与建设出版社</v>
      </c>
      <c r="F848" s="9" t="str">
        <f>"I313.65/316"</f>
        <v>I313.65/316</v>
      </c>
    </row>
    <row r="849" customHeight="1" spans="1:6">
      <c r="A849" s="6">
        <v>848</v>
      </c>
      <c r="B849" s="7" t="str">
        <f>"978-7-5217-2785-2"</f>
        <v>978-7-5217-2785-2</v>
      </c>
      <c r="C849" s="7" t="str">
        <f>"生与死"</f>
        <v>生与死</v>
      </c>
      <c r="D849" s="7" t="str">
        <f>"(日) 土门拳著；赵仲明译"</f>
        <v>(日) 土门拳著；赵仲明译</v>
      </c>
      <c r="E849" s="7" t="str">
        <f>"中信出版集团股份有限公司"</f>
        <v>中信出版集团股份有限公司</v>
      </c>
      <c r="F849" s="7" t="str">
        <f>"I313.65/317"</f>
        <v>I313.65/317</v>
      </c>
    </row>
    <row r="850" customHeight="1" spans="1:6">
      <c r="A850" s="6">
        <v>849</v>
      </c>
      <c r="B850" s="7" t="str">
        <f>"978-7-5217-2785-2"</f>
        <v>978-7-5217-2785-2</v>
      </c>
      <c r="C850" s="7" t="str">
        <f>"生与死"</f>
        <v>生与死</v>
      </c>
      <c r="D850" s="7" t="str">
        <f>"(日) 土门拳著；赵仲明译"</f>
        <v>(日) 土门拳著；赵仲明译</v>
      </c>
      <c r="E850" s="7" t="str">
        <f>"中信出版集团股份有限公司"</f>
        <v>中信出版集团股份有限公司</v>
      </c>
      <c r="F850" s="7" t="str">
        <f>"I313.65/317"</f>
        <v>I313.65/317</v>
      </c>
    </row>
    <row r="851" customHeight="1" spans="1:6">
      <c r="A851" s="6">
        <v>850</v>
      </c>
      <c r="B851" s="7" t="str">
        <f>"978-7-5212-1306-5"</f>
        <v>978-7-5212-1306-5</v>
      </c>
      <c r="C851" s="7" t="str">
        <f>"残酷之美"</f>
        <v>残酷之美</v>
      </c>
      <c r="D851" s="7" t="str">
        <f>"(日) 三岛由纪夫著；唐月梅译"</f>
        <v>(日) 三岛由纪夫著；唐月梅译</v>
      </c>
      <c r="E851" s="7" t="str">
        <f>"作家出版社有限公司"</f>
        <v>作家出版社有限公司</v>
      </c>
      <c r="F851" s="7" t="str">
        <f>"I313.65/318"</f>
        <v>I313.65/318</v>
      </c>
    </row>
    <row r="852" customHeight="1" spans="1:6">
      <c r="A852" s="6">
        <v>851</v>
      </c>
      <c r="B852" s="7" t="str">
        <f>"978-7-5212-1306-5"</f>
        <v>978-7-5212-1306-5</v>
      </c>
      <c r="C852" s="7" t="str">
        <f>"残酷之美"</f>
        <v>残酷之美</v>
      </c>
      <c r="D852" s="7" t="str">
        <f>"(日) 三岛由纪夫著；唐月梅译"</f>
        <v>(日) 三岛由纪夫著；唐月梅译</v>
      </c>
      <c r="E852" s="7" t="str">
        <f>"作家出版社有限公司"</f>
        <v>作家出版社有限公司</v>
      </c>
      <c r="F852" s="7" t="str">
        <f>"I313.65/318"</f>
        <v>I313.65/318</v>
      </c>
    </row>
    <row r="853" customHeight="1" spans="1:6">
      <c r="A853" s="6">
        <v>852</v>
      </c>
      <c r="B853" s="8" t="s">
        <v>10090</v>
      </c>
      <c r="C853" s="8" t="s">
        <v>10091</v>
      </c>
      <c r="D853" s="8" t="s">
        <v>10092</v>
      </c>
      <c r="E853" s="8" t="s">
        <v>360</v>
      </c>
      <c r="F853" s="8" t="s">
        <v>10093</v>
      </c>
    </row>
    <row r="854" customHeight="1" spans="1:6">
      <c r="A854" s="6">
        <v>853</v>
      </c>
      <c r="B854" s="8" t="s">
        <v>10090</v>
      </c>
      <c r="C854" s="8" t="s">
        <v>10091</v>
      </c>
      <c r="D854" s="8" t="s">
        <v>10092</v>
      </c>
      <c r="E854" s="8" t="s">
        <v>360</v>
      </c>
      <c r="F854" s="8" t="s">
        <v>10093</v>
      </c>
    </row>
    <row r="855" customHeight="1" spans="1:6">
      <c r="A855" s="6">
        <v>854</v>
      </c>
      <c r="B855" s="9" t="str">
        <f>"978-7-5391-4926-4"</f>
        <v>978-7-5391-4926-4</v>
      </c>
      <c r="C855" s="9" t="str">
        <f>"没关系 没关系"</f>
        <v>没关系 没关系</v>
      </c>
      <c r="D855" s="9" t="str">
        <f>"伊东宽文/图；蒲蒲兰译"</f>
        <v>伊东宽文/图；蒲蒲兰译</v>
      </c>
      <c r="E855" s="9" t="str">
        <f>"二十一世纪出版社"</f>
        <v>二十一世纪出版社</v>
      </c>
      <c r="F855" s="9" t="str">
        <f>"I313.85/25"</f>
        <v>I313.85/25</v>
      </c>
    </row>
    <row r="856" customHeight="1" spans="1:6">
      <c r="A856" s="6">
        <v>855</v>
      </c>
      <c r="B856" s="9" t="str">
        <f>"978-7-5391-4926-4"</f>
        <v>978-7-5391-4926-4</v>
      </c>
      <c r="C856" s="9" t="str">
        <f>"没关系 没关系"</f>
        <v>没关系 没关系</v>
      </c>
      <c r="D856" s="9" t="str">
        <f>"伊东宽文/图；蒲蒲兰译"</f>
        <v>伊东宽文/图；蒲蒲兰译</v>
      </c>
      <c r="E856" s="9" t="str">
        <f>"二十一世纪出版社"</f>
        <v>二十一世纪出版社</v>
      </c>
      <c r="F856" s="9" t="str">
        <f>"I313.85/25"</f>
        <v>I313.85/25</v>
      </c>
    </row>
    <row r="857" customHeight="1" spans="1:6">
      <c r="A857" s="6">
        <v>856</v>
      </c>
      <c r="B857" s="7" t="str">
        <f>"978-7-5726-0213-9"</f>
        <v>978-7-5726-0213-9</v>
      </c>
      <c r="C857" s="7" t="str">
        <f>"逆流年代"</f>
        <v>逆流年代</v>
      </c>
      <c r="D857" s="7" t="str">
        <f>"(以色列) 纳达夫·埃亚尔著Nadav Eyal；吴晓真译"</f>
        <v>(以色列) 纳达夫·埃亚尔著Nadav Eyal；吴晓真译</v>
      </c>
      <c r="E857" s="7" t="str">
        <f>"湖南文艺出版社"</f>
        <v>湖南文艺出版社</v>
      </c>
      <c r="F857" s="7" t="str">
        <f>"I382.55/3"</f>
        <v>I382.55/3</v>
      </c>
    </row>
    <row r="858" customHeight="1" spans="1:6">
      <c r="A858" s="6">
        <v>857</v>
      </c>
      <c r="B858" s="7" t="str">
        <f>"978-7-5726-0213-9"</f>
        <v>978-7-5726-0213-9</v>
      </c>
      <c r="C858" s="7" t="str">
        <f>"逆流年代"</f>
        <v>逆流年代</v>
      </c>
      <c r="D858" s="7" t="str">
        <f>"(以色列) 纳达夫·埃亚尔著Nadav Eyal；吴晓真译"</f>
        <v>(以色列) 纳达夫·埃亚尔著Nadav Eyal；吴晓真译</v>
      </c>
      <c r="E858" s="7" t="str">
        <f>"湖南文艺出版社"</f>
        <v>湖南文艺出版社</v>
      </c>
      <c r="F858" s="7" t="str">
        <f>"I382.55/3"</f>
        <v>I382.55/3</v>
      </c>
    </row>
    <row r="859" customHeight="1" spans="1:6">
      <c r="A859" s="6">
        <v>858</v>
      </c>
      <c r="B859" s="7" t="str">
        <f>"978-7-02-012122-9"</f>
        <v>978-7-02-012122-9</v>
      </c>
      <c r="C859" s="7" t="str">
        <f>"血色花瓣"</f>
        <v>血色花瓣</v>
      </c>
      <c r="D859" s="7" t="str">
        <f>"(肯尼亚) 恩古吉·瓦·提安哥著；吴文忠译"</f>
        <v>(肯尼亚) 恩古吉·瓦·提安哥著；吴文忠译</v>
      </c>
      <c r="E859" s="7" t="str">
        <f t="shared" ref="E859:E863" si="484">"人民文学出版社"</f>
        <v>人民文学出版社</v>
      </c>
      <c r="F859" s="7" t="str">
        <f>"I424.45/9"</f>
        <v>I424.45/9</v>
      </c>
    </row>
    <row r="860" customHeight="1" spans="1:6">
      <c r="A860" s="6">
        <v>859</v>
      </c>
      <c r="B860" s="7" t="str">
        <f>"978-7-02-012122-9"</f>
        <v>978-7-02-012122-9</v>
      </c>
      <c r="C860" s="7" t="str">
        <f>"血色花瓣"</f>
        <v>血色花瓣</v>
      </c>
      <c r="D860" s="7" t="str">
        <f>"(肯尼亚) 恩古吉·瓦·提安哥著；吴文忠译"</f>
        <v>(肯尼亚) 恩古吉·瓦·提安哥著；吴文忠译</v>
      </c>
      <c r="E860" s="7" t="str">
        <f t="shared" si="484"/>
        <v>人民文学出版社</v>
      </c>
      <c r="F860" s="7" t="str">
        <f>"I424.45/9"</f>
        <v>I424.45/9</v>
      </c>
    </row>
    <row r="861" customHeight="1" spans="1:6">
      <c r="A861" s="6">
        <v>860</v>
      </c>
      <c r="B861" s="7" t="str">
        <f t="shared" ref="B861:B863" si="485">"978-7-02-016061-7"</f>
        <v>978-7-02-016061-7</v>
      </c>
      <c r="C861" s="7" t="str">
        <f t="shared" ref="C861:C863" si="486">"绕颈之物"</f>
        <v>绕颈之物</v>
      </c>
      <c r="D861" s="7" t="str">
        <f t="shared" ref="D861:D863" si="487">"(尼日利亚) 奇玛曼达·恩戈兹·阿迪契著Chimamanda Ngozi Adichie；文敏译"</f>
        <v>(尼日利亚) 奇玛曼达·恩戈兹·阿迪契著Chimamanda Ngozi Adichie；文敏译</v>
      </c>
      <c r="E861" s="7" t="str">
        <f t="shared" si="484"/>
        <v>人民文学出版社</v>
      </c>
      <c r="F861" s="7" t="str">
        <f t="shared" ref="F861:F863" si="488">"I437.45/13"</f>
        <v>I437.45/13</v>
      </c>
    </row>
    <row r="862" customHeight="1" spans="1:6">
      <c r="A862" s="6">
        <v>861</v>
      </c>
      <c r="B862" s="7" t="str">
        <f t="shared" si="485"/>
        <v>978-7-02-016061-7</v>
      </c>
      <c r="C862" s="7" t="str">
        <f t="shared" si="486"/>
        <v>绕颈之物</v>
      </c>
      <c r="D862" s="7" t="str">
        <f t="shared" si="487"/>
        <v>(尼日利亚) 奇玛曼达·恩戈兹·阿迪契著Chimamanda Ngozi Adichie；文敏译</v>
      </c>
      <c r="E862" s="7" t="str">
        <f t="shared" si="484"/>
        <v>人民文学出版社</v>
      </c>
      <c r="F862" s="7" t="str">
        <f t="shared" si="488"/>
        <v>I437.45/13</v>
      </c>
    </row>
    <row r="863" customHeight="1" spans="1:6">
      <c r="A863" s="6">
        <v>862</v>
      </c>
      <c r="B863" s="7" t="str">
        <f t="shared" si="485"/>
        <v>978-7-02-016061-7</v>
      </c>
      <c r="C863" s="7" t="str">
        <f t="shared" si="486"/>
        <v>绕颈之物</v>
      </c>
      <c r="D863" s="7" t="str">
        <f t="shared" si="487"/>
        <v>(尼日利亚) 奇玛曼达·恩戈兹·阿迪契著Chimamanda Ngozi Adichie；文敏译</v>
      </c>
      <c r="E863" s="7" t="str">
        <f t="shared" si="484"/>
        <v>人民文学出版社</v>
      </c>
      <c r="F863" s="7" t="str">
        <f t="shared" si="488"/>
        <v>I437.45/13</v>
      </c>
    </row>
    <row r="864" customHeight="1" spans="1:6">
      <c r="A864" s="6">
        <v>863</v>
      </c>
      <c r="B864" s="7" t="str">
        <f>"978-7-5327-6370-2"</f>
        <v>978-7-5327-6370-2</v>
      </c>
      <c r="C864" s="7" t="str">
        <f>"罪与罚"</f>
        <v>罪与罚</v>
      </c>
      <c r="D864" s="7" t="str">
        <f>"岳麟译"</f>
        <v>岳麟译</v>
      </c>
      <c r="E864" s="7" t="str">
        <f>"上海译文出版社"</f>
        <v>上海译文出版社</v>
      </c>
      <c r="F864" s="7" t="str">
        <f>"I512.44/130-2"</f>
        <v>I512.44/130-2</v>
      </c>
    </row>
    <row r="865" customHeight="1" spans="1:6">
      <c r="A865" s="6">
        <v>864</v>
      </c>
      <c r="B865" s="7" t="str">
        <f>"978-7-5327-6370-2"</f>
        <v>978-7-5327-6370-2</v>
      </c>
      <c r="C865" s="7" t="str">
        <f>"罪与罚"</f>
        <v>罪与罚</v>
      </c>
      <c r="D865" s="7" t="str">
        <f>"岳麟译"</f>
        <v>岳麟译</v>
      </c>
      <c r="E865" s="7" t="str">
        <f>"上海译文出版社"</f>
        <v>上海译文出版社</v>
      </c>
      <c r="F865" s="7" t="str">
        <f>"I512.44/130-2"</f>
        <v>I512.44/130-2</v>
      </c>
    </row>
    <row r="866" customHeight="1" spans="1:6">
      <c r="A866" s="6">
        <v>865</v>
      </c>
      <c r="B866" s="7" t="str">
        <f>"978-7-02-016332-8"</f>
        <v>978-7-02-016332-8</v>
      </c>
      <c r="C866" s="7" t="str">
        <f>"但求安身"</f>
        <v>但求安身</v>
      </c>
      <c r="D866" s="7" t="str">
        <f>"(俄罗斯) 柳德米拉·彼得鲁舍夫斯卡娅著Аюдмиаа Петрушевская；段丽君译"</f>
        <v>(俄罗斯) 柳德米拉·彼得鲁舍夫斯卡娅著Аюдмиаа Петрушевская；段丽君译</v>
      </c>
      <c r="E866" s="7" t="str">
        <f t="shared" ref="E866:E870" si="489">"人民文学出版社"</f>
        <v>人民文学出版社</v>
      </c>
      <c r="F866" s="7" t="str">
        <f>"I512.45/269"</f>
        <v>I512.45/269</v>
      </c>
    </row>
    <row r="867" customHeight="1" spans="1:6">
      <c r="A867" s="6">
        <v>866</v>
      </c>
      <c r="B867" s="7" t="str">
        <f>"978-7-02-016332-8"</f>
        <v>978-7-02-016332-8</v>
      </c>
      <c r="C867" s="7" t="str">
        <f>"但求安身"</f>
        <v>但求安身</v>
      </c>
      <c r="D867" s="7" t="str">
        <f>"(俄罗斯) 柳德米拉·彼得鲁舍夫斯卡娅著Аюдмиаа Петрушевская；段丽君译"</f>
        <v>(俄罗斯) 柳德米拉·彼得鲁舍夫斯卡娅著Аюдмиаа Петрушевская；段丽君译</v>
      </c>
      <c r="E867" s="7" t="str">
        <f t="shared" si="489"/>
        <v>人民文学出版社</v>
      </c>
      <c r="F867" s="7" t="str">
        <f>"I512.45/269"</f>
        <v>I512.45/269</v>
      </c>
    </row>
    <row r="868" customHeight="1" spans="1:6">
      <c r="A868" s="6">
        <v>867</v>
      </c>
      <c r="B868" s="7" t="str">
        <f t="shared" ref="B868:B870" si="490">"978-7-02-016930-6"</f>
        <v>978-7-02-016930-6</v>
      </c>
      <c r="C868" s="7" t="str">
        <f t="shared" ref="C868:C870" si="491">"迷宫"</f>
        <v>迷宫</v>
      </c>
      <c r="D868" s="7" t="str">
        <f t="shared" ref="D868:D870" si="492">"(俄) 柳德米拉·彼得鲁舍夫斯卡娅著Аюдмиаа Петрушевская；路雪莹译"</f>
        <v>(俄) 柳德米拉·彼得鲁舍夫斯卡娅著Аюдмиаа Петрушевская；路雪莹译</v>
      </c>
      <c r="E868" s="7" t="str">
        <f t="shared" si="489"/>
        <v>人民文学出版社</v>
      </c>
      <c r="F868" s="7" t="str">
        <f t="shared" ref="F868:F870" si="493">"I512.45/270"</f>
        <v>I512.45/270</v>
      </c>
    </row>
    <row r="869" customHeight="1" spans="1:6">
      <c r="A869" s="6">
        <v>868</v>
      </c>
      <c r="B869" s="7" t="str">
        <f t="shared" si="490"/>
        <v>978-7-02-016930-6</v>
      </c>
      <c r="C869" s="7" t="str">
        <f t="shared" si="491"/>
        <v>迷宫</v>
      </c>
      <c r="D869" s="7" t="str">
        <f t="shared" si="492"/>
        <v>(俄) 柳德米拉·彼得鲁舍夫斯卡娅著Аюдмиаа Петрушевская；路雪莹译</v>
      </c>
      <c r="E869" s="7" t="str">
        <f t="shared" si="489"/>
        <v>人民文学出版社</v>
      </c>
      <c r="F869" s="7" t="str">
        <f t="shared" si="493"/>
        <v>I512.45/270</v>
      </c>
    </row>
    <row r="870" customHeight="1" spans="1:6">
      <c r="A870" s="6">
        <v>869</v>
      </c>
      <c r="B870" s="7" t="str">
        <f t="shared" si="490"/>
        <v>978-7-02-016930-6</v>
      </c>
      <c r="C870" s="7" t="str">
        <f t="shared" si="491"/>
        <v>迷宫</v>
      </c>
      <c r="D870" s="7" t="str">
        <f t="shared" si="492"/>
        <v>(俄) 柳德米拉·彼得鲁舍夫斯卡娅著Аюдмиаа Петрушевская；路雪莹译</v>
      </c>
      <c r="E870" s="7" t="str">
        <f t="shared" si="489"/>
        <v>人民文学出版社</v>
      </c>
      <c r="F870" s="7" t="str">
        <f t="shared" si="493"/>
        <v>I512.45/270</v>
      </c>
    </row>
    <row r="871" customHeight="1" spans="1:6">
      <c r="A871" s="6">
        <v>870</v>
      </c>
      <c r="B871" s="9" t="str">
        <f>"978-7-108-06995-5"</f>
        <v>978-7-108-06995-5</v>
      </c>
      <c r="C871" s="9" t="str">
        <f>"书的故事"</f>
        <v>书的故事</v>
      </c>
      <c r="D871" s="9" t="str">
        <f>"(苏) 伊林著；胡愈之译"</f>
        <v>(苏) 伊林著；胡愈之译</v>
      </c>
      <c r="E871" s="9" t="str">
        <f>"三联书店"</f>
        <v>三联书店</v>
      </c>
      <c r="F871" s="9" t="str">
        <f>"I512.85/1.2"</f>
        <v>I512.85/1.2</v>
      </c>
    </row>
    <row r="872" customHeight="1" spans="1:6">
      <c r="A872" s="6">
        <v>871</v>
      </c>
      <c r="B872" s="9" t="str">
        <f>"978-7-108-06995-5"</f>
        <v>978-7-108-06995-5</v>
      </c>
      <c r="C872" s="9" t="str">
        <f>"书的故事"</f>
        <v>书的故事</v>
      </c>
      <c r="D872" s="9" t="str">
        <f>"(苏) 伊林著；胡愈之译"</f>
        <v>(苏) 伊林著；胡愈之译</v>
      </c>
      <c r="E872" s="9" t="str">
        <f>"三联书店"</f>
        <v>三联书店</v>
      </c>
      <c r="F872" s="9" t="str">
        <f>"I512.85/1.2"</f>
        <v>I512.85/1.2</v>
      </c>
    </row>
    <row r="873" customHeight="1" spans="1:6">
      <c r="A873" s="6">
        <v>872</v>
      </c>
      <c r="B873" s="7" t="str">
        <f t="shared" ref="B873:B875" si="494">"978-7-5447-8494-8"</f>
        <v>978-7-5447-8494-8</v>
      </c>
      <c r="C873" s="7" t="str">
        <f t="shared" ref="C873:C875" si="495">"惨败"</f>
        <v>惨败</v>
      </c>
      <c r="D873" s="7" t="str">
        <f t="shared" ref="D873:D875" si="496">"(波兰) 斯坦尼斯拉夫·莱姆著；陈灼译"</f>
        <v>(波兰) 斯坦尼斯拉夫·莱姆著；陈灼译</v>
      </c>
      <c r="E873" s="7" t="str">
        <f t="shared" ref="E873:E881" si="497">"译林出版社"</f>
        <v>译林出版社</v>
      </c>
      <c r="F873" s="7" t="str">
        <f t="shared" ref="F873:F875" si="498">"I513.45/1.2"</f>
        <v>I513.45/1.2</v>
      </c>
    </row>
    <row r="874" customHeight="1" spans="1:6">
      <c r="A874" s="6">
        <v>873</v>
      </c>
      <c r="B874" s="7" t="str">
        <f t="shared" si="494"/>
        <v>978-7-5447-8494-8</v>
      </c>
      <c r="C874" s="7" t="str">
        <f t="shared" si="495"/>
        <v>惨败</v>
      </c>
      <c r="D874" s="7" t="str">
        <f t="shared" si="496"/>
        <v>(波兰) 斯坦尼斯拉夫·莱姆著；陈灼译</v>
      </c>
      <c r="E874" s="7" t="str">
        <f t="shared" si="497"/>
        <v>译林出版社</v>
      </c>
      <c r="F874" s="7" t="str">
        <f t="shared" si="498"/>
        <v>I513.45/1.2</v>
      </c>
    </row>
    <row r="875" customHeight="1" spans="1:6">
      <c r="A875" s="6">
        <v>874</v>
      </c>
      <c r="B875" s="7" t="str">
        <f t="shared" si="494"/>
        <v>978-7-5447-8494-8</v>
      </c>
      <c r="C875" s="7" t="str">
        <f t="shared" si="495"/>
        <v>惨败</v>
      </c>
      <c r="D875" s="7" t="str">
        <f t="shared" si="496"/>
        <v>(波兰) 斯坦尼斯拉夫·莱姆著；陈灼译</v>
      </c>
      <c r="E875" s="7" t="str">
        <f t="shared" si="497"/>
        <v>译林出版社</v>
      </c>
      <c r="F875" s="7" t="str">
        <f t="shared" si="498"/>
        <v>I513.45/1.2</v>
      </c>
    </row>
    <row r="876" customHeight="1" spans="1:6">
      <c r="A876" s="6">
        <v>875</v>
      </c>
      <c r="B876" s="7" t="str">
        <f t="shared" ref="B876:B878" si="499">"978-7-5447-8543-3"</f>
        <v>978-7-5447-8543-3</v>
      </c>
      <c r="C876" s="7" t="str">
        <f t="shared" ref="C876:C878" si="500">"无敌号"</f>
        <v>无敌号</v>
      </c>
      <c r="D876" s="7" t="str">
        <f t="shared" ref="D876:D878" si="501">"(波兰) 斯坦尼斯瓦夫·莱姆著；罗妍莉译"</f>
        <v>(波兰) 斯坦尼斯瓦夫·莱姆著；罗妍莉译</v>
      </c>
      <c r="E876" s="7" t="str">
        <f t="shared" si="497"/>
        <v>译林出版社</v>
      </c>
      <c r="F876" s="7" t="str">
        <f t="shared" ref="F876:F878" si="502">"I513.45/22"</f>
        <v>I513.45/22</v>
      </c>
    </row>
    <row r="877" customHeight="1" spans="1:6">
      <c r="A877" s="6">
        <v>876</v>
      </c>
      <c r="B877" s="7" t="str">
        <f t="shared" si="499"/>
        <v>978-7-5447-8543-3</v>
      </c>
      <c r="C877" s="7" t="str">
        <f t="shared" si="500"/>
        <v>无敌号</v>
      </c>
      <c r="D877" s="7" t="str">
        <f t="shared" si="501"/>
        <v>(波兰) 斯坦尼斯瓦夫·莱姆著；罗妍莉译</v>
      </c>
      <c r="E877" s="7" t="str">
        <f t="shared" si="497"/>
        <v>译林出版社</v>
      </c>
      <c r="F877" s="7" t="str">
        <f t="shared" si="502"/>
        <v>I513.45/22</v>
      </c>
    </row>
    <row r="878" customHeight="1" spans="1:6">
      <c r="A878" s="6">
        <v>877</v>
      </c>
      <c r="B878" s="7" t="str">
        <f t="shared" si="499"/>
        <v>978-7-5447-8543-3</v>
      </c>
      <c r="C878" s="7" t="str">
        <f t="shared" si="500"/>
        <v>无敌号</v>
      </c>
      <c r="D878" s="7" t="str">
        <f t="shared" si="501"/>
        <v>(波兰) 斯坦尼斯瓦夫·莱姆著；罗妍莉译</v>
      </c>
      <c r="E878" s="7" t="str">
        <f t="shared" si="497"/>
        <v>译林出版社</v>
      </c>
      <c r="F878" s="7" t="str">
        <f t="shared" si="502"/>
        <v>I513.45/22</v>
      </c>
    </row>
    <row r="879" customHeight="1" spans="1:6">
      <c r="A879" s="6">
        <v>878</v>
      </c>
      <c r="B879" s="7" t="str">
        <f t="shared" ref="B879:B881" si="503">"978-7-5447-8564-8"</f>
        <v>978-7-5447-8564-8</v>
      </c>
      <c r="C879" s="7" t="str">
        <f t="shared" ref="C879:C881" si="504">"伊甸"</f>
        <v>伊甸</v>
      </c>
      <c r="D879" s="7" t="str">
        <f t="shared" ref="D879:D881" si="505">"(波兰) 斯坦尼斯拉夫·莱姆著Stanislaw Len；续文译"</f>
        <v>(波兰) 斯坦尼斯拉夫·莱姆著Stanislaw Len；续文译</v>
      </c>
      <c r="E879" s="7" t="str">
        <f t="shared" si="497"/>
        <v>译林出版社</v>
      </c>
      <c r="F879" s="7" t="str">
        <f t="shared" ref="F879:F881" si="506">"I513.45/23"</f>
        <v>I513.45/23</v>
      </c>
    </row>
    <row r="880" customHeight="1" spans="1:6">
      <c r="A880" s="6">
        <v>879</v>
      </c>
      <c r="B880" s="7" t="str">
        <f t="shared" si="503"/>
        <v>978-7-5447-8564-8</v>
      </c>
      <c r="C880" s="7" t="str">
        <f t="shared" si="504"/>
        <v>伊甸</v>
      </c>
      <c r="D880" s="7" t="str">
        <f t="shared" si="505"/>
        <v>(波兰) 斯坦尼斯拉夫·莱姆著Stanislaw Len；续文译</v>
      </c>
      <c r="E880" s="7" t="str">
        <f t="shared" si="497"/>
        <v>译林出版社</v>
      </c>
      <c r="F880" s="7" t="str">
        <f t="shared" si="506"/>
        <v>I513.45/23</v>
      </c>
    </row>
    <row r="881" customHeight="1" spans="1:6">
      <c r="A881" s="6">
        <v>880</v>
      </c>
      <c r="B881" s="7" t="str">
        <f t="shared" si="503"/>
        <v>978-7-5447-8564-8</v>
      </c>
      <c r="C881" s="7" t="str">
        <f t="shared" si="504"/>
        <v>伊甸</v>
      </c>
      <c r="D881" s="7" t="str">
        <f t="shared" si="505"/>
        <v>(波兰) 斯坦尼斯拉夫·莱姆著Stanislaw Len；续文译</v>
      </c>
      <c r="E881" s="7" t="str">
        <f t="shared" si="497"/>
        <v>译林出版社</v>
      </c>
      <c r="F881" s="7" t="str">
        <f t="shared" si="506"/>
        <v>I513.45/23</v>
      </c>
    </row>
    <row r="882" customHeight="1" spans="1:6">
      <c r="A882" s="6">
        <v>881</v>
      </c>
      <c r="B882" s="8" t="s">
        <v>10094</v>
      </c>
      <c r="C882" s="8" t="s">
        <v>10095</v>
      </c>
      <c r="D882" s="8" t="s">
        <v>10096</v>
      </c>
      <c r="E882" s="8" t="s">
        <v>8383</v>
      </c>
      <c r="F882" s="8" t="s">
        <v>10097</v>
      </c>
    </row>
    <row r="883" customHeight="1" spans="1:6">
      <c r="A883" s="6">
        <v>882</v>
      </c>
      <c r="B883" s="8" t="s">
        <v>10094</v>
      </c>
      <c r="C883" s="8" t="s">
        <v>10095</v>
      </c>
      <c r="D883" s="8" t="s">
        <v>10096</v>
      </c>
      <c r="E883" s="8" t="s">
        <v>8383</v>
      </c>
      <c r="F883" s="8" t="s">
        <v>10097</v>
      </c>
    </row>
    <row r="884" customHeight="1" spans="1:6">
      <c r="A884" s="6">
        <v>883</v>
      </c>
      <c r="B884" s="8" t="s">
        <v>10098</v>
      </c>
      <c r="C884" s="8" t="s">
        <v>10099</v>
      </c>
      <c r="D884" s="8" t="s">
        <v>10100</v>
      </c>
      <c r="E884" s="8" t="s">
        <v>8383</v>
      </c>
      <c r="F884" s="8" t="s">
        <v>10101</v>
      </c>
    </row>
    <row r="885" customHeight="1" spans="1:6">
      <c r="A885" s="6">
        <v>884</v>
      </c>
      <c r="B885" s="8" t="s">
        <v>10098</v>
      </c>
      <c r="C885" s="8" t="s">
        <v>10099</v>
      </c>
      <c r="D885" s="8" t="s">
        <v>10100</v>
      </c>
      <c r="E885" s="8" t="s">
        <v>8383</v>
      </c>
      <c r="F885" s="8" t="s">
        <v>10101</v>
      </c>
    </row>
    <row r="886" customHeight="1" spans="1:6">
      <c r="A886" s="6">
        <v>885</v>
      </c>
      <c r="B886" s="7" t="str">
        <f t="shared" ref="B886:B888" si="507">"978-7-220-12332-0"</f>
        <v>978-7-220-12332-0</v>
      </c>
      <c r="C886" s="7" t="str">
        <f t="shared" ref="C886:C888" si="508">"黑塞诗选"</f>
        <v>黑塞诗选</v>
      </c>
      <c r="D886" s="7" t="str">
        <f t="shared" ref="D886:D888" si="509">"(德) 黑塞著Hermann Hesse；林克译"</f>
        <v>(德) 黑塞著Hermann Hesse；林克译</v>
      </c>
      <c r="E886" s="7" t="str">
        <f t="shared" ref="E886:E888" si="510">"四川人民出版社"</f>
        <v>四川人民出版社</v>
      </c>
      <c r="F886" s="7" t="str">
        <f t="shared" ref="F886:F888" si="511">"I516.25/8-2"</f>
        <v>I516.25/8-2</v>
      </c>
    </row>
    <row r="887" customHeight="1" spans="1:6">
      <c r="A887" s="6">
        <v>886</v>
      </c>
      <c r="B887" s="7" t="str">
        <f t="shared" si="507"/>
        <v>978-7-220-12332-0</v>
      </c>
      <c r="C887" s="7" t="str">
        <f t="shared" si="508"/>
        <v>黑塞诗选</v>
      </c>
      <c r="D887" s="7" t="str">
        <f t="shared" si="509"/>
        <v>(德) 黑塞著Hermann Hesse；林克译</v>
      </c>
      <c r="E887" s="7" t="str">
        <f t="shared" si="510"/>
        <v>四川人民出版社</v>
      </c>
      <c r="F887" s="7" t="str">
        <f t="shared" si="511"/>
        <v>I516.25/8-2</v>
      </c>
    </row>
    <row r="888" customHeight="1" spans="1:6">
      <c r="A888" s="6">
        <v>887</v>
      </c>
      <c r="B888" s="7" t="str">
        <f t="shared" si="507"/>
        <v>978-7-220-12332-0</v>
      </c>
      <c r="C888" s="7" t="str">
        <f t="shared" si="508"/>
        <v>黑塞诗选</v>
      </c>
      <c r="D888" s="7" t="str">
        <f t="shared" si="509"/>
        <v>(德) 黑塞著Hermann Hesse；林克译</v>
      </c>
      <c r="E888" s="7" t="str">
        <f t="shared" si="510"/>
        <v>四川人民出版社</v>
      </c>
      <c r="F888" s="7" t="str">
        <f t="shared" si="511"/>
        <v>I516.25/8-2</v>
      </c>
    </row>
    <row r="889" customHeight="1" spans="1:6">
      <c r="A889" s="6">
        <v>888</v>
      </c>
      <c r="B889" s="7" t="str">
        <f t="shared" ref="B889:B891" si="512">"978-7-02-016368-7"</f>
        <v>978-7-02-016368-7</v>
      </c>
      <c r="C889" s="7" t="str">
        <f t="shared" ref="C889:C891" si="513">"铁皮鼓"</f>
        <v>铁皮鼓</v>
      </c>
      <c r="D889" s="7" t="str">
        <f t="shared" ref="D889:D891" si="514">"(德) 君特·格拉斯著Gunter Grass；胡其鼎译"</f>
        <v>(德) 君特·格拉斯著Gunter Grass；胡其鼎译</v>
      </c>
      <c r="E889" s="7" t="str">
        <f t="shared" ref="E889:E891" si="515">"人民文学出版社"</f>
        <v>人民文学出版社</v>
      </c>
      <c r="F889" s="7" t="str">
        <f t="shared" ref="F889:F891" si="516">"I516.45/99-2"</f>
        <v>I516.45/99-2</v>
      </c>
    </row>
    <row r="890" customHeight="1" spans="1:6">
      <c r="A890" s="6">
        <v>889</v>
      </c>
      <c r="B890" s="7" t="str">
        <f t="shared" si="512"/>
        <v>978-7-02-016368-7</v>
      </c>
      <c r="C890" s="7" t="str">
        <f t="shared" si="513"/>
        <v>铁皮鼓</v>
      </c>
      <c r="D890" s="7" t="str">
        <f t="shared" si="514"/>
        <v>(德) 君特·格拉斯著Gunter Grass；胡其鼎译</v>
      </c>
      <c r="E890" s="7" t="str">
        <f t="shared" si="515"/>
        <v>人民文学出版社</v>
      </c>
      <c r="F890" s="7" t="str">
        <f t="shared" si="516"/>
        <v>I516.45/99-2</v>
      </c>
    </row>
    <row r="891" customHeight="1" spans="1:6">
      <c r="A891" s="6">
        <v>890</v>
      </c>
      <c r="B891" s="7" t="str">
        <f t="shared" si="512"/>
        <v>978-7-02-016368-7</v>
      </c>
      <c r="C891" s="7" t="str">
        <f t="shared" si="513"/>
        <v>铁皮鼓</v>
      </c>
      <c r="D891" s="7" t="str">
        <f t="shared" si="514"/>
        <v>(德) 君特·格拉斯著Gunter Grass；胡其鼎译</v>
      </c>
      <c r="E891" s="7" t="str">
        <f t="shared" si="515"/>
        <v>人民文学出版社</v>
      </c>
      <c r="F891" s="7" t="str">
        <f t="shared" si="516"/>
        <v>I516.45/99-2</v>
      </c>
    </row>
    <row r="892" customHeight="1" spans="1:6">
      <c r="A892" s="6">
        <v>891</v>
      </c>
      <c r="B892" s="9" t="str">
        <f>"978-7-5434-9754-2"</f>
        <v>978-7-5434-9754-2</v>
      </c>
      <c r="C892" s="9" t="str">
        <f>"神奇的色彩女王"</f>
        <v>神奇的色彩女王</v>
      </c>
      <c r="D892" s="9" t="str">
        <f>"文/图 (德) 尤塔·鲍尔；翻译刘海颖"</f>
        <v>文/图 (德) 尤塔·鲍尔；翻译刘海颖</v>
      </c>
      <c r="E892" s="9" t="str">
        <f>"河北教育出版社"</f>
        <v>河北教育出版社</v>
      </c>
      <c r="F892" s="9" t="str">
        <f>"I516.85/24"</f>
        <v>I516.85/24</v>
      </c>
    </row>
    <row r="893" customHeight="1" spans="1:6">
      <c r="A893" s="6">
        <v>892</v>
      </c>
      <c r="B893" s="7" t="str">
        <f t="shared" ref="B893:B895" si="517">"978-7-220-12324-5"</f>
        <v>978-7-220-12324-5</v>
      </c>
      <c r="C893" s="7" t="str">
        <f t="shared" ref="C893:C895" si="518">"特拉克尔诗选"</f>
        <v>特拉克尔诗选</v>
      </c>
      <c r="D893" s="7" t="str">
        <f t="shared" ref="D893:D895" si="519">"(奥) 特拉克尔著Georg Trakl；林克译"</f>
        <v>(奥) 特拉克尔著Georg Trakl；林克译</v>
      </c>
      <c r="E893" s="7" t="str">
        <f t="shared" ref="E893:E895" si="520">"四川人民出版社"</f>
        <v>四川人民出版社</v>
      </c>
      <c r="F893" s="7" t="str">
        <f t="shared" ref="F893:F895" si="521">"I521.24/1-2"</f>
        <v>I521.24/1-2</v>
      </c>
    </row>
    <row r="894" customHeight="1" spans="1:6">
      <c r="A894" s="6">
        <v>893</v>
      </c>
      <c r="B894" s="7" t="str">
        <f t="shared" si="517"/>
        <v>978-7-220-12324-5</v>
      </c>
      <c r="C894" s="7" t="str">
        <f t="shared" si="518"/>
        <v>特拉克尔诗选</v>
      </c>
      <c r="D894" s="7" t="str">
        <f t="shared" si="519"/>
        <v>(奥) 特拉克尔著Georg Trakl；林克译</v>
      </c>
      <c r="E894" s="7" t="str">
        <f t="shared" si="520"/>
        <v>四川人民出版社</v>
      </c>
      <c r="F894" s="7" t="str">
        <f t="shared" si="521"/>
        <v>I521.24/1-2</v>
      </c>
    </row>
    <row r="895" customHeight="1" spans="1:6">
      <c r="A895" s="6">
        <v>894</v>
      </c>
      <c r="B895" s="7" t="str">
        <f t="shared" si="517"/>
        <v>978-7-220-12324-5</v>
      </c>
      <c r="C895" s="7" t="str">
        <f t="shared" si="518"/>
        <v>特拉克尔诗选</v>
      </c>
      <c r="D895" s="7" t="str">
        <f t="shared" si="519"/>
        <v>(奥) 特拉克尔著Georg Trakl；林克译</v>
      </c>
      <c r="E895" s="7" t="str">
        <f t="shared" si="520"/>
        <v>四川人民出版社</v>
      </c>
      <c r="F895" s="7" t="str">
        <f t="shared" si="521"/>
        <v>I521.24/1-2</v>
      </c>
    </row>
    <row r="896" customHeight="1" spans="1:6">
      <c r="A896" s="6">
        <v>895</v>
      </c>
      <c r="B896" s="8" t="s">
        <v>10102</v>
      </c>
      <c r="C896" s="8" t="s">
        <v>10103</v>
      </c>
      <c r="D896" s="8" t="s">
        <v>10104</v>
      </c>
      <c r="E896" s="8" t="s">
        <v>7057</v>
      </c>
      <c r="F896" s="8" t="s">
        <v>10105</v>
      </c>
    </row>
    <row r="897" customHeight="1" spans="1:6">
      <c r="A897" s="6">
        <v>896</v>
      </c>
      <c r="B897" s="8" t="s">
        <v>10102</v>
      </c>
      <c r="C897" s="8" t="s">
        <v>10103</v>
      </c>
      <c r="D897" s="8" t="s">
        <v>10104</v>
      </c>
      <c r="E897" s="8" t="s">
        <v>7057</v>
      </c>
      <c r="F897" s="8" t="s">
        <v>10105</v>
      </c>
    </row>
    <row r="898" customHeight="1" spans="1:6">
      <c r="A898" s="6">
        <v>897</v>
      </c>
      <c r="B898" s="7" t="str">
        <f t="shared" ref="B898:B900" si="522">"978-7-5212-1491-8"</f>
        <v>978-7-5212-1491-8</v>
      </c>
      <c r="C898" s="7" t="str">
        <f t="shared" ref="C898:C900" si="523">"红房间"</f>
        <v>红房间</v>
      </c>
      <c r="D898" s="7" t="str">
        <f t="shared" ref="D898:D900" si="524">"(瑞典) 奥古斯特·斯特林堡著August Strindberg；石琴娥， 斯文译"</f>
        <v>(瑞典) 奥古斯特·斯特林堡著August Strindberg；石琴娥， 斯文译</v>
      </c>
      <c r="E898" s="7" t="str">
        <f t="shared" ref="E898:E900" si="525">"作家出版社"</f>
        <v>作家出版社</v>
      </c>
      <c r="F898" s="7" t="str">
        <f t="shared" ref="F898:F900" si="526">"I532.44/6"</f>
        <v>I532.44/6</v>
      </c>
    </row>
    <row r="899" customHeight="1" spans="1:6">
      <c r="A899" s="6">
        <v>898</v>
      </c>
      <c r="B899" s="7" t="str">
        <f t="shared" si="522"/>
        <v>978-7-5212-1491-8</v>
      </c>
      <c r="C899" s="7" t="str">
        <f t="shared" si="523"/>
        <v>红房间</v>
      </c>
      <c r="D899" s="7" t="str">
        <f t="shared" si="524"/>
        <v>(瑞典) 奥古斯特·斯特林堡著August Strindberg；石琴娥， 斯文译</v>
      </c>
      <c r="E899" s="7" t="str">
        <f t="shared" si="525"/>
        <v>作家出版社</v>
      </c>
      <c r="F899" s="7" t="str">
        <f t="shared" si="526"/>
        <v>I532.44/6</v>
      </c>
    </row>
    <row r="900" customHeight="1" spans="1:6">
      <c r="A900" s="6">
        <v>899</v>
      </c>
      <c r="B900" s="7" t="str">
        <f t="shared" si="522"/>
        <v>978-7-5212-1491-8</v>
      </c>
      <c r="C900" s="7" t="str">
        <f t="shared" si="523"/>
        <v>红房间</v>
      </c>
      <c r="D900" s="7" t="str">
        <f t="shared" si="524"/>
        <v>(瑞典) 奥古斯特·斯特林堡著August Strindberg；石琴娥， 斯文译</v>
      </c>
      <c r="E900" s="7" t="str">
        <f t="shared" si="525"/>
        <v>作家出版社</v>
      </c>
      <c r="F900" s="7" t="str">
        <f t="shared" si="526"/>
        <v>I532.44/6</v>
      </c>
    </row>
    <row r="901" customHeight="1" spans="1:6">
      <c r="A901" s="6">
        <v>900</v>
      </c>
      <c r="B901" s="7" t="str">
        <f t="shared" ref="B901:B903" si="527">"978-7-5455-6497-6"</f>
        <v>978-7-5455-6497-6</v>
      </c>
      <c r="C901" s="7" t="str">
        <f t="shared" ref="C901:C903" si="528">"男人"</f>
        <v>男人</v>
      </c>
      <c r="D901" s="7" t="str">
        <f t="shared" ref="D901:D903" si="529">"(瑞典) 贡·布丽特·苏德斯特姆著Gun-Britt Sundstrom；许岚译"</f>
        <v>(瑞典) 贡·布丽特·苏德斯特姆著Gun-Britt Sundstrom；许岚译</v>
      </c>
      <c r="E901" s="7" t="str">
        <f t="shared" ref="E901:E903" si="530">"天地出版社"</f>
        <v>天地出版社</v>
      </c>
      <c r="F901" s="7" t="str">
        <f t="shared" ref="F901:F903" si="531">"I532.45/54"</f>
        <v>I532.45/54</v>
      </c>
    </row>
    <row r="902" customHeight="1" spans="1:6">
      <c r="A902" s="6">
        <v>901</v>
      </c>
      <c r="B902" s="7" t="str">
        <f t="shared" si="527"/>
        <v>978-7-5455-6497-6</v>
      </c>
      <c r="C902" s="7" t="str">
        <f t="shared" si="528"/>
        <v>男人</v>
      </c>
      <c r="D902" s="7" t="str">
        <f t="shared" si="529"/>
        <v>(瑞典) 贡·布丽特·苏德斯特姆著Gun-Britt Sundstrom；许岚译</v>
      </c>
      <c r="E902" s="7" t="str">
        <f t="shared" si="530"/>
        <v>天地出版社</v>
      </c>
      <c r="F902" s="7" t="str">
        <f t="shared" si="531"/>
        <v>I532.45/54</v>
      </c>
    </row>
    <row r="903" customHeight="1" spans="1:6">
      <c r="A903" s="6">
        <v>902</v>
      </c>
      <c r="B903" s="7" t="str">
        <f t="shared" si="527"/>
        <v>978-7-5455-6497-6</v>
      </c>
      <c r="C903" s="7" t="str">
        <f t="shared" si="528"/>
        <v>男人</v>
      </c>
      <c r="D903" s="7" t="str">
        <f t="shared" si="529"/>
        <v>(瑞典) 贡·布丽特·苏德斯特姆著Gun-Britt Sundstrom；许岚译</v>
      </c>
      <c r="E903" s="7" t="str">
        <f t="shared" si="530"/>
        <v>天地出版社</v>
      </c>
      <c r="F903" s="7" t="str">
        <f t="shared" si="531"/>
        <v>I532.45/54</v>
      </c>
    </row>
    <row r="904" customHeight="1" spans="1:6">
      <c r="A904" s="6">
        <v>903</v>
      </c>
      <c r="B904" s="8" t="s">
        <v>10106</v>
      </c>
      <c r="C904" s="8" t="s">
        <v>10107</v>
      </c>
      <c r="D904" s="8" t="s">
        <v>10108</v>
      </c>
      <c r="E904" s="8" t="s">
        <v>2040</v>
      </c>
      <c r="F904" s="8" t="s">
        <v>10109</v>
      </c>
    </row>
    <row r="905" customHeight="1" spans="1:6">
      <c r="A905" s="6">
        <v>904</v>
      </c>
      <c r="B905" s="8" t="s">
        <v>10106</v>
      </c>
      <c r="C905" s="8" t="s">
        <v>10107</v>
      </c>
      <c r="D905" s="8" t="s">
        <v>10108</v>
      </c>
      <c r="E905" s="8" t="s">
        <v>2040</v>
      </c>
      <c r="F905" s="8" t="s">
        <v>10109</v>
      </c>
    </row>
    <row r="906" customHeight="1" spans="1:6">
      <c r="A906" s="6">
        <v>905</v>
      </c>
      <c r="B906" s="8" t="s">
        <v>10110</v>
      </c>
      <c r="C906" s="8" t="s">
        <v>10111</v>
      </c>
      <c r="D906" s="8" t="s">
        <v>10112</v>
      </c>
      <c r="E906" s="8" t="s">
        <v>8383</v>
      </c>
      <c r="F906" s="8" t="s">
        <v>10113</v>
      </c>
    </row>
    <row r="907" customHeight="1" spans="1:6">
      <c r="A907" s="6">
        <v>906</v>
      </c>
      <c r="B907" s="8" t="s">
        <v>10110</v>
      </c>
      <c r="C907" s="8" t="s">
        <v>10111</v>
      </c>
      <c r="D907" s="8" t="s">
        <v>10112</v>
      </c>
      <c r="E907" s="8" t="s">
        <v>8383</v>
      </c>
      <c r="F907" s="8" t="s">
        <v>10113</v>
      </c>
    </row>
    <row r="908" customHeight="1" spans="1:6">
      <c r="A908" s="6">
        <v>907</v>
      </c>
      <c r="B908" s="7" t="str">
        <f t="shared" ref="B908:B910" si="532">"978-7-5057-5158-3"</f>
        <v>978-7-5057-5158-3</v>
      </c>
      <c r="C908" s="7" t="str">
        <f t="shared" ref="C908:C910" si="533">"爱的小哲学"</f>
        <v>爱的小哲学</v>
      </c>
      <c r="D908" s="7" t="str">
        <f t="shared" ref="D908:D910" si="534">"(意) 维托·曼库索著；杨姝睿， 张密译"</f>
        <v>(意) 维托·曼库索著；杨姝睿， 张密译</v>
      </c>
      <c r="E908" s="7" t="str">
        <f t="shared" ref="E908:E910" si="535">"中国友谊出版公司"</f>
        <v>中国友谊出版公司</v>
      </c>
      <c r="F908" s="7" t="str">
        <f t="shared" ref="F908:F910" si="536">"I546.65/22"</f>
        <v>I546.65/22</v>
      </c>
    </row>
    <row r="909" customHeight="1" spans="1:6">
      <c r="A909" s="6">
        <v>908</v>
      </c>
      <c r="B909" s="7" t="str">
        <f t="shared" si="532"/>
        <v>978-7-5057-5158-3</v>
      </c>
      <c r="C909" s="7" t="str">
        <f t="shared" si="533"/>
        <v>爱的小哲学</v>
      </c>
      <c r="D909" s="7" t="str">
        <f t="shared" si="534"/>
        <v>(意) 维托·曼库索著；杨姝睿， 张密译</v>
      </c>
      <c r="E909" s="7" t="str">
        <f t="shared" si="535"/>
        <v>中国友谊出版公司</v>
      </c>
      <c r="F909" s="7" t="str">
        <f t="shared" si="536"/>
        <v>I546.65/22</v>
      </c>
    </row>
    <row r="910" customHeight="1" spans="1:6">
      <c r="A910" s="6">
        <v>909</v>
      </c>
      <c r="B910" s="7" t="str">
        <f t="shared" si="532"/>
        <v>978-7-5057-5158-3</v>
      </c>
      <c r="C910" s="7" t="str">
        <f t="shared" si="533"/>
        <v>爱的小哲学</v>
      </c>
      <c r="D910" s="7" t="str">
        <f t="shared" si="534"/>
        <v>(意) 维托·曼库索著；杨姝睿， 张密译</v>
      </c>
      <c r="E910" s="7" t="str">
        <f t="shared" si="535"/>
        <v>中国友谊出版公司</v>
      </c>
      <c r="F910" s="7" t="str">
        <f t="shared" si="536"/>
        <v>I546.65/22</v>
      </c>
    </row>
    <row r="911" customHeight="1" spans="1:6">
      <c r="A911" s="6">
        <v>910</v>
      </c>
      <c r="B911" s="7" t="str">
        <f t="shared" ref="B911:B913" si="537">"978-7-5212-1490-1"</f>
        <v>978-7-5212-1490-1</v>
      </c>
      <c r="C911" s="7" t="str">
        <f t="shared" ref="C911:C913" si="538">"血与沙"</f>
        <v>血与沙</v>
      </c>
      <c r="D911" s="7" t="str">
        <f t="shared" ref="D911:D913" si="539">"(西班牙) 维森特·布拉斯科·伊巴涅斯著Vicente Blasco Ibanez；尹承东译"</f>
        <v>(西班牙) 维森特·布拉斯科·伊巴涅斯著Vicente Blasco Ibanez；尹承东译</v>
      </c>
      <c r="E911" s="7" t="str">
        <f t="shared" ref="E911:E913" si="540">"作家出版社"</f>
        <v>作家出版社</v>
      </c>
      <c r="F911" s="7" t="str">
        <f t="shared" ref="F911:F913" si="541">"I551.45/78"</f>
        <v>I551.45/78</v>
      </c>
    </row>
    <row r="912" customHeight="1" spans="1:6">
      <c r="A912" s="6">
        <v>911</v>
      </c>
      <c r="B912" s="7" t="str">
        <f t="shared" si="537"/>
        <v>978-7-5212-1490-1</v>
      </c>
      <c r="C912" s="7" t="str">
        <f t="shared" si="538"/>
        <v>血与沙</v>
      </c>
      <c r="D912" s="7" t="str">
        <f t="shared" si="539"/>
        <v>(西班牙) 维森特·布拉斯科·伊巴涅斯著Vicente Blasco Ibanez；尹承东译</v>
      </c>
      <c r="E912" s="7" t="str">
        <f t="shared" si="540"/>
        <v>作家出版社</v>
      </c>
      <c r="F912" s="7" t="str">
        <f t="shared" si="541"/>
        <v>I551.45/78</v>
      </c>
    </row>
    <row r="913" customHeight="1" spans="1:6">
      <c r="A913" s="6">
        <v>912</v>
      </c>
      <c r="B913" s="7" t="str">
        <f t="shared" si="537"/>
        <v>978-7-5212-1490-1</v>
      </c>
      <c r="C913" s="7" t="str">
        <f t="shared" si="538"/>
        <v>血与沙</v>
      </c>
      <c r="D913" s="7" t="str">
        <f t="shared" si="539"/>
        <v>(西班牙) 维森特·布拉斯科·伊巴涅斯著Vicente Blasco Ibanez；尹承东译</v>
      </c>
      <c r="E913" s="7" t="str">
        <f t="shared" si="540"/>
        <v>作家出版社</v>
      </c>
      <c r="F913" s="7" t="str">
        <f t="shared" si="541"/>
        <v>I551.45/78</v>
      </c>
    </row>
    <row r="914" customHeight="1" spans="1:6">
      <c r="A914" s="6">
        <v>913</v>
      </c>
      <c r="B914" s="8" t="s">
        <v>10114</v>
      </c>
      <c r="C914" s="8" t="s">
        <v>10115</v>
      </c>
      <c r="D914" s="8" t="s">
        <v>10116</v>
      </c>
      <c r="E914" s="8" t="s">
        <v>571</v>
      </c>
      <c r="F914" s="8" t="s">
        <v>10117</v>
      </c>
    </row>
    <row r="915" customHeight="1" spans="1:6">
      <c r="A915" s="6">
        <v>914</v>
      </c>
      <c r="B915" s="8" t="s">
        <v>10114</v>
      </c>
      <c r="C915" s="8" t="s">
        <v>10115</v>
      </c>
      <c r="D915" s="8" t="s">
        <v>10116</v>
      </c>
      <c r="E915" s="8" t="s">
        <v>571</v>
      </c>
      <c r="F915" s="8" t="s">
        <v>10117</v>
      </c>
    </row>
    <row r="916" customHeight="1" spans="1:6">
      <c r="A916" s="6">
        <v>915</v>
      </c>
      <c r="B916" s="8" t="s">
        <v>10114</v>
      </c>
      <c r="C916" s="8" t="s">
        <v>10115</v>
      </c>
      <c r="D916" s="8" t="s">
        <v>10116</v>
      </c>
      <c r="E916" s="8" t="s">
        <v>571</v>
      </c>
      <c r="F916" s="8" t="s">
        <v>10117</v>
      </c>
    </row>
    <row r="917" customHeight="1" spans="1:6">
      <c r="A917" s="6">
        <v>916</v>
      </c>
      <c r="B917" s="8" t="s">
        <v>10118</v>
      </c>
      <c r="C917" s="8" t="s">
        <v>10119</v>
      </c>
      <c r="D917" s="8" t="s">
        <v>10120</v>
      </c>
      <c r="E917" s="8" t="s">
        <v>571</v>
      </c>
      <c r="F917" s="8" t="s">
        <v>10121</v>
      </c>
    </row>
    <row r="918" customHeight="1" spans="1:6">
      <c r="A918" s="6">
        <v>917</v>
      </c>
      <c r="B918" s="8" t="s">
        <v>10118</v>
      </c>
      <c r="C918" s="8" t="s">
        <v>10119</v>
      </c>
      <c r="D918" s="8" t="s">
        <v>10120</v>
      </c>
      <c r="E918" s="8" t="s">
        <v>571</v>
      </c>
      <c r="F918" s="8" t="s">
        <v>10121</v>
      </c>
    </row>
    <row r="919" customHeight="1" spans="1:6">
      <c r="A919" s="6">
        <v>918</v>
      </c>
      <c r="B919" s="8" t="s">
        <v>10118</v>
      </c>
      <c r="C919" s="8" t="s">
        <v>10119</v>
      </c>
      <c r="D919" s="8" t="s">
        <v>10120</v>
      </c>
      <c r="E919" s="8" t="s">
        <v>571</v>
      </c>
      <c r="F919" s="8" t="s">
        <v>10121</v>
      </c>
    </row>
    <row r="920" customHeight="1" spans="1:6">
      <c r="A920" s="6">
        <v>919</v>
      </c>
      <c r="B920" s="7" t="str">
        <f t="shared" ref="B920:B922" si="542">"978-7-108-06960-3"</f>
        <v>978-7-108-06960-3</v>
      </c>
      <c r="C920" s="7" t="str">
        <f t="shared" ref="C920:C922" si="543">"大侦探：福尔摩斯的惊人崛起和不朽生命：the amazing rise and immortal life of Sherlock Holmes"</f>
        <v>大侦探：福尔摩斯的惊人崛起和不朽生命：the amazing rise and immortal life of Sherlock Holmes</v>
      </c>
      <c r="D920" s="7" t="str">
        <f t="shared" ref="D920:D922" si="544">"(美) 扎克·邓达斯著Zach Dundas；肖洁茹译"</f>
        <v>(美) 扎克·邓达斯著Zach Dundas；肖洁茹译</v>
      </c>
      <c r="E920" s="7" t="str">
        <f t="shared" ref="E920:E922" si="545">"三联书店"</f>
        <v>三联书店</v>
      </c>
      <c r="F920" s="7" t="str">
        <f t="shared" ref="F920:F922" si="546">"I561.074/97"</f>
        <v>I561.074/97</v>
      </c>
    </row>
    <row r="921" customHeight="1" spans="1:6">
      <c r="A921" s="6">
        <v>920</v>
      </c>
      <c r="B921" s="7" t="str">
        <f t="shared" si="542"/>
        <v>978-7-108-06960-3</v>
      </c>
      <c r="C921" s="7" t="str">
        <f t="shared" si="543"/>
        <v>大侦探：福尔摩斯的惊人崛起和不朽生命：the amazing rise and immortal life of Sherlock Holmes</v>
      </c>
      <c r="D921" s="7" t="str">
        <f t="shared" si="544"/>
        <v>(美) 扎克·邓达斯著Zach Dundas；肖洁茹译</v>
      </c>
      <c r="E921" s="7" t="str">
        <f t="shared" si="545"/>
        <v>三联书店</v>
      </c>
      <c r="F921" s="7" t="str">
        <f t="shared" si="546"/>
        <v>I561.074/97</v>
      </c>
    </row>
    <row r="922" customHeight="1" spans="1:6">
      <c r="A922" s="6">
        <v>921</v>
      </c>
      <c r="B922" s="7" t="str">
        <f t="shared" si="542"/>
        <v>978-7-108-06960-3</v>
      </c>
      <c r="C922" s="7" t="str">
        <f t="shared" si="543"/>
        <v>大侦探：福尔摩斯的惊人崛起和不朽生命：the amazing rise and immortal life of Sherlock Holmes</v>
      </c>
      <c r="D922" s="7" t="str">
        <f t="shared" si="544"/>
        <v>(美) 扎克·邓达斯著Zach Dundas；肖洁茹译</v>
      </c>
      <c r="E922" s="7" t="str">
        <f t="shared" si="545"/>
        <v>三联书店</v>
      </c>
      <c r="F922" s="7" t="str">
        <f t="shared" si="546"/>
        <v>I561.074/97</v>
      </c>
    </row>
    <row r="923" customHeight="1" spans="1:6">
      <c r="A923" s="6">
        <v>922</v>
      </c>
      <c r="B923" s="7" t="str">
        <f>"978-7-5411-6015-8"</f>
        <v>978-7-5411-6015-8</v>
      </c>
      <c r="C923" s="7" t="str">
        <f>"人的局限性：约翰生作品集"</f>
        <v>人的局限性：约翰生作品集</v>
      </c>
      <c r="D923" s="7" t="str">
        <f>"(英) 塞缪尔·约翰生著；蔡田明译"</f>
        <v>(英) 塞缪尔·约翰生著；蔡田明译</v>
      </c>
      <c r="E923" s="7" t="str">
        <f t="shared" ref="E923:E927" si="547">"四川文艺出版社"</f>
        <v>四川文艺出版社</v>
      </c>
      <c r="F923" s="7" t="str">
        <f>"I561.14/2-2"</f>
        <v>I561.14/2-2</v>
      </c>
    </row>
    <row r="924" customHeight="1" spans="1:6">
      <c r="A924" s="6">
        <v>923</v>
      </c>
      <c r="B924" s="7" t="str">
        <f>"978-7-5411-6015-8"</f>
        <v>978-7-5411-6015-8</v>
      </c>
      <c r="C924" s="7" t="str">
        <f>"人的局限性：约翰生作品集"</f>
        <v>人的局限性：约翰生作品集</v>
      </c>
      <c r="D924" s="7" t="str">
        <f>"(英) 塞缪尔·约翰生著；蔡田明译"</f>
        <v>(英) 塞缪尔·约翰生著；蔡田明译</v>
      </c>
      <c r="E924" s="7" t="str">
        <f t="shared" si="547"/>
        <v>四川文艺出版社</v>
      </c>
      <c r="F924" s="7" t="str">
        <f>"I561.14/2-2"</f>
        <v>I561.14/2-2</v>
      </c>
    </row>
    <row r="925" customHeight="1" spans="1:6">
      <c r="A925" s="6">
        <v>924</v>
      </c>
      <c r="B925" s="7" t="str">
        <f t="shared" ref="B925:B927" si="548">"978-7-5411-5907-7"</f>
        <v>978-7-5411-5907-7</v>
      </c>
      <c r="C925" s="7" t="str">
        <f t="shared" ref="C925:C927" si="549">"你转身之后"</f>
        <v>你转身之后</v>
      </c>
      <c r="D925" s="7" t="str">
        <f t="shared" ref="D925:D927" si="550">"(英) 乔乔·莫伊斯著Jojo Moyes；何雨珈译"</f>
        <v>(英) 乔乔·莫伊斯著Jojo Moyes；何雨珈译</v>
      </c>
      <c r="E925" s="7" t="str">
        <f t="shared" si="547"/>
        <v>四川文艺出版社</v>
      </c>
      <c r="F925" s="7" t="str">
        <f t="shared" ref="F925:F927" si="551">"I561.45/1082-2"</f>
        <v>I561.45/1082-2</v>
      </c>
    </row>
    <row r="926" customHeight="1" spans="1:6">
      <c r="A926" s="6">
        <v>925</v>
      </c>
      <c r="B926" s="7" t="str">
        <f t="shared" si="548"/>
        <v>978-7-5411-5907-7</v>
      </c>
      <c r="C926" s="7" t="str">
        <f t="shared" si="549"/>
        <v>你转身之后</v>
      </c>
      <c r="D926" s="7" t="str">
        <f t="shared" si="550"/>
        <v>(英) 乔乔·莫伊斯著Jojo Moyes；何雨珈译</v>
      </c>
      <c r="E926" s="7" t="str">
        <f t="shared" si="547"/>
        <v>四川文艺出版社</v>
      </c>
      <c r="F926" s="7" t="str">
        <f t="shared" si="551"/>
        <v>I561.45/1082-2</v>
      </c>
    </row>
    <row r="927" customHeight="1" spans="1:6">
      <c r="A927" s="6">
        <v>926</v>
      </c>
      <c r="B927" s="7" t="str">
        <f t="shared" si="548"/>
        <v>978-7-5411-5907-7</v>
      </c>
      <c r="C927" s="7" t="str">
        <f t="shared" si="549"/>
        <v>你转身之后</v>
      </c>
      <c r="D927" s="7" t="str">
        <f t="shared" si="550"/>
        <v>(英) 乔乔·莫伊斯著Jojo Moyes；何雨珈译</v>
      </c>
      <c r="E927" s="7" t="str">
        <f t="shared" si="547"/>
        <v>四川文艺出版社</v>
      </c>
      <c r="F927" s="7" t="str">
        <f t="shared" si="551"/>
        <v>I561.45/1082-2</v>
      </c>
    </row>
    <row r="928" customHeight="1" spans="1:6">
      <c r="A928" s="6">
        <v>927</v>
      </c>
      <c r="B928" s="7" t="str">
        <f>"978-7-5143-9205-0"</f>
        <v>978-7-5143-9205-0</v>
      </c>
      <c r="C928" s="7" t="str">
        <f>"人性的枷锁"</f>
        <v>人性的枷锁</v>
      </c>
      <c r="D928" s="7" t="str">
        <f>"(英) 威廉·萨默赛特·毛姆著William Somerset Maugham；凌珊译"</f>
        <v>(英) 威廉·萨默赛特·毛姆著William Somerset Maugham；凌珊译</v>
      </c>
      <c r="E928" s="7" t="str">
        <f>"现代出版社"</f>
        <v>现代出版社</v>
      </c>
      <c r="F928" s="7" t="str">
        <f>"I561.45/1294.2"</f>
        <v>I561.45/1294.2</v>
      </c>
    </row>
    <row r="929" customHeight="1" spans="1:6">
      <c r="A929" s="6">
        <v>928</v>
      </c>
      <c r="B929" s="7" t="str">
        <f>"978-7-5143-9205-0"</f>
        <v>978-7-5143-9205-0</v>
      </c>
      <c r="C929" s="7" t="str">
        <f>"人性的枷锁"</f>
        <v>人性的枷锁</v>
      </c>
      <c r="D929" s="7" t="str">
        <f>"(英) 威廉·萨默赛特·毛姆著William Somerset Maugham；凌珊译"</f>
        <v>(英) 威廉·萨默赛特·毛姆著William Somerset Maugham；凌珊译</v>
      </c>
      <c r="E929" s="7" t="str">
        <f>"现代出版社"</f>
        <v>现代出版社</v>
      </c>
      <c r="F929" s="7" t="str">
        <f>"I561.45/1294.2"</f>
        <v>I561.45/1294.2</v>
      </c>
    </row>
    <row r="930" customHeight="1" spans="1:6">
      <c r="A930" s="6">
        <v>929</v>
      </c>
      <c r="B930" s="7" t="str">
        <f t="shared" ref="B930:B932" si="552">"978-7-5447-8637-9"</f>
        <v>978-7-5447-8637-9</v>
      </c>
      <c r="C930" s="7" t="str">
        <f t="shared" ref="C930:C932" si="553">"福楼拜的鹦鹉"</f>
        <v>福楼拜的鹦鹉</v>
      </c>
      <c r="D930" s="7" t="str">
        <f t="shared" ref="D930:D932" si="554">"(英国) 朱利安·巴恩斯著Juliam Barnes；但汉松译"</f>
        <v>(英国) 朱利安·巴恩斯著Juliam Barnes；但汉松译</v>
      </c>
      <c r="E930" s="7" t="str">
        <f t="shared" ref="E930:E932" si="555">"译林出版社"</f>
        <v>译林出版社</v>
      </c>
      <c r="F930" s="7" t="str">
        <f t="shared" ref="F930:F932" si="556">"I561.45/1317-2"</f>
        <v>I561.45/1317-2</v>
      </c>
    </row>
    <row r="931" customHeight="1" spans="1:6">
      <c r="A931" s="6">
        <v>930</v>
      </c>
      <c r="B931" s="7" t="str">
        <f t="shared" si="552"/>
        <v>978-7-5447-8637-9</v>
      </c>
      <c r="C931" s="7" t="str">
        <f t="shared" si="553"/>
        <v>福楼拜的鹦鹉</v>
      </c>
      <c r="D931" s="7" t="str">
        <f t="shared" si="554"/>
        <v>(英国) 朱利安·巴恩斯著Juliam Barnes；但汉松译</v>
      </c>
      <c r="E931" s="7" t="str">
        <f t="shared" si="555"/>
        <v>译林出版社</v>
      </c>
      <c r="F931" s="7" t="str">
        <f t="shared" si="556"/>
        <v>I561.45/1317-2</v>
      </c>
    </row>
    <row r="932" customHeight="1" spans="1:6">
      <c r="A932" s="6">
        <v>931</v>
      </c>
      <c r="B932" s="7" t="str">
        <f t="shared" si="552"/>
        <v>978-7-5447-8637-9</v>
      </c>
      <c r="C932" s="7" t="str">
        <f t="shared" si="553"/>
        <v>福楼拜的鹦鹉</v>
      </c>
      <c r="D932" s="7" t="str">
        <f t="shared" si="554"/>
        <v>(英国) 朱利安·巴恩斯著Juliam Barnes；但汉松译</v>
      </c>
      <c r="E932" s="7" t="str">
        <f t="shared" si="555"/>
        <v>译林出版社</v>
      </c>
      <c r="F932" s="7" t="str">
        <f t="shared" si="556"/>
        <v>I561.45/1317-2</v>
      </c>
    </row>
    <row r="933" customHeight="1" spans="1:6">
      <c r="A933" s="6">
        <v>932</v>
      </c>
      <c r="B933" s="7" t="str">
        <f t="shared" ref="B933:B935" si="557">"978-7-5217-2443-1"</f>
        <v>978-7-5217-2443-1</v>
      </c>
      <c r="C933" s="7" t="str">
        <f t="shared" ref="C933:C935" si="558">"隐身人"</f>
        <v>隐身人</v>
      </c>
      <c r="D933" s="7" t="str">
        <f t="shared" ref="D933:D935" si="559">"(英) 赫伯特·乔治·威尔斯著；陈震译"</f>
        <v>(英) 赫伯特·乔治·威尔斯著；陈震译</v>
      </c>
      <c r="E933" s="7" t="str">
        <f t="shared" ref="E933:E935" si="560">"中信出版集团股份有限公司"</f>
        <v>中信出版集团股份有限公司</v>
      </c>
      <c r="F933" s="7" t="str">
        <f t="shared" ref="F933:F935" si="561">"I561.45/1397.2"</f>
        <v>I561.45/1397.2</v>
      </c>
    </row>
    <row r="934" customHeight="1" spans="1:6">
      <c r="A934" s="6">
        <v>933</v>
      </c>
      <c r="B934" s="7" t="str">
        <f t="shared" si="557"/>
        <v>978-7-5217-2443-1</v>
      </c>
      <c r="C934" s="7" t="str">
        <f t="shared" si="558"/>
        <v>隐身人</v>
      </c>
      <c r="D934" s="7" t="str">
        <f t="shared" si="559"/>
        <v>(英) 赫伯特·乔治·威尔斯著；陈震译</v>
      </c>
      <c r="E934" s="7" t="str">
        <f t="shared" si="560"/>
        <v>中信出版集团股份有限公司</v>
      </c>
      <c r="F934" s="7" t="str">
        <f t="shared" si="561"/>
        <v>I561.45/1397.2</v>
      </c>
    </row>
    <row r="935" customHeight="1" spans="1:6">
      <c r="A935" s="6">
        <v>934</v>
      </c>
      <c r="B935" s="7" t="str">
        <f t="shared" si="557"/>
        <v>978-7-5217-2443-1</v>
      </c>
      <c r="C935" s="7" t="str">
        <f t="shared" si="558"/>
        <v>隐身人</v>
      </c>
      <c r="D935" s="7" t="str">
        <f t="shared" si="559"/>
        <v>(英) 赫伯特·乔治·威尔斯著；陈震译</v>
      </c>
      <c r="E935" s="7" t="str">
        <f t="shared" si="560"/>
        <v>中信出版集团股份有限公司</v>
      </c>
      <c r="F935" s="7" t="str">
        <f t="shared" si="561"/>
        <v>I561.45/1397.2</v>
      </c>
    </row>
    <row r="936" customHeight="1" spans="1:6">
      <c r="A936" s="6">
        <v>935</v>
      </c>
      <c r="B936" s="7" t="str">
        <f>"978-7-5570-2483-3"</f>
        <v>978-7-5570-2483-3</v>
      </c>
      <c r="C936" s="7" t="str">
        <f>"改变历史的香料商人"</f>
        <v>改变历史的香料商人</v>
      </c>
      <c r="D936" s="7" t="str">
        <f>"(英) 贾尔斯·米尔顿著Giles Milton；龚树川译"</f>
        <v>(英) 贾尔斯·米尔顿著Giles Milton；龚树川译</v>
      </c>
      <c r="E936" s="7" t="str">
        <f>"广东旅游出版社"</f>
        <v>广东旅游出版社</v>
      </c>
      <c r="F936" s="7" t="str">
        <f>"I561.45/1455"</f>
        <v>I561.45/1455</v>
      </c>
    </row>
    <row r="937" customHeight="1" spans="1:6">
      <c r="A937" s="6">
        <v>936</v>
      </c>
      <c r="B937" s="7" t="str">
        <f>"978-7-5570-2483-3"</f>
        <v>978-7-5570-2483-3</v>
      </c>
      <c r="C937" s="7" t="str">
        <f>"改变历史的香料商人"</f>
        <v>改变历史的香料商人</v>
      </c>
      <c r="D937" s="7" t="str">
        <f>"(英) 贾尔斯·米尔顿著Giles Milton；龚树川译"</f>
        <v>(英) 贾尔斯·米尔顿著Giles Milton；龚树川译</v>
      </c>
      <c r="E937" s="7" t="str">
        <f>"广东旅游出版社"</f>
        <v>广东旅游出版社</v>
      </c>
      <c r="F937" s="7" t="str">
        <f>"I561.45/1455"</f>
        <v>I561.45/1455</v>
      </c>
    </row>
    <row r="938" customHeight="1" spans="1:6">
      <c r="A938" s="6">
        <v>937</v>
      </c>
      <c r="B938" s="7" t="str">
        <f t="shared" ref="B938:B941" si="562">"978-7-5133-4600-9"</f>
        <v>978-7-5133-4600-9</v>
      </c>
      <c r="C938" s="7" t="str">
        <f>"阿提库斯·庞德来断案"</f>
        <v>阿提库斯·庞德来断案</v>
      </c>
      <c r="D938" s="7" t="str">
        <f>"(英)艾伦·康威著；王雨佳译"</f>
        <v>(英)艾伦·康威著；王雨佳译</v>
      </c>
      <c r="E938" s="7" t="str">
        <f t="shared" ref="E938:E941" si="563">"新星出版社"</f>
        <v>新星出版社</v>
      </c>
      <c r="F938" s="7" t="str">
        <f>"I561.45/1456=D"</f>
        <v>I561.45/1456=D</v>
      </c>
    </row>
    <row r="939" customHeight="1" spans="1:6">
      <c r="A939" s="6">
        <v>938</v>
      </c>
      <c r="B939" s="7" t="str">
        <f t="shared" si="562"/>
        <v>978-7-5133-4600-9</v>
      </c>
      <c r="C939" s="7" t="str">
        <f>"阿提库斯·庞德来断案"</f>
        <v>阿提库斯·庞德来断案</v>
      </c>
      <c r="D939" s="7" t="str">
        <f>"(英)艾伦·康威著；王雨佳译"</f>
        <v>(英)艾伦·康威著；王雨佳译</v>
      </c>
      <c r="E939" s="7" t="str">
        <f t="shared" si="563"/>
        <v>新星出版社</v>
      </c>
      <c r="F939" s="7" t="str">
        <f>"I561.45/1456=D"</f>
        <v>I561.45/1456=D</v>
      </c>
    </row>
    <row r="940" customHeight="1" spans="1:6">
      <c r="A940" s="6">
        <v>939</v>
      </c>
      <c r="B940" s="7" t="str">
        <f t="shared" si="562"/>
        <v>978-7-5133-4600-9</v>
      </c>
      <c r="C940" s="7" t="str">
        <f>"猫头鹰谋杀案"</f>
        <v>猫头鹰谋杀案</v>
      </c>
      <c r="D940" s="7" t="str">
        <f>"(英) 安东尼·霍洛维茨著；王雨佳译"</f>
        <v>(英) 安东尼·霍洛维茨著；王雨佳译</v>
      </c>
      <c r="E940" s="7" t="str">
        <f t="shared" si="563"/>
        <v>新星出版社</v>
      </c>
      <c r="F940" s="7" t="str">
        <f>"I561.45/1457"</f>
        <v>I561.45/1457</v>
      </c>
    </row>
    <row r="941" customHeight="1" spans="1:6">
      <c r="A941" s="6">
        <v>940</v>
      </c>
      <c r="B941" s="7" t="str">
        <f t="shared" si="562"/>
        <v>978-7-5133-4600-9</v>
      </c>
      <c r="C941" s="7" t="str">
        <f>"猫头鹰谋杀案"</f>
        <v>猫头鹰谋杀案</v>
      </c>
      <c r="D941" s="7" t="str">
        <f>"(英) 安东尼·霍洛维茨著；王雨佳译"</f>
        <v>(英) 安东尼·霍洛维茨著；王雨佳译</v>
      </c>
      <c r="E941" s="7" t="str">
        <f t="shared" si="563"/>
        <v>新星出版社</v>
      </c>
      <c r="F941" s="7" t="str">
        <f>"I561.45/1457"</f>
        <v>I561.45/1457</v>
      </c>
    </row>
    <row r="942" customHeight="1" spans="1:6">
      <c r="A942" s="6">
        <v>941</v>
      </c>
      <c r="B942" s="7" t="str">
        <f t="shared" ref="B942:B944" si="564">"978-7-5411-6048-6"</f>
        <v>978-7-5411-6048-6</v>
      </c>
      <c r="C942" s="7" t="str">
        <f t="shared" ref="C942:C944" si="565">"斑马流浪者"</f>
        <v>斑马流浪者</v>
      </c>
      <c r="D942" s="7" t="str">
        <f t="shared" ref="D942:D944" si="566">"(英) 阿萨琳·维里耶·欧卢米著；何碧云译"</f>
        <v>(英) 阿萨琳·维里耶·欧卢米著；何碧云译</v>
      </c>
      <c r="E942" s="7" t="str">
        <f t="shared" ref="E942:E944" si="567">"四川文艺出版社"</f>
        <v>四川文艺出版社</v>
      </c>
      <c r="F942" s="7" t="str">
        <f t="shared" ref="F942:F944" si="568">"I561.45/1458"</f>
        <v>I561.45/1458</v>
      </c>
    </row>
    <row r="943" customHeight="1" spans="1:6">
      <c r="A943" s="6">
        <v>942</v>
      </c>
      <c r="B943" s="7" t="str">
        <f t="shared" si="564"/>
        <v>978-7-5411-6048-6</v>
      </c>
      <c r="C943" s="7" t="str">
        <f t="shared" si="565"/>
        <v>斑马流浪者</v>
      </c>
      <c r="D943" s="7" t="str">
        <f t="shared" si="566"/>
        <v>(英) 阿萨琳·维里耶·欧卢米著；何碧云译</v>
      </c>
      <c r="E943" s="7" t="str">
        <f t="shared" si="567"/>
        <v>四川文艺出版社</v>
      </c>
      <c r="F943" s="7" t="str">
        <f t="shared" si="568"/>
        <v>I561.45/1458</v>
      </c>
    </row>
    <row r="944" customHeight="1" spans="1:6">
      <c r="A944" s="6">
        <v>943</v>
      </c>
      <c r="B944" s="7" t="str">
        <f t="shared" si="564"/>
        <v>978-7-5411-6048-6</v>
      </c>
      <c r="C944" s="7" t="str">
        <f t="shared" si="565"/>
        <v>斑马流浪者</v>
      </c>
      <c r="D944" s="7" t="str">
        <f t="shared" si="566"/>
        <v>(英) 阿萨琳·维里耶·欧卢米著；何碧云译</v>
      </c>
      <c r="E944" s="7" t="str">
        <f t="shared" si="567"/>
        <v>四川文艺出版社</v>
      </c>
      <c r="F944" s="7" t="str">
        <f t="shared" si="568"/>
        <v>I561.45/1458</v>
      </c>
    </row>
    <row r="945" customHeight="1" spans="1:6">
      <c r="A945" s="6">
        <v>944</v>
      </c>
      <c r="B945" s="8" t="s">
        <v>10122</v>
      </c>
      <c r="C945" s="8" t="s">
        <v>10123</v>
      </c>
      <c r="D945" s="8" t="s">
        <v>10124</v>
      </c>
      <c r="E945" s="8" t="s">
        <v>539</v>
      </c>
      <c r="F945" s="8" t="s">
        <v>10125</v>
      </c>
    </row>
    <row r="946" customHeight="1" spans="1:6">
      <c r="A946" s="6">
        <v>945</v>
      </c>
      <c r="B946" s="8" t="s">
        <v>10122</v>
      </c>
      <c r="C946" s="8" t="s">
        <v>10123</v>
      </c>
      <c r="D946" s="8" t="s">
        <v>10124</v>
      </c>
      <c r="E946" s="8" t="s">
        <v>539</v>
      </c>
      <c r="F946" s="8" t="s">
        <v>10125</v>
      </c>
    </row>
    <row r="947" customHeight="1" spans="1:6">
      <c r="A947" s="6">
        <v>946</v>
      </c>
      <c r="B947" s="7" t="str">
        <f t="shared" ref="B947:B949" si="569">"978-7-5217-3524-6"</f>
        <v>978-7-5217-3524-6</v>
      </c>
      <c r="C947" s="7" t="str">
        <f t="shared" ref="C947:C949" si="570">"莫罗博士岛"</f>
        <v>莫罗博士岛</v>
      </c>
      <c r="D947" s="7" t="str">
        <f t="shared" ref="D947:D949" si="571">"(英) 赫伯特·乔治·威尔斯著；陈胤全译"</f>
        <v>(英) 赫伯特·乔治·威尔斯著；陈胤全译</v>
      </c>
      <c r="E947" s="7" t="str">
        <f t="shared" ref="E947:E949" si="572">"中信出版集团股份有限公司"</f>
        <v>中信出版集团股份有限公司</v>
      </c>
      <c r="F947" s="7" t="str">
        <f t="shared" ref="F947:F949" si="573">"I561.45/906.2"</f>
        <v>I561.45/906.2</v>
      </c>
    </row>
    <row r="948" customHeight="1" spans="1:6">
      <c r="A948" s="6">
        <v>947</v>
      </c>
      <c r="B948" s="7" t="str">
        <f t="shared" si="569"/>
        <v>978-7-5217-3524-6</v>
      </c>
      <c r="C948" s="7" t="str">
        <f t="shared" si="570"/>
        <v>莫罗博士岛</v>
      </c>
      <c r="D948" s="7" t="str">
        <f t="shared" si="571"/>
        <v>(英) 赫伯特·乔治·威尔斯著；陈胤全译</v>
      </c>
      <c r="E948" s="7" t="str">
        <f t="shared" si="572"/>
        <v>中信出版集团股份有限公司</v>
      </c>
      <c r="F948" s="7" t="str">
        <f t="shared" si="573"/>
        <v>I561.45/906.2</v>
      </c>
    </row>
    <row r="949" customHeight="1" spans="1:6">
      <c r="A949" s="6">
        <v>948</v>
      </c>
      <c r="B949" s="7" t="str">
        <f t="shared" si="569"/>
        <v>978-7-5217-3524-6</v>
      </c>
      <c r="C949" s="7" t="str">
        <f t="shared" si="570"/>
        <v>莫罗博士岛</v>
      </c>
      <c r="D949" s="7" t="str">
        <f t="shared" si="571"/>
        <v>(英) 赫伯特·乔治·威尔斯著；陈胤全译</v>
      </c>
      <c r="E949" s="7" t="str">
        <f t="shared" si="572"/>
        <v>中信出版集团股份有限公司</v>
      </c>
      <c r="F949" s="7" t="str">
        <f t="shared" si="573"/>
        <v>I561.45/906.2</v>
      </c>
    </row>
    <row r="950" customHeight="1" spans="1:6">
      <c r="A950" s="6">
        <v>949</v>
      </c>
      <c r="B950" s="7" t="str">
        <f>"978-7-5496-3433-0"</f>
        <v>978-7-5496-3433-0</v>
      </c>
      <c r="C950" s="7" t="str">
        <f>"深时之旅"</f>
        <v>深时之旅</v>
      </c>
      <c r="D950" s="7" t="str">
        <f>"(英) 罗伯特·麦克法伦著；王如菲译"</f>
        <v>(英) 罗伯特·麦克法伦著；王如菲译</v>
      </c>
      <c r="E950" s="7" t="str">
        <f>"文汇出版社"</f>
        <v>文汇出版社</v>
      </c>
      <c r="F950" s="7" t="str">
        <f>"I561.55/67"</f>
        <v>I561.55/67</v>
      </c>
    </row>
    <row r="951" customHeight="1" spans="1:6">
      <c r="A951" s="6">
        <v>950</v>
      </c>
      <c r="B951" s="7" t="str">
        <f>"978-7-5496-3433-0"</f>
        <v>978-7-5496-3433-0</v>
      </c>
      <c r="C951" s="7" t="str">
        <f>"深时之旅"</f>
        <v>深时之旅</v>
      </c>
      <c r="D951" s="7" t="str">
        <f>"(英) 罗伯特·麦克法伦著；王如菲译"</f>
        <v>(英) 罗伯特·麦克法伦著；王如菲译</v>
      </c>
      <c r="E951" s="7" t="str">
        <f>"文汇出版社"</f>
        <v>文汇出版社</v>
      </c>
      <c r="F951" s="7" t="str">
        <f>"I561.55/67"</f>
        <v>I561.55/67</v>
      </c>
    </row>
    <row r="952" customHeight="1" spans="1:6">
      <c r="A952" s="6">
        <v>951</v>
      </c>
      <c r="B952" s="7" t="str">
        <f t="shared" ref="B952:B954" si="574">"978-7-108-05305-3"</f>
        <v>978-7-108-05305-3</v>
      </c>
      <c r="C952" s="7" t="str">
        <f t="shared" ref="C952:C954" si="575">"哈希的故事：世界上最具暴利的毒品业内幕"</f>
        <v>哈希的故事：世界上最具暴利的毒品业内幕</v>
      </c>
      <c r="D952" s="7" t="str">
        <f t="shared" ref="D952:D954" si="576">"(英) 温斯利·克拉克森著；珍栎译"</f>
        <v>(英) 温斯利·克拉克森著；珍栎译</v>
      </c>
      <c r="E952" s="7" t="str">
        <f t="shared" ref="E952:E954" si="577">"三联书店"</f>
        <v>三联书店</v>
      </c>
      <c r="F952" s="7" t="str">
        <f t="shared" ref="F952:F954" si="578">"I561.55/68"</f>
        <v>I561.55/68</v>
      </c>
    </row>
    <row r="953" customHeight="1" spans="1:6">
      <c r="A953" s="6">
        <v>952</v>
      </c>
      <c r="B953" s="7" t="str">
        <f t="shared" si="574"/>
        <v>978-7-108-05305-3</v>
      </c>
      <c r="C953" s="7" t="str">
        <f t="shared" si="575"/>
        <v>哈希的故事：世界上最具暴利的毒品业内幕</v>
      </c>
      <c r="D953" s="7" t="str">
        <f t="shared" si="576"/>
        <v>(英) 温斯利·克拉克森著；珍栎译</v>
      </c>
      <c r="E953" s="7" t="str">
        <f t="shared" si="577"/>
        <v>三联书店</v>
      </c>
      <c r="F953" s="7" t="str">
        <f t="shared" si="578"/>
        <v>I561.55/68</v>
      </c>
    </row>
    <row r="954" customHeight="1" spans="1:6">
      <c r="A954" s="6">
        <v>953</v>
      </c>
      <c r="B954" s="7" t="str">
        <f t="shared" si="574"/>
        <v>978-7-108-05305-3</v>
      </c>
      <c r="C954" s="7" t="str">
        <f t="shared" si="575"/>
        <v>哈希的故事：世界上最具暴利的毒品业内幕</v>
      </c>
      <c r="D954" s="7" t="str">
        <f t="shared" si="576"/>
        <v>(英) 温斯利·克拉克森著；珍栎译</v>
      </c>
      <c r="E954" s="7" t="str">
        <f t="shared" si="577"/>
        <v>三联书店</v>
      </c>
      <c r="F954" s="7" t="str">
        <f t="shared" si="578"/>
        <v>I561.55/68</v>
      </c>
    </row>
    <row r="955" customHeight="1" spans="1:6">
      <c r="A955" s="6">
        <v>954</v>
      </c>
      <c r="B955" s="7" t="str">
        <f t="shared" ref="B955:B957" si="579">"978-7-220-12288-0"</f>
        <v>978-7-220-12288-0</v>
      </c>
      <c r="C955" s="7" t="str">
        <f t="shared" ref="C955:C957" si="580">"追逐春日"</f>
        <v>追逐春日</v>
      </c>
      <c r="D955" s="7" t="str">
        <f t="shared" ref="D955:D957" si="581">"(英) 爱德华·托马斯著；巫和雄， 邱文芳， 陈怿名译"</f>
        <v>(英) 爱德华·托马斯著；巫和雄， 邱文芳， 陈怿名译</v>
      </c>
      <c r="E955" s="7" t="str">
        <f t="shared" ref="E955:E960" si="582">"四川人民出版社"</f>
        <v>四川人民出版社</v>
      </c>
      <c r="F955" s="7" t="str">
        <f t="shared" ref="F955:F957" si="583">"I561.64/51"</f>
        <v>I561.64/51</v>
      </c>
    </row>
    <row r="956" customHeight="1" spans="1:6">
      <c r="A956" s="6">
        <v>955</v>
      </c>
      <c r="B956" s="7" t="str">
        <f t="shared" si="579"/>
        <v>978-7-220-12288-0</v>
      </c>
      <c r="C956" s="7" t="str">
        <f t="shared" si="580"/>
        <v>追逐春日</v>
      </c>
      <c r="D956" s="7" t="str">
        <f t="shared" si="581"/>
        <v>(英) 爱德华·托马斯著；巫和雄， 邱文芳， 陈怿名译</v>
      </c>
      <c r="E956" s="7" t="str">
        <f t="shared" si="582"/>
        <v>四川人民出版社</v>
      </c>
      <c r="F956" s="7" t="str">
        <f t="shared" si="583"/>
        <v>I561.64/51</v>
      </c>
    </row>
    <row r="957" customHeight="1" spans="1:6">
      <c r="A957" s="6">
        <v>956</v>
      </c>
      <c r="B957" s="7" t="str">
        <f t="shared" si="579"/>
        <v>978-7-220-12288-0</v>
      </c>
      <c r="C957" s="7" t="str">
        <f t="shared" si="580"/>
        <v>追逐春日</v>
      </c>
      <c r="D957" s="7" t="str">
        <f t="shared" si="581"/>
        <v>(英) 爱德华·托马斯著；巫和雄， 邱文芳， 陈怿名译</v>
      </c>
      <c r="E957" s="7" t="str">
        <f t="shared" si="582"/>
        <v>四川人民出版社</v>
      </c>
      <c r="F957" s="7" t="str">
        <f t="shared" si="583"/>
        <v>I561.64/51</v>
      </c>
    </row>
    <row r="958" customHeight="1" spans="1:6">
      <c r="A958" s="6">
        <v>957</v>
      </c>
      <c r="B958" s="7" t="str">
        <f t="shared" ref="B958:B960" si="584">"978-7-220-12295-8"</f>
        <v>978-7-220-12295-8</v>
      </c>
      <c r="C958" s="7" t="str">
        <f t="shared" ref="C958:C960" si="585">"四季随笔"</f>
        <v>四季随笔</v>
      </c>
      <c r="D958" s="7" t="str">
        <f t="shared" ref="D958:D960" si="586">"(英) 乔治·吉辛著Henry Ryecroft；刘荣跃译"</f>
        <v>(英) 乔治·吉辛著Henry Ryecroft；刘荣跃译</v>
      </c>
      <c r="E958" s="7" t="str">
        <f t="shared" si="582"/>
        <v>四川人民出版社</v>
      </c>
      <c r="F958" s="7" t="str">
        <f t="shared" ref="F958:F960" si="587">"I561.64/8.2"</f>
        <v>I561.64/8.2</v>
      </c>
    </row>
    <row r="959" customHeight="1" spans="1:6">
      <c r="A959" s="6">
        <v>958</v>
      </c>
      <c r="B959" s="7" t="str">
        <f t="shared" si="584"/>
        <v>978-7-220-12295-8</v>
      </c>
      <c r="C959" s="7" t="str">
        <f t="shared" si="585"/>
        <v>四季随笔</v>
      </c>
      <c r="D959" s="7" t="str">
        <f t="shared" si="586"/>
        <v>(英) 乔治·吉辛著Henry Ryecroft；刘荣跃译</v>
      </c>
      <c r="E959" s="7" t="str">
        <f t="shared" si="582"/>
        <v>四川人民出版社</v>
      </c>
      <c r="F959" s="7" t="str">
        <f t="shared" si="587"/>
        <v>I561.64/8.2</v>
      </c>
    </row>
    <row r="960" customHeight="1" spans="1:6">
      <c r="A960" s="6">
        <v>959</v>
      </c>
      <c r="B960" s="7" t="str">
        <f t="shared" si="584"/>
        <v>978-7-220-12295-8</v>
      </c>
      <c r="C960" s="7" t="str">
        <f t="shared" si="585"/>
        <v>四季随笔</v>
      </c>
      <c r="D960" s="7" t="str">
        <f t="shared" si="586"/>
        <v>(英) 乔治·吉辛著Henry Ryecroft；刘荣跃译</v>
      </c>
      <c r="E960" s="7" t="str">
        <f t="shared" si="582"/>
        <v>四川人民出版社</v>
      </c>
      <c r="F960" s="7" t="str">
        <f t="shared" si="587"/>
        <v>I561.64/8.2</v>
      </c>
    </row>
    <row r="961" customHeight="1" spans="1:6">
      <c r="A961" s="6">
        <v>960</v>
      </c>
      <c r="B961" s="7" t="str">
        <f t="shared" ref="B961:B966" si="588">"978-7-5217-1813-3"</f>
        <v>978-7-5217-1813-3</v>
      </c>
      <c r="C961" s="7" t="str">
        <f>"另一片天空下：走进历史的全球之旅．Ⅰ：a global journey into history"</f>
        <v>另一片天空下：走进历史的全球之旅．Ⅰ：a global journey into history</v>
      </c>
      <c r="D961" s="7" t="str">
        <f t="shared" ref="D961:D966" si="589">"(英) 诺曼·戴维斯著Norman Davies；曾小楚译"</f>
        <v>(英) 诺曼·戴维斯著Norman Davies；曾小楚译</v>
      </c>
      <c r="E961" s="7" t="str">
        <f t="shared" ref="E961:E966" si="590">"中信出版集团股份有限公司"</f>
        <v>中信出版集团股份有限公司</v>
      </c>
      <c r="F961" s="7" t="str">
        <f>"I561.65/168/1"</f>
        <v>I561.65/168/1</v>
      </c>
    </row>
    <row r="962" customHeight="1" spans="1:6">
      <c r="A962" s="6">
        <v>961</v>
      </c>
      <c r="B962" s="7" t="str">
        <f t="shared" si="588"/>
        <v>978-7-5217-1813-3</v>
      </c>
      <c r="C962" s="7" t="str">
        <f>"另一片天空下：走进历史的全球之旅．Ⅰ：a global journey into history"</f>
        <v>另一片天空下：走进历史的全球之旅．Ⅰ：a global journey into history</v>
      </c>
      <c r="D962" s="7" t="str">
        <f t="shared" si="589"/>
        <v>(英) 诺曼·戴维斯著Norman Davies；曾小楚译</v>
      </c>
      <c r="E962" s="7" t="str">
        <f t="shared" si="590"/>
        <v>中信出版集团股份有限公司</v>
      </c>
      <c r="F962" s="7" t="str">
        <f>"I561.65/168/1"</f>
        <v>I561.65/168/1</v>
      </c>
    </row>
    <row r="963" customHeight="1" spans="1:6">
      <c r="A963" s="6">
        <v>962</v>
      </c>
      <c r="B963" s="7" t="str">
        <f t="shared" si="588"/>
        <v>978-7-5217-1813-3</v>
      </c>
      <c r="C963" s="7" t="str">
        <f>"另一片天空下：走进历史的全球之旅．Ⅱ：a global journey into history"</f>
        <v>另一片天空下：走进历史的全球之旅．Ⅱ：a global journey into history</v>
      </c>
      <c r="D963" s="7" t="str">
        <f t="shared" si="589"/>
        <v>(英) 诺曼·戴维斯著Norman Davies；曾小楚译</v>
      </c>
      <c r="E963" s="7" t="str">
        <f t="shared" si="590"/>
        <v>中信出版集团股份有限公司</v>
      </c>
      <c r="F963" s="7" t="str">
        <f>"I561.65/168/2"</f>
        <v>I561.65/168/2</v>
      </c>
    </row>
    <row r="964" customHeight="1" spans="1:6">
      <c r="A964" s="6">
        <v>963</v>
      </c>
      <c r="B964" s="7" t="str">
        <f t="shared" si="588"/>
        <v>978-7-5217-1813-3</v>
      </c>
      <c r="C964" s="7" t="str">
        <f>"另一片天空下：走进历史的全球之旅．Ⅱ：a global journey into history"</f>
        <v>另一片天空下：走进历史的全球之旅．Ⅱ：a global journey into history</v>
      </c>
      <c r="D964" s="7" t="str">
        <f t="shared" si="589"/>
        <v>(英) 诺曼·戴维斯著Norman Davies；曾小楚译</v>
      </c>
      <c r="E964" s="7" t="str">
        <f t="shared" si="590"/>
        <v>中信出版集团股份有限公司</v>
      </c>
      <c r="F964" s="7" t="str">
        <f>"I561.65/168/2"</f>
        <v>I561.65/168/2</v>
      </c>
    </row>
    <row r="965" customHeight="1" spans="1:6">
      <c r="A965" s="6">
        <v>964</v>
      </c>
      <c r="B965" s="7" t="str">
        <f t="shared" si="588"/>
        <v>978-7-5217-1813-3</v>
      </c>
      <c r="C965" s="7" t="str">
        <f>"另一片天空下：走进历史的全球之旅．Ⅲ：a global journey into history"</f>
        <v>另一片天空下：走进历史的全球之旅．Ⅲ：a global journey into history</v>
      </c>
      <c r="D965" s="7" t="str">
        <f t="shared" si="589"/>
        <v>(英) 诺曼·戴维斯著Norman Davies；曾小楚译</v>
      </c>
      <c r="E965" s="7" t="str">
        <f t="shared" si="590"/>
        <v>中信出版集团股份有限公司</v>
      </c>
      <c r="F965" s="7" t="str">
        <f>"I561.65/168/3"</f>
        <v>I561.65/168/3</v>
      </c>
    </row>
    <row r="966" customHeight="1" spans="1:6">
      <c r="A966" s="6">
        <v>965</v>
      </c>
      <c r="B966" s="7" t="str">
        <f t="shared" si="588"/>
        <v>978-7-5217-1813-3</v>
      </c>
      <c r="C966" s="7" t="str">
        <f>"另一片天空下：走进历史的全球之旅．Ⅲ：a global journey into history"</f>
        <v>另一片天空下：走进历史的全球之旅．Ⅲ：a global journey into history</v>
      </c>
      <c r="D966" s="7" t="str">
        <f t="shared" si="589"/>
        <v>(英) 诺曼·戴维斯著Norman Davies；曾小楚译</v>
      </c>
      <c r="E966" s="7" t="str">
        <f t="shared" si="590"/>
        <v>中信出版集团股份有限公司</v>
      </c>
      <c r="F966" s="7" t="str">
        <f>"I561.65/168/3"</f>
        <v>I561.65/168/3</v>
      </c>
    </row>
    <row r="967" customHeight="1" spans="1:6">
      <c r="A967" s="6">
        <v>966</v>
      </c>
      <c r="B967" s="7" t="str">
        <f>"978-7-5596-5393-2"</f>
        <v>978-7-5596-5393-2</v>
      </c>
      <c r="C967" s="7" t="str">
        <f>"书店里的七种人"</f>
        <v>书店里的七种人</v>
      </c>
      <c r="D967" s="7" t="str">
        <f>"(英) 肖恩·白塞尔著；姚瑶译"</f>
        <v>(英) 肖恩·白塞尔著；姚瑶译</v>
      </c>
      <c r="E967" s="7" t="str">
        <f>"北京联合出版公司"</f>
        <v>北京联合出版公司</v>
      </c>
      <c r="F967" s="7" t="str">
        <f>"I561.65/169"</f>
        <v>I561.65/169</v>
      </c>
    </row>
    <row r="968" customHeight="1" spans="1:6">
      <c r="A968" s="6">
        <v>967</v>
      </c>
      <c r="B968" s="7" t="str">
        <f>"978-7-5596-5393-2"</f>
        <v>978-7-5596-5393-2</v>
      </c>
      <c r="C968" s="7" t="str">
        <f>"书店里的七种人"</f>
        <v>书店里的七种人</v>
      </c>
      <c r="D968" s="7" t="str">
        <f>"(英) 肖恩·白塞尔著；姚瑶译"</f>
        <v>(英) 肖恩·白塞尔著；姚瑶译</v>
      </c>
      <c r="E968" s="7" t="str">
        <f>"北京联合出版公司"</f>
        <v>北京联合出版公司</v>
      </c>
      <c r="F968" s="7" t="str">
        <f>"I561.65/169"</f>
        <v>I561.65/169</v>
      </c>
    </row>
    <row r="969" customHeight="1" spans="1:6">
      <c r="A969" s="6">
        <v>968</v>
      </c>
      <c r="B969" s="7" t="str">
        <f t="shared" ref="B969:B971" si="591">"978-7-5327-8659-6"</f>
        <v>978-7-5327-8659-6</v>
      </c>
      <c r="C969" s="7" t="str">
        <f t="shared" ref="C969:C971" si="592">"布鲁克林"</f>
        <v>布鲁克林</v>
      </c>
      <c r="D969" s="7" t="str">
        <f t="shared" ref="D969:D971" si="593">"(爱尔兰) 科尔姆·托宾著Colm Toibin；柏栎译"</f>
        <v>(爱尔兰) 科尔姆·托宾著Colm Toibin；柏栎译</v>
      </c>
      <c r="E969" s="7" t="str">
        <f t="shared" ref="E969:E971" si="594">"上海译文出版社有限公司"</f>
        <v>上海译文出版社有限公司</v>
      </c>
      <c r="F969" s="7" t="str">
        <f t="shared" ref="F969:F971" si="595">"I562.45/101"</f>
        <v>I562.45/101</v>
      </c>
    </row>
    <row r="970" customHeight="1" spans="1:6">
      <c r="A970" s="6">
        <v>969</v>
      </c>
      <c r="B970" s="7" t="str">
        <f t="shared" si="591"/>
        <v>978-7-5327-8659-6</v>
      </c>
      <c r="C970" s="7" t="str">
        <f t="shared" si="592"/>
        <v>布鲁克林</v>
      </c>
      <c r="D970" s="7" t="str">
        <f t="shared" si="593"/>
        <v>(爱尔兰) 科尔姆·托宾著Colm Toibin；柏栎译</v>
      </c>
      <c r="E970" s="7" t="str">
        <f t="shared" si="594"/>
        <v>上海译文出版社有限公司</v>
      </c>
      <c r="F970" s="7" t="str">
        <f t="shared" si="595"/>
        <v>I562.45/101</v>
      </c>
    </row>
    <row r="971" customHeight="1" spans="1:6">
      <c r="A971" s="6">
        <v>970</v>
      </c>
      <c r="B971" s="7" t="str">
        <f t="shared" si="591"/>
        <v>978-7-5327-8659-6</v>
      </c>
      <c r="C971" s="7" t="str">
        <f t="shared" si="592"/>
        <v>布鲁克林</v>
      </c>
      <c r="D971" s="7" t="str">
        <f t="shared" si="593"/>
        <v>(爱尔兰) 科尔姆·托宾著Colm Toibin；柏栎译</v>
      </c>
      <c r="E971" s="7" t="str">
        <f t="shared" si="594"/>
        <v>上海译文出版社有限公司</v>
      </c>
      <c r="F971" s="7" t="str">
        <f t="shared" si="595"/>
        <v>I562.45/101</v>
      </c>
    </row>
    <row r="972" customHeight="1" spans="1:6">
      <c r="A972" s="6">
        <v>971</v>
      </c>
      <c r="B972" s="7" t="str">
        <f t="shared" ref="B972:B974" si="596">"978-7-02-016576-6"</f>
        <v>978-7-02-016576-6</v>
      </c>
      <c r="C972" s="7" t="str">
        <f t="shared" ref="C972:C974" si="597">"十三种观看方式"</f>
        <v>十三种观看方式</v>
      </c>
      <c r="D972" s="7" t="str">
        <f t="shared" ref="D972:D974" si="598">"(爱尔兰) 科伦·麦凯恩著Colum McCann；马爱农译"</f>
        <v>(爱尔兰) 科伦·麦凯恩著Colum McCann；马爱农译</v>
      </c>
      <c r="E972" s="7" t="str">
        <f t="shared" ref="E972:E974" si="599">"人民文学出版社"</f>
        <v>人民文学出版社</v>
      </c>
      <c r="F972" s="7" t="str">
        <f t="shared" ref="F972:F974" si="600">"I562.45/102"</f>
        <v>I562.45/102</v>
      </c>
    </row>
    <row r="973" customHeight="1" spans="1:6">
      <c r="A973" s="6">
        <v>972</v>
      </c>
      <c r="B973" s="7" t="str">
        <f t="shared" si="596"/>
        <v>978-7-02-016576-6</v>
      </c>
      <c r="C973" s="7" t="str">
        <f t="shared" si="597"/>
        <v>十三种观看方式</v>
      </c>
      <c r="D973" s="7" t="str">
        <f t="shared" si="598"/>
        <v>(爱尔兰) 科伦·麦凯恩著Colum McCann；马爱农译</v>
      </c>
      <c r="E973" s="7" t="str">
        <f t="shared" si="599"/>
        <v>人民文学出版社</v>
      </c>
      <c r="F973" s="7" t="str">
        <f t="shared" si="600"/>
        <v>I562.45/102</v>
      </c>
    </row>
    <row r="974" customHeight="1" spans="1:6">
      <c r="A974" s="6">
        <v>973</v>
      </c>
      <c r="B974" s="7" t="str">
        <f t="shared" si="596"/>
        <v>978-7-02-016576-6</v>
      </c>
      <c r="C974" s="7" t="str">
        <f t="shared" si="597"/>
        <v>十三种观看方式</v>
      </c>
      <c r="D974" s="7" t="str">
        <f t="shared" si="598"/>
        <v>(爱尔兰) 科伦·麦凯恩著Colum McCann；马爱农译</v>
      </c>
      <c r="E974" s="7" t="str">
        <f t="shared" si="599"/>
        <v>人民文学出版社</v>
      </c>
      <c r="F974" s="7" t="str">
        <f t="shared" si="600"/>
        <v>I562.45/102</v>
      </c>
    </row>
    <row r="975" customHeight="1" spans="1:6">
      <c r="A975" s="6">
        <v>974</v>
      </c>
      <c r="B975" s="7" t="str">
        <f>"978-7-5455-6310-8"</f>
        <v>978-7-5455-6310-8</v>
      </c>
      <c r="C975" s="7" t="str">
        <f>"在海上"</f>
        <v>在海上</v>
      </c>
      <c r="D975" s="7" t="str">
        <f>"(爱尔兰) 保罗·林奇著Paul Lynch；刘勇军译"</f>
        <v>(爱尔兰) 保罗·林奇著Paul Lynch；刘勇军译</v>
      </c>
      <c r="E975" s="7" t="str">
        <f>"天地出版社"</f>
        <v>天地出版社</v>
      </c>
      <c r="F975" s="7" t="str">
        <f>"I562.45/103"</f>
        <v>I562.45/103</v>
      </c>
    </row>
    <row r="976" customHeight="1" spans="1:6">
      <c r="A976" s="6">
        <v>975</v>
      </c>
      <c r="B976" s="7" t="str">
        <f>"978-7-5455-6310-8"</f>
        <v>978-7-5455-6310-8</v>
      </c>
      <c r="C976" s="7" t="str">
        <f>"在海上"</f>
        <v>在海上</v>
      </c>
      <c r="D976" s="7" t="str">
        <f>"(爱尔兰) 保罗·林奇著Paul Lynch；刘勇军译"</f>
        <v>(爱尔兰) 保罗·林奇著Paul Lynch；刘勇军译</v>
      </c>
      <c r="E976" s="7" t="str">
        <f>"天地出版社"</f>
        <v>天地出版社</v>
      </c>
      <c r="F976" s="7" t="str">
        <f>"I562.45/103"</f>
        <v>I562.45/103</v>
      </c>
    </row>
    <row r="977" customHeight="1" spans="1:6">
      <c r="A977" s="6">
        <v>976</v>
      </c>
      <c r="B977" s="7" t="str">
        <f>"978-7-5217-3086-9"</f>
        <v>978-7-5217-3086-9</v>
      </c>
      <c r="C977" s="7" t="str">
        <f>"一个青年艺术家的画像"</f>
        <v>一个青年艺术家的画像</v>
      </c>
      <c r="D977" s="7" t="str">
        <f>"(爱尔兰) 詹姆斯·乔伊斯著；辛彩娜译"</f>
        <v>(爱尔兰) 詹姆斯·乔伊斯著；辛彩娜译</v>
      </c>
      <c r="E977" s="7" t="str">
        <f>"中信出版集团股份有限公司"</f>
        <v>中信出版集团股份有限公司</v>
      </c>
      <c r="F977" s="7" t="str">
        <f>"I562.45/82.2"</f>
        <v>I562.45/82.2</v>
      </c>
    </row>
    <row r="978" customHeight="1" spans="1:6">
      <c r="A978" s="6">
        <v>977</v>
      </c>
      <c r="B978" s="7" t="str">
        <f>"978-7-5217-3086-9"</f>
        <v>978-7-5217-3086-9</v>
      </c>
      <c r="C978" s="7" t="str">
        <f>"一个青年艺术家的画像"</f>
        <v>一个青年艺术家的画像</v>
      </c>
      <c r="D978" s="7" t="str">
        <f>"(爱尔兰) 詹姆斯·乔伊斯著；辛彩娜译"</f>
        <v>(爱尔兰) 詹姆斯·乔伊斯著；辛彩娜译</v>
      </c>
      <c r="E978" s="7" t="str">
        <f>"中信出版集团股份有限公司"</f>
        <v>中信出版集团股份有限公司</v>
      </c>
      <c r="F978" s="7" t="str">
        <f>"I562.45/82.2"</f>
        <v>I562.45/82.2</v>
      </c>
    </row>
    <row r="979" customHeight="1" spans="1:6">
      <c r="A979" s="6">
        <v>978</v>
      </c>
      <c r="B979" s="7" t="str">
        <f t="shared" ref="B979:B981" si="601">"978-7-5212-1498-7"</f>
        <v>978-7-5212-1498-7</v>
      </c>
      <c r="C979" s="7" t="str">
        <f t="shared" ref="C979:C981" si="602">"给妮侬的故事：左拉短篇小说选"</f>
        <v>给妮侬的故事：左拉短篇小说选</v>
      </c>
      <c r="D979" s="7" t="str">
        <f t="shared" ref="D979:D981" si="603">"(法) 埃米尔·左拉著Emile Edouard Charles Antoine Zola；吴岳添译"</f>
        <v>(法) 埃米尔·左拉著Emile Edouard Charles Antoine Zola；吴岳添译</v>
      </c>
      <c r="E979" s="7" t="str">
        <f t="shared" ref="E979:E981" si="604">"作家出版社"</f>
        <v>作家出版社</v>
      </c>
      <c r="F979" s="7" t="str">
        <f t="shared" ref="F979:F981" si="605">"I565.44/662"</f>
        <v>I565.44/662</v>
      </c>
    </row>
    <row r="980" customHeight="1" spans="1:6">
      <c r="A980" s="6">
        <v>979</v>
      </c>
      <c r="B980" s="7" t="str">
        <f t="shared" si="601"/>
        <v>978-7-5212-1498-7</v>
      </c>
      <c r="C980" s="7" t="str">
        <f t="shared" si="602"/>
        <v>给妮侬的故事：左拉短篇小说选</v>
      </c>
      <c r="D980" s="7" t="str">
        <f t="shared" si="603"/>
        <v>(法) 埃米尔·左拉著Emile Edouard Charles Antoine Zola；吴岳添译</v>
      </c>
      <c r="E980" s="7" t="str">
        <f t="shared" si="604"/>
        <v>作家出版社</v>
      </c>
      <c r="F980" s="7" t="str">
        <f t="shared" si="605"/>
        <v>I565.44/662</v>
      </c>
    </row>
    <row r="981" customHeight="1" spans="1:6">
      <c r="A981" s="6">
        <v>980</v>
      </c>
      <c r="B981" s="7" t="str">
        <f t="shared" si="601"/>
        <v>978-7-5212-1498-7</v>
      </c>
      <c r="C981" s="7" t="str">
        <f t="shared" si="602"/>
        <v>给妮侬的故事：左拉短篇小说选</v>
      </c>
      <c r="D981" s="7" t="str">
        <f t="shared" si="603"/>
        <v>(法) 埃米尔·左拉著Emile Edouard Charles Antoine Zola；吴岳添译</v>
      </c>
      <c r="E981" s="7" t="str">
        <f t="shared" si="604"/>
        <v>作家出版社</v>
      </c>
      <c r="F981" s="7" t="str">
        <f t="shared" si="605"/>
        <v>I565.44/662</v>
      </c>
    </row>
    <row r="982" customHeight="1" spans="1:6">
      <c r="A982" s="6">
        <v>981</v>
      </c>
      <c r="B982" s="7" t="str">
        <f>"978-7-02-017026-5"</f>
        <v>978-7-02-017026-5</v>
      </c>
      <c r="C982" s="7" t="str">
        <f>"追寻逝去的时光．第二卷：在少女花影下"</f>
        <v>追寻逝去的时光．第二卷：在少女花影下</v>
      </c>
      <c r="D982" s="7" t="str">
        <f>"(法) 马塞尔·普鲁斯特著；周克希译"</f>
        <v>(法) 马塞尔·普鲁斯特著；周克希译</v>
      </c>
      <c r="E982" s="7" t="str">
        <f>"人民文学出版社"</f>
        <v>人民文学出版社</v>
      </c>
      <c r="F982" s="7" t="str">
        <f>"I565.45/577/2"</f>
        <v>I565.45/577/2</v>
      </c>
    </row>
    <row r="983" customHeight="1" spans="1:6">
      <c r="A983" s="6">
        <v>982</v>
      </c>
      <c r="B983" s="7" t="str">
        <f>"978-7-02-017026-5"</f>
        <v>978-7-02-017026-5</v>
      </c>
      <c r="C983" s="7" t="str">
        <f>"追寻逝去的时光．第二卷：在少女花影下"</f>
        <v>追寻逝去的时光．第二卷：在少女花影下</v>
      </c>
      <c r="D983" s="7" t="str">
        <f>"(法) 马塞尔·普鲁斯特著；周克希译"</f>
        <v>(法) 马塞尔·普鲁斯特著；周克希译</v>
      </c>
      <c r="E983" s="7" t="str">
        <f>"人民文学出版社"</f>
        <v>人民文学出版社</v>
      </c>
      <c r="F983" s="7" t="str">
        <f>"I565.45/577/2"</f>
        <v>I565.45/577/2</v>
      </c>
    </row>
    <row r="984" customHeight="1" spans="1:6">
      <c r="A984" s="6">
        <v>983</v>
      </c>
      <c r="B984" s="7" t="str">
        <f t="shared" ref="B984:B986" si="606">"978-7-5327-8651-0"</f>
        <v>978-7-5327-8651-0</v>
      </c>
      <c r="C984" s="7" t="str">
        <f t="shared" ref="C984:C986" si="607">"回忆"</f>
        <v>回忆</v>
      </c>
      <c r="D984" s="7" t="str">
        <f t="shared" ref="D984:D986" si="608">"(法) 大卫·冯金诺斯著；王东亮， 牛月译"</f>
        <v>(法) 大卫·冯金诺斯著；王东亮， 牛月译</v>
      </c>
      <c r="E984" s="7" t="str">
        <f t="shared" ref="E984:E989" si="609">"上海译文出版社"</f>
        <v>上海译文出版社</v>
      </c>
      <c r="F984" s="7" t="str">
        <f t="shared" ref="F984:F986" si="610">"I565.45/578"</f>
        <v>I565.45/578</v>
      </c>
    </row>
    <row r="985" customHeight="1" spans="1:6">
      <c r="A985" s="6">
        <v>984</v>
      </c>
      <c r="B985" s="7" t="str">
        <f t="shared" si="606"/>
        <v>978-7-5327-8651-0</v>
      </c>
      <c r="C985" s="7" t="str">
        <f t="shared" si="607"/>
        <v>回忆</v>
      </c>
      <c r="D985" s="7" t="str">
        <f t="shared" si="608"/>
        <v>(法) 大卫·冯金诺斯著；王东亮， 牛月译</v>
      </c>
      <c r="E985" s="7" t="str">
        <f t="shared" si="609"/>
        <v>上海译文出版社</v>
      </c>
      <c r="F985" s="7" t="str">
        <f t="shared" si="610"/>
        <v>I565.45/578</v>
      </c>
    </row>
    <row r="986" customHeight="1" spans="1:6">
      <c r="A986" s="6">
        <v>985</v>
      </c>
      <c r="B986" s="7" t="str">
        <f t="shared" si="606"/>
        <v>978-7-5327-8651-0</v>
      </c>
      <c r="C986" s="7" t="str">
        <f t="shared" si="607"/>
        <v>回忆</v>
      </c>
      <c r="D986" s="7" t="str">
        <f t="shared" si="608"/>
        <v>(法) 大卫·冯金诺斯著；王东亮， 牛月译</v>
      </c>
      <c r="E986" s="7" t="str">
        <f t="shared" si="609"/>
        <v>上海译文出版社</v>
      </c>
      <c r="F986" s="7" t="str">
        <f t="shared" si="610"/>
        <v>I565.45/578</v>
      </c>
    </row>
    <row r="987" customHeight="1" spans="1:6">
      <c r="A987" s="6">
        <v>986</v>
      </c>
      <c r="B987" s="7" t="str">
        <f t="shared" ref="B987:B989" si="611">"978-7-5327-8522-3"</f>
        <v>978-7-5327-8522-3</v>
      </c>
      <c r="C987" s="7" t="str">
        <f t="shared" ref="C987:C989" si="612">"退稿图书馆"</f>
        <v>退稿图书馆</v>
      </c>
      <c r="D987" s="7" t="str">
        <f t="shared" ref="D987:D989" si="613">"(法) 大卫·冯金诺斯著；吕如羽译"</f>
        <v>(法) 大卫·冯金诺斯著；吕如羽译</v>
      </c>
      <c r="E987" s="7" t="str">
        <f t="shared" si="609"/>
        <v>上海译文出版社</v>
      </c>
      <c r="F987" s="7" t="str">
        <f t="shared" ref="F987:F989" si="614">"I565.45/579"</f>
        <v>I565.45/579</v>
      </c>
    </row>
    <row r="988" customHeight="1" spans="1:6">
      <c r="A988" s="6">
        <v>987</v>
      </c>
      <c r="B988" s="7" t="str">
        <f t="shared" si="611"/>
        <v>978-7-5327-8522-3</v>
      </c>
      <c r="C988" s="7" t="str">
        <f t="shared" si="612"/>
        <v>退稿图书馆</v>
      </c>
      <c r="D988" s="7" t="str">
        <f t="shared" si="613"/>
        <v>(法) 大卫·冯金诺斯著；吕如羽译</v>
      </c>
      <c r="E988" s="7" t="str">
        <f t="shared" si="609"/>
        <v>上海译文出版社</v>
      </c>
      <c r="F988" s="7" t="str">
        <f t="shared" si="614"/>
        <v>I565.45/579</v>
      </c>
    </row>
    <row r="989" customHeight="1" spans="1:6">
      <c r="A989" s="6">
        <v>988</v>
      </c>
      <c r="B989" s="7" t="str">
        <f t="shared" si="611"/>
        <v>978-7-5327-8522-3</v>
      </c>
      <c r="C989" s="7" t="str">
        <f t="shared" si="612"/>
        <v>退稿图书馆</v>
      </c>
      <c r="D989" s="7" t="str">
        <f t="shared" si="613"/>
        <v>(法) 大卫·冯金诺斯著；吕如羽译</v>
      </c>
      <c r="E989" s="7" t="str">
        <f t="shared" si="609"/>
        <v>上海译文出版社</v>
      </c>
      <c r="F989" s="7" t="str">
        <f t="shared" si="614"/>
        <v>I565.45/579</v>
      </c>
    </row>
    <row r="990" customHeight="1" spans="1:6">
      <c r="A990" s="6">
        <v>989</v>
      </c>
      <c r="B990" s="7" t="str">
        <f t="shared" ref="B990:B992" si="615">"978-7-5598-3900-8"</f>
        <v>978-7-5598-3900-8</v>
      </c>
      <c r="C990" s="7" t="str">
        <f t="shared" ref="C990:C992" si="616">"斯万的一次爱情"</f>
        <v>斯万的一次爱情</v>
      </c>
      <c r="D990" s="7" t="str">
        <f t="shared" ref="D990:D992" si="617">"(法) 马塞尔·普鲁斯特著Marcel Proust；沈志明译"</f>
        <v>(法) 马塞尔·普鲁斯特著Marcel Proust；沈志明译</v>
      </c>
      <c r="E990" s="7" t="str">
        <f t="shared" ref="E990:E992" si="618">"广西师范大学出版社"</f>
        <v>广西师范大学出版社</v>
      </c>
      <c r="F990" s="7" t="str">
        <f t="shared" ref="F990:F992" si="619">"I565.45/580"</f>
        <v>I565.45/580</v>
      </c>
    </row>
    <row r="991" customHeight="1" spans="1:6">
      <c r="A991" s="6">
        <v>990</v>
      </c>
      <c r="B991" s="7" t="str">
        <f t="shared" si="615"/>
        <v>978-7-5598-3900-8</v>
      </c>
      <c r="C991" s="7" t="str">
        <f t="shared" si="616"/>
        <v>斯万的一次爱情</v>
      </c>
      <c r="D991" s="7" t="str">
        <f t="shared" si="617"/>
        <v>(法) 马塞尔·普鲁斯特著Marcel Proust；沈志明译</v>
      </c>
      <c r="E991" s="7" t="str">
        <f t="shared" si="618"/>
        <v>广西师范大学出版社</v>
      </c>
      <c r="F991" s="7" t="str">
        <f t="shared" si="619"/>
        <v>I565.45/580</v>
      </c>
    </row>
    <row r="992" customHeight="1" spans="1:6">
      <c r="A992" s="6">
        <v>991</v>
      </c>
      <c r="B992" s="7" t="str">
        <f t="shared" si="615"/>
        <v>978-7-5598-3900-8</v>
      </c>
      <c r="C992" s="7" t="str">
        <f t="shared" si="616"/>
        <v>斯万的一次爱情</v>
      </c>
      <c r="D992" s="7" t="str">
        <f t="shared" si="617"/>
        <v>(法) 马塞尔·普鲁斯特著Marcel Proust；沈志明译</v>
      </c>
      <c r="E992" s="7" t="str">
        <f t="shared" si="618"/>
        <v>广西师范大学出版社</v>
      </c>
      <c r="F992" s="7" t="str">
        <f t="shared" si="619"/>
        <v>I565.45/580</v>
      </c>
    </row>
    <row r="993" customHeight="1" spans="1:6">
      <c r="A993" s="6">
        <v>992</v>
      </c>
      <c r="B993" s="7" t="str">
        <f>"978-7-108-06989-4"</f>
        <v>978-7-108-06989-4</v>
      </c>
      <c r="C993" s="7" t="str">
        <f>"西绪福斯神话"</f>
        <v>西绪福斯神话</v>
      </c>
      <c r="D993" s="7" t="str">
        <f>"(法) 阿尔贝·加缪著；郭宏安译"</f>
        <v>(法) 阿尔贝·加缪著；郭宏安译</v>
      </c>
      <c r="E993" s="7" t="str">
        <f>"生活·读书·新知三联书店"</f>
        <v>生活·读书·新知三联书店</v>
      </c>
      <c r="F993" s="7" t="str">
        <f>"I565.65/56-2"</f>
        <v>I565.65/56-2</v>
      </c>
    </row>
    <row r="994" customHeight="1" spans="1:6">
      <c r="A994" s="6">
        <v>993</v>
      </c>
      <c r="B994" s="7" t="str">
        <f>"978-7-108-06989-4"</f>
        <v>978-7-108-06989-4</v>
      </c>
      <c r="C994" s="7" t="str">
        <f>"西绪福斯神话"</f>
        <v>西绪福斯神话</v>
      </c>
      <c r="D994" s="7" t="str">
        <f>"(法) 阿尔贝·加缪著；郭宏安译"</f>
        <v>(法) 阿尔贝·加缪著；郭宏安译</v>
      </c>
      <c r="E994" s="7" t="str">
        <f>"生活·读书·新知三联书店"</f>
        <v>生活·读书·新知三联书店</v>
      </c>
      <c r="F994" s="7" t="str">
        <f>"I565.65/56-2"</f>
        <v>I565.65/56-2</v>
      </c>
    </row>
    <row r="995" customHeight="1" spans="1:6">
      <c r="A995" s="6">
        <v>994</v>
      </c>
      <c r="B995" s="7" t="str">
        <f>"978-7-100-19536-2"</f>
        <v>978-7-100-19536-2</v>
      </c>
      <c r="C995" s="7" t="str">
        <f>"罗曼·罗兰读书随笔"</f>
        <v>罗曼·罗兰读书随笔</v>
      </c>
      <c r="D995" s="7" t="str">
        <f>"(法) 罗曼·罗兰著；郑克鲁译"</f>
        <v>(法) 罗曼·罗兰著；郑克鲁译</v>
      </c>
      <c r="E995" s="7" t="str">
        <f t="shared" ref="E995:E998" si="620">"商务印书馆"</f>
        <v>商务印书馆</v>
      </c>
      <c r="F995" s="7" t="str">
        <f>"I565.65/97-2"</f>
        <v>I565.65/97-2</v>
      </c>
    </row>
    <row r="996" customHeight="1" spans="1:6">
      <c r="A996" s="6">
        <v>995</v>
      </c>
      <c r="B996" s="7" t="str">
        <f>"978-7-100-19536-2"</f>
        <v>978-7-100-19536-2</v>
      </c>
      <c r="C996" s="7" t="str">
        <f>"罗曼·罗兰读书随笔"</f>
        <v>罗曼·罗兰读书随笔</v>
      </c>
      <c r="D996" s="7" t="str">
        <f>"(法) 罗曼·罗兰著；郑克鲁译"</f>
        <v>(法) 罗曼·罗兰著；郑克鲁译</v>
      </c>
      <c r="E996" s="7" t="str">
        <f t="shared" si="620"/>
        <v>商务印书馆</v>
      </c>
      <c r="F996" s="7" t="str">
        <f>"I565.65/97-2"</f>
        <v>I565.65/97-2</v>
      </c>
    </row>
    <row r="997" customHeight="1" spans="1:6">
      <c r="A997" s="6">
        <v>996</v>
      </c>
      <c r="B997" s="7" t="str">
        <f>"978-7-100-19656-7"</f>
        <v>978-7-100-19656-7</v>
      </c>
      <c r="C997" s="7" t="str">
        <f>"彻悟：印度朝圣之旅"</f>
        <v>彻悟：印度朝圣之旅</v>
      </c>
      <c r="D997" s="7" t="str">
        <f>"(澳) 萨拉·麦克唐纳著；向丽娟译"</f>
        <v>(澳) 萨拉·麦克唐纳著；向丽娟译</v>
      </c>
      <c r="E997" s="7" t="str">
        <f t="shared" si="620"/>
        <v>商务印书馆</v>
      </c>
      <c r="F997" s="7" t="str">
        <f>"I611.65/8"</f>
        <v>I611.65/8</v>
      </c>
    </row>
    <row r="998" customHeight="1" spans="1:6">
      <c r="A998" s="6">
        <v>997</v>
      </c>
      <c r="B998" s="7" t="str">
        <f>"978-7-100-19656-7"</f>
        <v>978-7-100-19656-7</v>
      </c>
      <c r="C998" s="7" t="str">
        <f>"彻悟：印度朝圣之旅"</f>
        <v>彻悟：印度朝圣之旅</v>
      </c>
      <c r="D998" s="7" t="str">
        <f>"(澳) 萨拉·麦克唐纳著；向丽娟译"</f>
        <v>(澳) 萨拉·麦克唐纳著；向丽娟译</v>
      </c>
      <c r="E998" s="7" t="str">
        <f t="shared" si="620"/>
        <v>商务印书馆</v>
      </c>
      <c r="F998" s="7" t="str">
        <f>"I611.65/8"</f>
        <v>I611.65/8</v>
      </c>
    </row>
    <row r="999" customHeight="1" spans="1:6">
      <c r="A999" s="6">
        <v>998</v>
      </c>
      <c r="B999" s="7" t="str">
        <f t="shared" ref="B999:B1001" si="621">"978-7-5327-8630-5"</f>
        <v>978-7-5327-8630-5</v>
      </c>
      <c r="C999" s="7" t="str">
        <f t="shared" ref="C999:C1001" si="622">"渴望之书"</f>
        <v>渴望之书</v>
      </c>
      <c r="D999" s="7" t="str">
        <f t="shared" ref="D999:D1001" si="623">"孔亚雷， 北岛译"</f>
        <v>孔亚雷， 北岛译</v>
      </c>
      <c r="E999" s="7" t="str">
        <f t="shared" ref="E999:E1001" si="624">"上海译文出版社"</f>
        <v>上海译文出版社</v>
      </c>
      <c r="F999" s="7" t="str">
        <f t="shared" ref="F999:F1001" si="625">"I711.25/1-2"</f>
        <v>I711.25/1-2</v>
      </c>
    </row>
    <row r="1000" customHeight="1" spans="1:6">
      <c r="A1000" s="6">
        <v>999</v>
      </c>
      <c r="B1000" s="7" t="str">
        <f t="shared" si="621"/>
        <v>978-7-5327-8630-5</v>
      </c>
      <c r="C1000" s="7" t="str">
        <f t="shared" si="622"/>
        <v>渴望之书</v>
      </c>
      <c r="D1000" s="7" t="str">
        <f t="shared" si="623"/>
        <v>孔亚雷， 北岛译</v>
      </c>
      <c r="E1000" s="7" t="str">
        <f t="shared" si="624"/>
        <v>上海译文出版社</v>
      </c>
      <c r="F1000" s="7" t="str">
        <f t="shared" si="625"/>
        <v>I711.25/1-2</v>
      </c>
    </row>
    <row r="1001" customHeight="1" spans="1:6">
      <c r="A1001" s="6">
        <v>1000</v>
      </c>
      <c r="B1001" s="7" t="str">
        <f t="shared" si="621"/>
        <v>978-7-5327-8630-5</v>
      </c>
      <c r="C1001" s="7" t="str">
        <f t="shared" si="622"/>
        <v>渴望之书</v>
      </c>
      <c r="D1001" s="7" t="str">
        <f t="shared" si="623"/>
        <v>孔亚雷， 北岛译</v>
      </c>
      <c r="E1001" s="7" t="str">
        <f t="shared" si="624"/>
        <v>上海译文出版社</v>
      </c>
      <c r="F1001" s="7" t="str">
        <f t="shared" si="625"/>
        <v>I711.25/1-2</v>
      </c>
    </row>
    <row r="1002" customHeight="1" spans="1:6">
      <c r="A1002" s="6">
        <v>1001</v>
      </c>
      <c r="B1002" s="7" t="str">
        <f t="shared" ref="B1002:B1004" si="626">"978-7-5596-5103-7"</f>
        <v>978-7-5596-5103-7</v>
      </c>
      <c r="C1002" s="7" t="str">
        <f t="shared" ref="C1002:C1004" si="627">"余震"</f>
        <v>余震</v>
      </c>
      <c r="D1002" s="7" t="str">
        <f t="shared" ref="D1002:D1007" si="628">"(加) 张翎著"</f>
        <v>(加) 张翎著</v>
      </c>
      <c r="E1002" s="7" t="str">
        <f t="shared" ref="E1002:E1007" si="629">"北京联合出版公司"</f>
        <v>北京联合出版公司</v>
      </c>
      <c r="F1002" s="7" t="str">
        <f t="shared" ref="F1002:F1004" si="630">"I711.45/125-2"</f>
        <v>I711.45/125-2</v>
      </c>
    </row>
    <row r="1003" customHeight="1" spans="1:6">
      <c r="A1003" s="6">
        <v>1002</v>
      </c>
      <c r="B1003" s="7" t="str">
        <f t="shared" si="626"/>
        <v>978-7-5596-5103-7</v>
      </c>
      <c r="C1003" s="7" t="str">
        <f t="shared" si="627"/>
        <v>余震</v>
      </c>
      <c r="D1003" s="7" t="str">
        <f t="shared" si="628"/>
        <v>(加) 张翎著</v>
      </c>
      <c r="E1003" s="7" t="str">
        <f t="shared" si="629"/>
        <v>北京联合出版公司</v>
      </c>
      <c r="F1003" s="7" t="str">
        <f t="shared" si="630"/>
        <v>I711.45/125-2</v>
      </c>
    </row>
    <row r="1004" customHeight="1" spans="1:6">
      <c r="A1004" s="6">
        <v>1003</v>
      </c>
      <c r="B1004" s="7" t="str">
        <f t="shared" si="626"/>
        <v>978-7-5596-5103-7</v>
      </c>
      <c r="C1004" s="7" t="str">
        <f t="shared" si="627"/>
        <v>余震</v>
      </c>
      <c r="D1004" s="7" t="str">
        <f t="shared" si="628"/>
        <v>(加) 张翎著</v>
      </c>
      <c r="E1004" s="7" t="str">
        <f t="shared" si="629"/>
        <v>北京联合出版公司</v>
      </c>
      <c r="F1004" s="7" t="str">
        <f t="shared" si="630"/>
        <v>I711.45/125-2</v>
      </c>
    </row>
    <row r="1005" customHeight="1" spans="1:6">
      <c r="A1005" s="6">
        <v>1004</v>
      </c>
      <c r="B1005" s="7" t="str">
        <f t="shared" ref="B1005:B1007" si="631">"978-7-5596-5402-1"</f>
        <v>978-7-5596-5402-1</v>
      </c>
      <c r="C1005" s="7" t="str">
        <f t="shared" ref="C1005:C1007" si="632">"阵痛"</f>
        <v>阵痛</v>
      </c>
      <c r="D1005" s="7" t="str">
        <f t="shared" si="628"/>
        <v>(加) 张翎著</v>
      </c>
      <c r="E1005" s="7" t="str">
        <f t="shared" si="629"/>
        <v>北京联合出版公司</v>
      </c>
      <c r="F1005" s="7" t="str">
        <f t="shared" ref="F1005:F1007" si="633">"I711.45/194"</f>
        <v>I711.45/194</v>
      </c>
    </row>
    <row r="1006" customHeight="1" spans="1:6">
      <c r="A1006" s="6">
        <v>1005</v>
      </c>
      <c r="B1006" s="7" t="str">
        <f t="shared" si="631"/>
        <v>978-7-5596-5402-1</v>
      </c>
      <c r="C1006" s="7" t="str">
        <f t="shared" si="632"/>
        <v>阵痛</v>
      </c>
      <c r="D1006" s="7" t="str">
        <f t="shared" si="628"/>
        <v>(加) 张翎著</v>
      </c>
      <c r="E1006" s="7" t="str">
        <f t="shared" si="629"/>
        <v>北京联合出版公司</v>
      </c>
      <c r="F1006" s="7" t="str">
        <f t="shared" si="633"/>
        <v>I711.45/194</v>
      </c>
    </row>
    <row r="1007" customHeight="1" spans="1:6">
      <c r="A1007" s="6">
        <v>1006</v>
      </c>
      <c r="B1007" s="7" t="str">
        <f t="shared" si="631"/>
        <v>978-7-5596-5402-1</v>
      </c>
      <c r="C1007" s="7" t="str">
        <f t="shared" si="632"/>
        <v>阵痛</v>
      </c>
      <c r="D1007" s="7" t="str">
        <f t="shared" si="628"/>
        <v>(加) 张翎著</v>
      </c>
      <c r="E1007" s="7" t="str">
        <f t="shared" si="629"/>
        <v>北京联合出版公司</v>
      </c>
      <c r="F1007" s="7" t="str">
        <f t="shared" si="633"/>
        <v>I711.45/194</v>
      </c>
    </row>
    <row r="1008" customHeight="1" spans="1:6">
      <c r="A1008" s="6">
        <v>1007</v>
      </c>
      <c r="B1008" s="7" t="str">
        <f t="shared" ref="B1008:B1010" si="634">"978-7-5327-8631-2"</f>
        <v>978-7-5327-8631-2</v>
      </c>
      <c r="C1008" s="7" t="str">
        <f t="shared" ref="C1008:C1010" si="635">"至爱游戏"</f>
        <v>至爱游戏</v>
      </c>
      <c r="D1008" s="7" t="str">
        <f t="shared" ref="D1008:D1010" si="636">"莱昂纳德·科恩Leonard Cohen；刘衎衎译"</f>
        <v>莱昂纳德·科恩Leonard Cohen；刘衎衎译</v>
      </c>
      <c r="E1008" s="7" t="str">
        <f t="shared" ref="E1008:E1010" si="637">"上海译文出版社"</f>
        <v>上海译文出版社</v>
      </c>
      <c r="F1008" s="7" t="str">
        <f t="shared" ref="F1008:F1010" si="638">"I711.45/195"</f>
        <v>I711.45/195</v>
      </c>
    </row>
    <row r="1009" customHeight="1" spans="1:6">
      <c r="A1009" s="6">
        <v>1008</v>
      </c>
      <c r="B1009" s="7" t="str">
        <f t="shared" si="634"/>
        <v>978-7-5327-8631-2</v>
      </c>
      <c r="C1009" s="7" t="str">
        <f t="shared" si="635"/>
        <v>至爱游戏</v>
      </c>
      <c r="D1009" s="7" t="str">
        <f t="shared" si="636"/>
        <v>莱昂纳德·科恩Leonard Cohen；刘衎衎译</v>
      </c>
      <c r="E1009" s="7" t="str">
        <f t="shared" si="637"/>
        <v>上海译文出版社</v>
      </c>
      <c r="F1009" s="7" t="str">
        <f t="shared" si="638"/>
        <v>I711.45/195</v>
      </c>
    </row>
    <row r="1010" customHeight="1" spans="1:6">
      <c r="A1010" s="6">
        <v>1009</v>
      </c>
      <c r="B1010" s="7" t="str">
        <f t="shared" si="634"/>
        <v>978-7-5327-8631-2</v>
      </c>
      <c r="C1010" s="7" t="str">
        <f t="shared" si="635"/>
        <v>至爱游戏</v>
      </c>
      <c r="D1010" s="7" t="str">
        <f t="shared" si="636"/>
        <v>莱昂纳德·科恩Leonard Cohen；刘衎衎译</v>
      </c>
      <c r="E1010" s="7" t="str">
        <f t="shared" si="637"/>
        <v>上海译文出版社</v>
      </c>
      <c r="F1010" s="7" t="str">
        <f t="shared" si="638"/>
        <v>I711.45/195</v>
      </c>
    </row>
    <row r="1011" customHeight="1" spans="1:6">
      <c r="A1011" s="6">
        <v>1010</v>
      </c>
      <c r="B1011" s="7" t="str">
        <f t="shared" ref="B1011:B1013" si="639">"978-7-108-05608-5"</f>
        <v>978-7-108-05608-5</v>
      </c>
      <c r="C1011" s="7" t="str">
        <f t="shared" ref="C1011:C1013" si="640">"水果猎人：关于自然、冒险、商业与痴迷的故事"</f>
        <v>水果猎人：关于自然、冒险、商业与痴迷的故事</v>
      </c>
      <c r="D1011" s="7" t="str">
        <f t="shared" ref="D1011:D1013" si="641">"(加) 亚当·李斯·格尔纳著；于是译"</f>
        <v>(加) 亚当·李斯·格尔纳著；于是译</v>
      </c>
      <c r="E1011" s="7" t="str">
        <f t="shared" ref="E1011:E1013" si="642">"三联书店"</f>
        <v>三联书店</v>
      </c>
      <c r="F1011" s="7" t="str">
        <f t="shared" ref="F1011:F1013" si="643">"I711.45/196"</f>
        <v>I711.45/196</v>
      </c>
    </row>
    <row r="1012" customHeight="1" spans="1:6">
      <c r="A1012" s="6">
        <v>1011</v>
      </c>
      <c r="B1012" s="7" t="str">
        <f t="shared" si="639"/>
        <v>978-7-108-05608-5</v>
      </c>
      <c r="C1012" s="7" t="str">
        <f t="shared" si="640"/>
        <v>水果猎人：关于自然、冒险、商业与痴迷的故事</v>
      </c>
      <c r="D1012" s="7" t="str">
        <f t="shared" si="641"/>
        <v>(加) 亚当·李斯·格尔纳著；于是译</v>
      </c>
      <c r="E1012" s="7" t="str">
        <f t="shared" si="642"/>
        <v>三联书店</v>
      </c>
      <c r="F1012" s="7" t="str">
        <f t="shared" si="643"/>
        <v>I711.45/196</v>
      </c>
    </row>
    <row r="1013" customHeight="1" spans="1:6">
      <c r="A1013" s="6">
        <v>1012</v>
      </c>
      <c r="B1013" s="7" t="str">
        <f t="shared" si="639"/>
        <v>978-7-108-05608-5</v>
      </c>
      <c r="C1013" s="7" t="str">
        <f t="shared" si="640"/>
        <v>水果猎人：关于自然、冒险、商业与痴迷的故事</v>
      </c>
      <c r="D1013" s="7" t="str">
        <f t="shared" si="641"/>
        <v>(加) 亚当·李斯·格尔纳著；于是译</v>
      </c>
      <c r="E1013" s="7" t="str">
        <f t="shared" si="642"/>
        <v>三联书店</v>
      </c>
      <c r="F1013" s="7" t="str">
        <f t="shared" si="643"/>
        <v>I711.45/196</v>
      </c>
    </row>
    <row r="1014" customHeight="1" spans="1:6">
      <c r="A1014" s="6">
        <v>1013</v>
      </c>
      <c r="B1014" s="7" t="str">
        <f t="shared" ref="B1014:B1016" si="644">"978-7-5327-8629-9"</f>
        <v>978-7-5327-8629-9</v>
      </c>
      <c r="C1014" s="7" t="str">
        <f t="shared" ref="C1014:C1016" si="645">"美丽失败者"</f>
        <v>美丽失败者</v>
      </c>
      <c r="D1014" s="7" t="str">
        <f t="shared" ref="D1014:D1016" si="646">"刘衎衎译"</f>
        <v>刘衎衎译</v>
      </c>
      <c r="E1014" s="7" t="str">
        <f t="shared" ref="E1014:E1016" si="647">"上海译文出版社"</f>
        <v>上海译文出版社</v>
      </c>
      <c r="F1014" s="7" t="str">
        <f t="shared" ref="F1014:F1016" si="648">"I711.45/85-2"</f>
        <v>I711.45/85-2</v>
      </c>
    </row>
    <row r="1015" customHeight="1" spans="1:6">
      <c r="A1015" s="6">
        <v>1014</v>
      </c>
      <c r="B1015" s="7" t="str">
        <f t="shared" si="644"/>
        <v>978-7-5327-8629-9</v>
      </c>
      <c r="C1015" s="7" t="str">
        <f t="shared" si="645"/>
        <v>美丽失败者</v>
      </c>
      <c r="D1015" s="7" t="str">
        <f t="shared" si="646"/>
        <v>刘衎衎译</v>
      </c>
      <c r="E1015" s="7" t="str">
        <f t="shared" si="647"/>
        <v>上海译文出版社</v>
      </c>
      <c r="F1015" s="7" t="str">
        <f t="shared" si="648"/>
        <v>I711.45/85-2</v>
      </c>
    </row>
    <row r="1016" customHeight="1" spans="1:6">
      <c r="A1016" s="6">
        <v>1015</v>
      </c>
      <c r="B1016" s="7" t="str">
        <f t="shared" si="644"/>
        <v>978-7-5327-8629-9</v>
      </c>
      <c r="C1016" s="7" t="str">
        <f t="shared" si="645"/>
        <v>美丽失败者</v>
      </c>
      <c r="D1016" s="7" t="str">
        <f t="shared" si="646"/>
        <v>刘衎衎译</v>
      </c>
      <c r="E1016" s="7" t="str">
        <f t="shared" si="647"/>
        <v>上海译文出版社</v>
      </c>
      <c r="F1016" s="7" t="str">
        <f t="shared" si="648"/>
        <v>I711.45/85-2</v>
      </c>
    </row>
    <row r="1017" customHeight="1" spans="1:6">
      <c r="A1017" s="6">
        <v>1016</v>
      </c>
      <c r="B1017" s="8" t="s">
        <v>10126</v>
      </c>
      <c r="C1017" s="8" t="s">
        <v>10127</v>
      </c>
      <c r="D1017" s="8" t="s">
        <v>10128</v>
      </c>
      <c r="E1017" s="8" t="s">
        <v>189</v>
      </c>
      <c r="F1017" s="8" t="s">
        <v>10129</v>
      </c>
    </row>
    <row r="1018" customHeight="1" spans="1:6">
      <c r="A1018" s="6">
        <v>1017</v>
      </c>
      <c r="B1018" s="8" t="s">
        <v>10126</v>
      </c>
      <c r="C1018" s="8" t="s">
        <v>10127</v>
      </c>
      <c r="D1018" s="8" t="s">
        <v>10128</v>
      </c>
      <c r="E1018" s="8" t="s">
        <v>189</v>
      </c>
      <c r="F1018" s="8" t="s">
        <v>10129</v>
      </c>
    </row>
    <row r="1019" customHeight="1" spans="1:6">
      <c r="A1019" s="6">
        <v>1018</v>
      </c>
      <c r="B1019" s="7" t="str">
        <f t="shared" ref="B1019:B1021" si="649">"978-7-214-08804-8"</f>
        <v>978-7-214-08804-8</v>
      </c>
      <c r="C1019" s="7" t="str">
        <f t="shared" ref="C1019:C1021" si="650">"跨太平洋位移：20世纪美国文学中的民族志、翻译和文本间旅行：ethnography， translation， and lntertextual travel in twentieth-century American literature"</f>
        <v>跨太平洋位移：20世纪美国文学中的民族志、翻译和文本间旅行：ethnography， translation， and lntertextual travel in twentieth-century American literature</v>
      </c>
      <c r="D1019" s="7" t="str">
        <f t="shared" ref="D1019:D1021" si="651">"黄运特著；陈倩译"</f>
        <v>黄运特著；陈倩译</v>
      </c>
      <c r="E1019" s="7" t="str">
        <f t="shared" ref="E1019:E1021" si="652">"江苏人民出版社"</f>
        <v>江苏人民出版社</v>
      </c>
      <c r="F1019" s="7" t="str">
        <f t="shared" ref="F1019:F1021" si="653">"I712.065/52"</f>
        <v>I712.065/52</v>
      </c>
    </row>
    <row r="1020" customHeight="1" spans="1:6">
      <c r="A1020" s="6">
        <v>1019</v>
      </c>
      <c r="B1020" s="7" t="str">
        <f t="shared" si="649"/>
        <v>978-7-214-08804-8</v>
      </c>
      <c r="C1020" s="7" t="str">
        <f t="shared" si="650"/>
        <v>跨太平洋位移：20世纪美国文学中的民族志、翻译和文本间旅行：ethnography， translation， and lntertextual travel in twentieth-century American literature</v>
      </c>
      <c r="D1020" s="7" t="str">
        <f t="shared" si="651"/>
        <v>黄运特著；陈倩译</v>
      </c>
      <c r="E1020" s="7" t="str">
        <f t="shared" si="652"/>
        <v>江苏人民出版社</v>
      </c>
      <c r="F1020" s="7" t="str">
        <f t="shared" si="653"/>
        <v>I712.065/52</v>
      </c>
    </row>
    <row r="1021" customHeight="1" spans="1:6">
      <c r="A1021" s="6">
        <v>1020</v>
      </c>
      <c r="B1021" s="7" t="str">
        <f t="shared" si="649"/>
        <v>978-7-214-08804-8</v>
      </c>
      <c r="C1021" s="7" t="str">
        <f t="shared" si="650"/>
        <v>跨太平洋位移：20世纪美国文学中的民族志、翻译和文本间旅行：ethnography， translation， and lntertextual travel in twentieth-century American literature</v>
      </c>
      <c r="D1021" s="7" t="str">
        <f t="shared" si="651"/>
        <v>黄运特著；陈倩译</v>
      </c>
      <c r="E1021" s="7" t="str">
        <f t="shared" si="652"/>
        <v>江苏人民出版社</v>
      </c>
      <c r="F1021" s="7" t="str">
        <f t="shared" si="653"/>
        <v>I712.065/52</v>
      </c>
    </row>
    <row r="1022" customHeight="1" spans="1:6">
      <c r="A1022" s="6">
        <v>1021</v>
      </c>
      <c r="B1022" s="8" t="s">
        <v>10130</v>
      </c>
      <c r="C1022" s="8" t="s">
        <v>10131</v>
      </c>
      <c r="D1022" s="8" t="s">
        <v>10132</v>
      </c>
      <c r="E1022" s="8" t="s">
        <v>239</v>
      </c>
      <c r="F1022" s="8" t="s">
        <v>10133</v>
      </c>
    </row>
    <row r="1023" customHeight="1" spans="1:6">
      <c r="A1023" s="6">
        <v>1022</v>
      </c>
      <c r="B1023" s="8" t="s">
        <v>10130</v>
      </c>
      <c r="C1023" s="8" t="s">
        <v>10131</v>
      </c>
      <c r="D1023" s="8" t="s">
        <v>10132</v>
      </c>
      <c r="E1023" s="8" t="s">
        <v>239</v>
      </c>
      <c r="F1023" s="8" t="s">
        <v>10133</v>
      </c>
    </row>
    <row r="1024" customHeight="1" spans="1:6">
      <c r="A1024" s="6">
        <v>1023</v>
      </c>
      <c r="B1024" s="7" t="str">
        <f t="shared" ref="B1024:B1026" si="654">"978-7-208-17115-2"</f>
        <v>978-7-208-17115-2</v>
      </c>
      <c r="C1024" s="7" t="str">
        <f t="shared" ref="C1024:C1026" si="655">"群山回唱"</f>
        <v>群山回唱</v>
      </c>
      <c r="D1024" s="7" t="str">
        <f t="shared" ref="D1024:D1026" si="656">"(美) 卡勒德·胡赛尼著Khaled Hosseini；康慨译"</f>
        <v>(美) 卡勒德·胡赛尼著Khaled Hosseini；康慨译</v>
      </c>
      <c r="E1024" s="7" t="str">
        <f t="shared" ref="E1024:E1029" si="657">"上海人民出版社"</f>
        <v>上海人民出版社</v>
      </c>
      <c r="F1024" s="7" t="str">
        <f t="shared" ref="F1024:F1026" si="658">"I712.45/1183-2"</f>
        <v>I712.45/1183-2</v>
      </c>
    </row>
    <row r="1025" customHeight="1" spans="1:6">
      <c r="A1025" s="6">
        <v>1024</v>
      </c>
      <c r="B1025" s="7" t="str">
        <f t="shared" si="654"/>
        <v>978-7-208-17115-2</v>
      </c>
      <c r="C1025" s="7" t="str">
        <f t="shared" si="655"/>
        <v>群山回唱</v>
      </c>
      <c r="D1025" s="7" t="str">
        <f t="shared" si="656"/>
        <v>(美) 卡勒德·胡赛尼著Khaled Hosseini；康慨译</v>
      </c>
      <c r="E1025" s="7" t="str">
        <f t="shared" si="657"/>
        <v>上海人民出版社</v>
      </c>
      <c r="F1025" s="7" t="str">
        <f t="shared" si="658"/>
        <v>I712.45/1183-2</v>
      </c>
    </row>
    <row r="1026" customHeight="1" spans="1:6">
      <c r="A1026" s="6">
        <v>1025</v>
      </c>
      <c r="B1026" s="7" t="str">
        <f t="shared" si="654"/>
        <v>978-7-208-17115-2</v>
      </c>
      <c r="C1026" s="7" t="str">
        <f t="shared" si="655"/>
        <v>群山回唱</v>
      </c>
      <c r="D1026" s="7" t="str">
        <f t="shared" si="656"/>
        <v>(美) 卡勒德·胡赛尼著Khaled Hosseini；康慨译</v>
      </c>
      <c r="E1026" s="7" t="str">
        <f t="shared" si="657"/>
        <v>上海人民出版社</v>
      </c>
      <c r="F1026" s="7" t="str">
        <f t="shared" si="658"/>
        <v>I712.45/1183-2</v>
      </c>
    </row>
    <row r="1027" customHeight="1" spans="1:6">
      <c r="A1027" s="6">
        <v>1026</v>
      </c>
      <c r="B1027" s="7" t="str">
        <f t="shared" ref="B1027:B1029" si="659">"978-7-208-17113-8"</f>
        <v>978-7-208-17113-8</v>
      </c>
      <c r="C1027" s="7" t="str">
        <f t="shared" ref="C1027:C1029" si="660">"追风筝的人"</f>
        <v>追风筝的人</v>
      </c>
      <c r="D1027" s="7" t="str">
        <f t="shared" ref="D1027:D1029" si="661">"(美) 卡勒德·胡赛尼著Khaled Hosseini；李继宏译"</f>
        <v>(美) 卡勒德·胡赛尼著Khaled Hosseini；李继宏译</v>
      </c>
      <c r="E1027" s="7" t="str">
        <f t="shared" si="657"/>
        <v>上海人民出版社</v>
      </c>
      <c r="F1027" s="7" t="str">
        <f t="shared" ref="F1027:F1029" si="662">"I712.45/1214-2"</f>
        <v>I712.45/1214-2</v>
      </c>
    </row>
    <row r="1028" customHeight="1" spans="1:6">
      <c r="A1028" s="6">
        <v>1027</v>
      </c>
      <c r="B1028" s="7" t="str">
        <f t="shared" si="659"/>
        <v>978-7-208-17113-8</v>
      </c>
      <c r="C1028" s="7" t="str">
        <f t="shared" si="660"/>
        <v>追风筝的人</v>
      </c>
      <c r="D1028" s="7" t="str">
        <f t="shared" si="661"/>
        <v>(美) 卡勒德·胡赛尼著Khaled Hosseini；李继宏译</v>
      </c>
      <c r="E1028" s="7" t="str">
        <f t="shared" si="657"/>
        <v>上海人民出版社</v>
      </c>
      <c r="F1028" s="7" t="str">
        <f t="shared" si="662"/>
        <v>I712.45/1214-2</v>
      </c>
    </row>
    <row r="1029" customHeight="1" spans="1:6">
      <c r="A1029" s="6">
        <v>1028</v>
      </c>
      <c r="B1029" s="7" t="str">
        <f t="shared" si="659"/>
        <v>978-7-208-17113-8</v>
      </c>
      <c r="C1029" s="7" t="str">
        <f t="shared" si="660"/>
        <v>追风筝的人</v>
      </c>
      <c r="D1029" s="7" t="str">
        <f t="shared" si="661"/>
        <v>(美) 卡勒德·胡赛尼著Khaled Hosseini；李继宏译</v>
      </c>
      <c r="E1029" s="7" t="str">
        <f t="shared" si="657"/>
        <v>上海人民出版社</v>
      </c>
      <c r="F1029" s="7" t="str">
        <f t="shared" si="662"/>
        <v>I712.45/1214-2</v>
      </c>
    </row>
    <row r="1030" customHeight="1" spans="1:6">
      <c r="A1030" s="6">
        <v>1029</v>
      </c>
      <c r="B1030" s="7" t="str">
        <f t="shared" ref="B1030:B1032" si="663">"978-7-5594-1573-8"</f>
        <v>978-7-5594-1573-8</v>
      </c>
      <c r="C1030" s="7" t="str">
        <f t="shared" ref="C1030:C1032" si="664">"沙丘．4：沙丘神帝"</f>
        <v>沙丘．4：沙丘神帝</v>
      </c>
      <c r="D1030" s="7" t="str">
        <f t="shared" ref="D1030:D1032" si="665">"(美) 弗兰克·赫伯特著；刘未央译"</f>
        <v>(美) 弗兰克·赫伯特著；刘未央译</v>
      </c>
      <c r="E1030" s="7" t="str">
        <f t="shared" ref="E1030:E1032" si="666">"江苏凤凰文艺出版社"</f>
        <v>江苏凤凰文艺出版社</v>
      </c>
      <c r="F1030" s="7" t="str">
        <f t="shared" ref="F1030:F1032" si="667">"I712.45/1251/4"</f>
        <v>I712.45/1251/4</v>
      </c>
    </row>
    <row r="1031" customHeight="1" spans="1:6">
      <c r="A1031" s="6">
        <v>1030</v>
      </c>
      <c r="B1031" s="7" t="str">
        <f t="shared" si="663"/>
        <v>978-7-5594-1573-8</v>
      </c>
      <c r="C1031" s="7" t="str">
        <f t="shared" si="664"/>
        <v>沙丘．4：沙丘神帝</v>
      </c>
      <c r="D1031" s="7" t="str">
        <f t="shared" si="665"/>
        <v>(美) 弗兰克·赫伯特著；刘未央译</v>
      </c>
      <c r="E1031" s="7" t="str">
        <f t="shared" si="666"/>
        <v>江苏凤凰文艺出版社</v>
      </c>
      <c r="F1031" s="7" t="str">
        <f t="shared" si="667"/>
        <v>I712.45/1251/4</v>
      </c>
    </row>
    <row r="1032" customHeight="1" spans="1:6">
      <c r="A1032" s="6">
        <v>1031</v>
      </c>
      <c r="B1032" s="7" t="str">
        <f t="shared" si="663"/>
        <v>978-7-5594-1573-8</v>
      </c>
      <c r="C1032" s="7" t="str">
        <f t="shared" si="664"/>
        <v>沙丘．4：沙丘神帝</v>
      </c>
      <c r="D1032" s="7" t="str">
        <f t="shared" si="665"/>
        <v>(美) 弗兰克·赫伯特著；刘未央译</v>
      </c>
      <c r="E1032" s="7" t="str">
        <f t="shared" si="666"/>
        <v>江苏凤凰文艺出版社</v>
      </c>
      <c r="F1032" s="7" t="str">
        <f t="shared" si="667"/>
        <v>I712.45/1251/4</v>
      </c>
    </row>
    <row r="1033" customHeight="1" spans="1:6">
      <c r="A1033" s="6">
        <v>1032</v>
      </c>
      <c r="B1033" s="7" t="str">
        <f t="shared" ref="B1033:B1035" si="668">"978-7-02-016521-6"</f>
        <v>978-7-02-016521-6</v>
      </c>
      <c r="C1033" s="7" t="str">
        <f t="shared" ref="C1033:C1035" si="669">"安息角"</f>
        <v>安息角</v>
      </c>
      <c r="D1033" s="7" t="str">
        <f t="shared" ref="D1033:D1035" si="670">"(美) 华莱士·斯特格纳著；薄振杰等译"</f>
        <v>(美) 华莱士·斯特格纳著；薄振杰等译</v>
      </c>
      <c r="E1033" s="7" t="str">
        <f t="shared" ref="E1033:E1035" si="671">"人民文学出版社"</f>
        <v>人民文学出版社</v>
      </c>
      <c r="F1033" s="7" t="str">
        <f t="shared" ref="F1033:F1035" si="672">"I712.45/1613.2"</f>
        <v>I712.45/1613.2</v>
      </c>
    </row>
    <row r="1034" customHeight="1" spans="1:6">
      <c r="A1034" s="6">
        <v>1033</v>
      </c>
      <c r="B1034" s="7" t="str">
        <f t="shared" si="668"/>
        <v>978-7-02-016521-6</v>
      </c>
      <c r="C1034" s="7" t="str">
        <f t="shared" si="669"/>
        <v>安息角</v>
      </c>
      <c r="D1034" s="7" t="str">
        <f t="shared" si="670"/>
        <v>(美) 华莱士·斯特格纳著；薄振杰等译</v>
      </c>
      <c r="E1034" s="7" t="str">
        <f t="shared" si="671"/>
        <v>人民文学出版社</v>
      </c>
      <c r="F1034" s="7" t="str">
        <f t="shared" si="672"/>
        <v>I712.45/1613.2</v>
      </c>
    </row>
    <row r="1035" customHeight="1" spans="1:6">
      <c r="A1035" s="6">
        <v>1034</v>
      </c>
      <c r="B1035" s="7" t="str">
        <f t="shared" si="668"/>
        <v>978-7-02-016521-6</v>
      </c>
      <c r="C1035" s="7" t="str">
        <f t="shared" si="669"/>
        <v>安息角</v>
      </c>
      <c r="D1035" s="7" t="str">
        <f t="shared" si="670"/>
        <v>(美) 华莱士·斯特格纳著；薄振杰等译</v>
      </c>
      <c r="E1035" s="7" t="str">
        <f t="shared" si="671"/>
        <v>人民文学出版社</v>
      </c>
      <c r="F1035" s="7" t="str">
        <f t="shared" si="672"/>
        <v>I712.45/1613.2</v>
      </c>
    </row>
    <row r="1036" customHeight="1" spans="1:6">
      <c r="A1036" s="6">
        <v>1035</v>
      </c>
      <c r="B1036" s="7" t="str">
        <f>"978-7-5594-5880-3"</f>
        <v>978-7-5594-5880-3</v>
      </c>
      <c r="C1036" s="7" t="str">
        <f>"树语"</f>
        <v>树语</v>
      </c>
      <c r="D1036" s="7" t="str">
        <f>"(美) 理查德·鲍尔斯著Richard Power；陈磊译"</f>
        <v>(美) 理查德·鲍尔斯著Richard Power；陈磊译</v>
      </c>
      <c r="E1036" s="7" t="str">
        <f t="shared" ref="E1036:E1051" si="673">"江苏凤凰文艺出版社"</f>
        <v>江苏凤凰文艺出版社</v>
      </c>
      <c r="F1036" s="7" t="str">
        <f>"I712.45/2739"</f>
        <v>I712.45/2739</v>
      </c>
    </row>
    <row r="1037" customHeight="1" spans="1:6">
      <c r="A1037" s="6">
        <v>1036</v>
      </c>
      <c r="B1037" s="7" t="str">
        <f>"978-7-5594-5880-3"</f>
        <v>978-7-5594-5880-3</v>
      </c>
      <c r="C1037" s="7" t="str">
        <f>"树语"</f>
        <v>树语</v>
      </c>
      <c r="D1037" s="7" t="str">
        <f>"(美) 理查德·鲍尔斯著Richard Power；陈磊译"</f>
        <v>(美) 理查德·鲍尔斯著Richard Power；陈磊译</v>
      </c>
      <c r="E1037" s="7" t="str">
        <f t="shared" si="673"/>
        <v>江苏凤凰文艺出版社</v>
      </c>
      <c r="F1037" s="7" t="str">
        <f>"I712.45/2739"</f>
        <v>I712.45/2739</v>
      </c>
    </row>
    <row r="1038" customHeight="1" spans="1:6">
      <c r="A1038" s="6">
        <v>1037</v>
      </c>
      <c r="B1038" s="7" t="str">
        <f t="shared" ref="B1038:B1051" si="674">"978-7-5399-8335-6"</f>
        <v>978-7-5399-8335-6</v>
      </c>
      <c r="C1038" s="7" t="str">
        <f>"银河帝国．1：基地"</f>
        <v>银河帝国．1：基地</v>
      </c>
      <c r="D1038" s="7" t="str">
        <f t="shared" ref="D1038:D1047" si="675">"(美)艾萨克·阿西莫夫著；叶李华译"</f>
        <v>(美)艾萨克·阿西莫夫著；叶李华译</v>
      </c>
      <c r="E1038" s="7" t="str">
        <f t="shared" si="673"/>
        <v>江苏凤凰文艺出版社</v>
      </c>
      <c r="F1038" s="7" t="str">
        <f>"I712.45/2740/1"</f>
        <v>I712.45/2740/1</v>
      </c>
    </row>
    <row r="1039" customHeight="1" spans="1:6">
      <c r="A1039" s="6">
        <v>1038</v>
      </c>
      <c r="B1039" s="7" t="str">
        <f t="shared" si="674"/>
        <v>978-7-5399-8335-6</v>
      </c>
      <c r="C1039" s="7" t="str">
        <f>"银河帝国．1：基地"</f>
        <v>银河帝国．1：基地</v>
      </c>
      <c r="D1039" s="7" t="str">
        <f t="shared" si="675"/>
        <v>(美)艾萨克·阿西莫夫著；叶李华译</v>
      </c>
      <c r="E1039" s="7" t="str">
        <f t="shared" si="673"/>
        <v>江苏凤凰文艺出版社</v>
      </c>
      <c r="F1039" s="7" t="str">
        <f>"I712.45/2740/1"</f>
        <v>I712.45/2740/1</v>
      </c>
    </row>
    <row r="1040" customHeight="1" spans="1:6">
      <c r="A1040" s="6">
        <v>1039</v>
      </c>
      <c r="B1040" s="7" t="str">
        <f t="shared" si="674"/>
        <v>978-7-5399-8335-6</v>
      </c>
      <c r="C1040" s="7" t="str">
        <f>"银河帝国．2：基地与帝国"</f>
        <v>银河帝国．2：基地与帝国</v>
      </c>
      <c r="D1040" s="7" t="str">
        <f t="shared" si="675"/>
        <v>(美)艾萨克·阿西莫夫著；叶李华译</v>
      </c>
      <c r="E1040" s="7" t="str">
        <f t="shared" si="673"/>
        <v>江苏凤凰文艺出版社</v>
      </c>
      <c r="F1040" s="7" t="str">
        <f>"I712.45/2740/2"</f>
        <v>I712.45/2740/2</v>
      </c>
    </row>
    <row r="1041" customHeight="1" spans="1:6">
      <c r="A1041" s="6">
        <v>1040</v>
      </c>
      <c r="B1041" s="7" t="str">
        <f t="shared" si="674"/>
        <v>978-7-5399-8335-6</v>
      </c>
      <c r="C1041" s="7" t="str">
        <f>"银河帝国．2：基地与帝国"</f>
        <v>银河帝国．2：基地与帝国</v>
      </c>
      <c r="D1041" s="7" t="str">
        <f t="shared" si="675"/>
        <v>(美)艾萨克·阿西莫夫著；叶李华译</v>
      </c>
      <c r="E1041" s="7" t="str">
        <f t="shared" si="673"/>
        <v>江苏凤凰文艺出版社</v>
      </c>
      <c r="F1041" s="7" t="str">
        <f>"I712.45/2740/2"</f>
        <v>I712.45/2740/2</v>
      </c>
    </row>
    <row r="1042" customHeight="1" spans="1:6">
      <c r="A1042" s="6">
        <v>1041</v>
      </c>
      <c r="B1042" s="7" t="str">
        <f t="shared" si="674"/>
        <v>978-7-5399-8335-6</v>
      </c>
      <c r="C1042" s="7" t="str">
        <f>"银河帝国．3：第二基地"</f>
        <v>银河帝国．3：第二基地</v>
      </c>
      <c r="D1042" s="7" t="str">
        <f t="shared" si="675"/>
        <v>(美)艾萨克·阿西莫夫著；叶李华译</v>
      </c>
      <c r="E1042" s="7" t="str">
        <f t="shared" si="673"/>
        <v>江苏凤凰文艺出版社</v>
      </c>
      <c r="F1042" s="7" t="str">
        <f>"I712.45/2740/3"</f>
        <v>I712.45/2740/3</v>
      </c>
    </row>
    <row r="1043" customHeight="1" spans="1:6">
      <c r="A1043" s="6">
        <v>1042</v>
      </c>
      <c r="B1043" s="7" t="str">
        <f t="shared" si="674"/>
        <v>978-7-5399-8335-6</v>
      </c>
      <c r="C1043" s="7" t="str">
        <f>"银河帝国．3：第二基地"</f>
        <v>银河帝国．3：第二基地</v>
      </c>
      <c r="D1043" s="7" t="str">
        <f t="shared" si="675"/>
        <v>(美)艾萨克·阿西莫夫著；叶李华译</v>
      </c>
      <c r="E1043" s="7" t="str">
        <f t="shared" si="673"/>
        <v>江苏凤凰文艺出版社</v>
      </c>
      <c r="F1043" s="7" t="str">
        <f>"I712.45/2740/3"</f>
        <v>I712.45/2740/3</v>
      </c>
    </row>
    <row r="1044" customHeight="1" spans="1:6">
      <c r="A1044" s="6">
        <v>1043</v>
      </c>
      <c r="B1044" s="7" t="str">
        <f t="shared" si="674"/>
        <v>978-7-5399-8335-6</v>
      </c>
      <c r="C1044" s="7" t="str">
        <f>"银河帝国．4：基地前奏"</f>
        <v>银河帝国．4：基地前奏</v>
      </c>
      <c r="D1044" s="7" t="str">
        <f t="shared" si="675"/>
        <v>(美)艾萨克·阿西莫夫著；叶李华译</v>
      </c>
      <c r="E1044" s="7" t="str">
        <f t="shared" si="673"/>
        <v>江苏凤凰文艺出版社</v>
      </c>
      <c r="F1044" s="7" t="str">
        <f>"I712.45/2740/4"</f>
        <v>I712.45/2740/4</v>
      </c>
    </row>
    <row r="1045" customHeight="1" spans="1:6">
      <c r="A1045" s="6">
        <v>1044</v>
      </c>
      <c r="B1045" s="7" t="str">
        <f t="shared" si="674"/>
        <v>978-7-5399-8335-6</v>
      </c>
      <c r="C1045" s="7" t="str">
        <f>"银河帝国．4：基地前奏"</f>
        <v>银河帝国．4：基地前奏</v>
      </c>
      <c r="D1045" s="7" t="str">
        <f t="shared" si="675"/>
        <v>(美)艾萨克·阿西莫夫著；叶李华译</v>
      </c>
      <c r="E1045" s="7" t="str">
        <f t="shared" si="673"/>
        <v>江苏凤凰文艺出版社</v>
      </c>
      <c r="F1045" s="7" t="str">
        <f>"I712.45/2740/4"</f>
        <v>I712.45/2740/4</v>
      </c>
    </row>
    <row r="1046" customHeight="1" spans="1:6">
      <c r="A1046" s="6">
        <v>1045</v>
      </c>
      <c r="B1046" s="7" t="str">
        <f t="shared" si="674"/>
        <v>978-7-5399-8335-6</v>
      </c>
      <c r="C1046" s="7" t="str">
        <f>"银河帝国．5：迈向基地"</f>
        <v>银河帝国．5：迈向基地</v>
      </c>
      <c r="D1046" s="7" t="str">
        <f t="shared" si="675"/>
        <v>(美)艾萨克·阿西莫夫著；叶李华译</v>
      </c>
      <c r="E1046" s="7" t="str">
        <f t="shared" si="673"/>
        <v>江苏凤凰文艺出版社</v>
      </c>
      <c r="F1046" s="7" t="str">
        <f>"I712.45/2740/5"</f>
        <v>I712.45/2740/5</v>
      </c>
    </row>
    <row r="1047" customHeight="1" spans="1:6">
      <c r="A1047" s="6">
        <v>1046</v>
      </c>
      <c r="B1047" s="7" t="str">
        <f t="shared" si="674"/>
        <v>978-7-5399-8335-6</v>
      </c>
      <c r="C1047" s="7" t="str">
        <f>"银河帝国．5：迈向基地"</f>
        <v>银河帝国．5：迈向基地</v>
      </c>
      <c r="D1047" s="7" t="str">
        <f t="shared" si="675"/>
        <v>(美)艾萨克·阿西莫夫著；叶李华译</v>
      </c>
      <c r="E1047" s="7" t="str">
        <f t="shared" si="673"/>
        <v>江苏凤凰文艺出版社</v>
      </c>
      <c r="F1047" s="7" t="str">
        <f>"I712.45/2740/5"</f>
        <v>I712.45/2740/5</v>
      </c>
    </row>
    <row r="1048" customHeight="1" spans="1:6">
      <c r="A1048" s="6">
        <v>1047</v>
      </c>
      <c r="B1048" s="7" t="str">
        <f t="shared" si="674"/>
        <v>978-7-5399-8335-6</v>
      </c>
      <c r="C1048" s="7" t="str">
        <f>"银河帝国．6：基地边缘"</f>
        <v>银河帝国．6：基地边缘</v>
      </c>
      <c r="D1048" s="7" t="str">
        <f>"(美) 艾萨克·阿西莫夫著；叶李华译"</f>
        <v>(美) 艾萨克·阿西莫夫著；叶李华译</v>
      </c>
      <c r="E1048" s="7" t="str">
        <f t="shared" si="673"/>
        <v>江苏凤凰文艺出版社</v>
      </c>
      <c r="F1048" s="7" t="str">
        <f>"I712.45/2740/6"</f>
        <v>I712.45/2740/6</v>
      </c>
    </row>
    <row r="1049" customHeight="1" spans="1:6">
      <c r="A1049" s="6">
        <v>1048</v>
      </c>
      <c r="B1049" s="7" t="str">
        <f t="shared" si="674"/>
        <v>978-7-5399-8335-6</v>
      </c>
      <c r="C1049" s="7" t="str">
        <f>"银河帝国．6：基地边缘"</f>
        <v>银河帝国．6：基地边缘</v>
      </c>
      <c r="D1049" s="7" t="str">
        <f>"(美) 艾萨克·阿西莫夫著；叶李华译"</f>
        <v>(美) 艾萨克·阿西莫夫著；叶李华译</v>
      </c>
      <c r="E1049" s="7" t="str">
        <f t="shared" si="673"/>
        <v>江苏凤凰文艺出版社</v>
      </c>
      <c r="F1049" s="7" t="str">
        <f>"I712.45/2740/6"</f>
        <v>I712.45/2740/6</v>
      </c>
    </row>
    <row r="1050" customHeight="1" spans="1:6">
      <c r="A1050" s="6">
        <v>1049</v>
      </c>
      <c r="B1050" s="7" t="str">
        <f t="shared" si="674"/>
        <v>978-7-5399-8335-6</v>
      </c>
      <c r="C1050" s="7" t="str">
        <f>"银河帝国．7：基地与地球"</f>
        <v>银河帝国．7：基地与地球</v>
      </c>
      <c r="D1050" s="7" t="str">
        <f>"(美)艾萨克·阿西莫夫著；叶李华译"</f>
        <v>(美)艾萨克·阿西莫夫著；叶李华译</v>
      </c>
      <c r="E1050" s="7" t="str">
        <f t="shared" si="673"/>
        <v>江苏凤凰文艺出版社</v>
      </c>
      <c r="F1050" s="7" t="str">
        <f>"I712.45/2740/7"</f>
        <v>I712.45/2740/7</v>
      </c>
    </row>
    <row r="1051" customHeight="1" spans="1:6">
      <c r="A1051" s="6">
        <v>1050</v>
      </c>
      <c r="B1051" s="7" t="str">
        <f t="shared" si="674"/>
        <v>978-7-5399-8335-6</v>
      </c>
      <c r="C1051" s="7" t="str">
        <f>"银河帝国．7：基地与地球"</f>
        <v>银河帝国．7：基地与地球</v>
      </c>
      <c r="D1051" s="7" t="str">
        <f>"(美)艾萨克·阿西莫夫著；叶李华译"</f>
        <v>(美)艾萨克·阿西莫夫著；叶李华译</v>
      </c>
      <c r="E1051" s="7" t="str">
        <f t="shared" si="673"/>
        <v>江苏凤凰文艺出版社</v>
      </c>
      <c r="F1051" s="7" t="str">
        <f>"I712.45/2740/7"</f>
        <v>I712.45/2740/7</v>
      </c>
    </row>
    <row r="1052" customHeight="1" spans="1:6">
      <c r="A1052" s="6">
        <v>1051</v>
      </c>
      <c r="B1052" s="7" t="str">
        <f t="shared" ref="B1052:B1054" si="676">"978-7-02-016249-9"</f>
        <v>978-7-02-016249-9</v>
      </c>
      <c r="C1052" s="7" t="str">
        <f t="shared" ref="C1052:C1054" si="677">"黑暗宇宙"</f>
        <v>黑暗宇宙</v>
      </c>
      <c r="D1052" s="7" t="str">
        <f t="shared" ref="D1052:D1054" si="678">"(美) 丹尼尔·伽卢耶著；华龙译"</f>
        <v>(美) 丹尼尔·伽卢耶著；华龙译</v>
      </c>
      <c r="E1052" s="7" t="str">
        <f t="shared" ref="E1052:E1054" si="679">"人民文学出版社"</f>
        <v>人民文学出版社</v>
      </c>
      <c r="F1052" s="7" t="str">
        <f t="shared" ref="F1052:F1054" si="680">"I712.45/2742"</f>
        <v>I712.45/2742</v>
      </c>
    </row>
    <row r="1053" customHeight="1" spans="1:6">
      <c r="A1053" s="6">
        <v>1052</v>
      </c>
      <c r="B1053" s="7" t="str">
        <f t="shared" si="676"/>
        <v>978-7-02-016249-9</v>
      </c>
      <c r="C1053" s="7" t="str">
        <f t="shared" si="677"/>
        <v>黑暗宇宙</v>
      </c>
      <c r="D1053" s="7" t="str">
        <f t="shared" si="678"/>
        <v>(美) 丹尼尔·伽卢耶著；华龙译</v>
      </c>
      <c r="E1053" s="7" t="str">
        <f t="shared" si="679"/>
        <v>人民文学出版社</v>
      </c>
      <c r="F1053" s="7" t="str">
        <f t="shared" si="680"/>
        <v>I712.45/2742</v>
      </c>
    </row>
    <row r="1054" customHeight="1" spans="1:6">
      <c r="A1054" s="6">
        <v>1053</v>
      </c>
      <c r="B1054" s="7" t="str">
        <f t="shared" si="676"/>
        <v>978-7-02-016249-9</v>
      </c>
      <c r="C1054" s="7" t="str">
        <f t="shared" si="677"/>
        <v>黑暗宇宙</v>
      </c>
      <c r="D1054" s="7" t="str">
        <f t="shared" si="678"/>
        <v>(美) 丹尼尔·伽卢耶著；华龙译</v>
      </c>
      <c r="E1054" s="7" t="str">
        <f t="shared" si="679"/>
        <v>人民文学出版社</v>
      </c>
      <c r="F1054" s="7" t="str">
        <f t="shared" si="680"/>
        <v>I712.45/2742</v>
      </c>
    </row>
    <row r="1055" customHeight="1" spans="1:6">
      <c r="A1055" s="6">
        <v>1054</v>
      </c>
      <c r="B1055" s="7" t="str">
        <f t="shared" ref="B1055:B1057" si="681">"978-7-5302-2099-3"</f>
        <v>978-7-5302-2099-3</v>
      </c>
      <c r="C1055" s="7" t="str">
        <f t="shared" ref="C1055:C1057" si="682">"世界开始的地方"</f>
        <v>世界开始的地方</v>
      </c>
      <c r="D1055" s="7" t="str">
        <f t="shared" ref="D1055:D1057" si="683">"(美) 杜鲁门·卡波特著；伏波译"</f>
        <v>(美) 杜鲁门·卡波特著；伏波译</v>
      </c>
      <c r="E1055" s="7" t="str">
        <f t="shared" ref="E1055:E1057" si="684">"北京十月文艺出版社"</f>
        <v>北京十月文艺出版社</v>
      </c>
      <c r="F1055" s="7" t="str">
        <f t="shared" ref="F1055:F1057" si="685">"I712.45/2743"</f>
        <v>I712.45/2743</v>
      </c>
    </row>
    <row r="1056" customHeight="1" spans="1:6">
      <c r="A1056" s="6">
        <v>1055</v>
      </c>
      <c r="B1056" s="7" t="str">
        <f t="shared" si="681"/>
        <v>978-7-5302-2099-3</v>
      </c>
      <c r="C1056" s="7" t="str">
        <f t="shared" si="682"/>
        <v>世界开始的地方</v>
      </c>
      <c r="D1056" s="7" t="str">
        <f t="shared" si="683"/>
        <v>(美) 杜鲁门·卡波特著；伏波译</v>
      </c>
      <c r="E1056" s="7" t="str">
        <f t="shared" si="684"/>
        <v>北京十月文艺出版社</v>
      </c>
      <c r="F1056" s="7" t="str">
        <f t="shared" si="685"/>
        <v>I712.45/2743</v>
      </c>
    </row>
    <row r="1057" customHeight="1" spans="1:6">
      <c r="A1057" s="6">
        <v>1056</v>
      </c>
      <c r="B1057" s="7" t="str">
        <f t="shared" si="681"/>
        <v>978-7-5302-2099-3</v>
      </c>
      <c r="C1057" s="7" t="str">
        <f t="shared" si="682"/>
        <v>世界开始的地方</v>
      </c>
      <c r="D1057" s="7" t="str">
        <f t="shared" si="683"/>
        <v>(美) 杜鲁门·卡波特著；伏波译</v>
      </c>
      <c r="E1057" s="7" t="str">
        <f t="shared" si="684"/>
        <v>北京十月文艺出版社</v>
      </c>
      <c r="F1057" s="7" t="str">
        <f t="shared" si="685"/>
        <v>I712.45/2743</v>
      </c>
    </row>
    <row r="1058" customHeight="1" spans="1:6">
      <c r="A1058" s="6">
        <v>1057</v>
      </c>
      <c r="B1058" s="7" t="str">
        <f t="shared" ref="B1058:B1060" si="686">"978-7-02-016888-0"</f>
        <v>978-7-02-016888-0</v>
      </c>
      <c r="C1058" s="7" t="str">
        <f t="shared" ref="C1058:C1060" si="687">"永不离开"</f>
        <v>永不离开</v>
      </c>
      <c r="D1058" s="7" t="str">
        <f t="shared" ref="D1058:D1060" si="688">"(美) 哈罗德·罗宾斯著；何斐译"</f>
        <v>(美) 哈罗德·罗宾斯著；何斐译</v>
      </c>
      <c r="E1058" s="7" t="str">
        <f t="shared" ref="E1058:E1063" si="689">"人民文学出版社"</f>
        <v>人民文学出版社</v>
      </c>
      <c r="F1058" s="7" t="str">
        <f t="shared" ref="F1058:F1060" si="690">"I712.45/2744"</f>
        <v>I712.45/2744</v>
      </c>
    </row>
    <row r="1059" customHeight="1" spans="1:6">
      <c r="A1059" s="6">
        <v>1058</v>
      </c>
      <c r="B1059" s="7" t="str">
        <f t="shared" si="686"/>
        <v>978-7-02-016888-0</v>
      </c>
      <c r="C1059" s="7" t="str">
        <f t="shared" si="687"/>
        <v>永不离开</v>
      </c>
      <c r="D1059" s="7" t="str">
        <f t="shared" si="688"/>
        <v>(美) 哈罗德·罗宾斯著；何斐译</v>
      </c>
      <c r="E1059" s="7" t="str">
        <f t="shared" si="689"/>
        <v>人民文学出版社</v>
      </c>
      <c r="F1059" s="7" t="str">
        <f t="shared" si="690"/>
        <v>I712.45/2744</v>
      </c>
    </row>
    <row r="1060" customHeight="1" spans="1:6">
      <c r="A1060" s="6">
        <v>1059</v>
      </c>
      <c r="B1060" s="7" t="str">
        <f t="shared" si="686"/>
        <v>978-7-02-016888-0</v>
      </c>
      <c r="C1060" s="7" t="str">
        <f t="shared" si="687"/>
        <v>永不离开</v>
      </c>
      <c r="D1060" s="7" t="str">
        <f t="shared" si="688"/>
        <v>(美) 哈罗德·罗宾斯著；何斐译</v>
      </c>
      <c r="E1060" s="7" t="str">
        <f t="shared" si="689"/>
        <v>人民文学出版社</v>
      </c>
      <c r="F1060" s="7" t="str">
        <f t="shared" si="690"/>
        <v>I712.45/2744</v>
      </c>
    </row>
    <row r="1061" customHeight="1" spans="1:6">
      <c r="A1061" s="6">
        <v>1060</v>
      </c>
      <c r="B1061" s="7" t="str">
        <f t="shared" ref="B1061:B1063" si="691">"978-7-02-016889-7"</f>
        <v>978-7-02-016889-7</v>
      </c>
      <c r="C1061" s="7" t="str">
        <f t="shared" ref="C1061:C1063" si="692">"昏迷"</f>
        <v>昏迷</v>
      </c>
      <c r="D1061" s="7" t="str">
        <f t="shared" ref="D1061:D1063" si="693">"(美) 罗宾·科克著Robin Cook；何斐译"</f>
        <v>(美) 罗宾·科克著Robin Cook；何斐译</v>
      </c>
      <c r="E1061" s="7" t="str">
        <f t="shared" si="689"/>
        <v>人民文学出版社</v>
      </c>
      <c r="F1061" s="7" t="str">
        <f t="shared" ref="F1061:F1063" si="694">"I712.45/2745"</f>
        <v>I712.45/2745</v>
      </c>
    </row>
    <row r="1062" customHeight="1" spans="1:6">
      <c r="A1062" s="6">
        <v>1061</v>
      </c>
      <c r="B1062" s="7" t="str">
        <f t="shared" si="691"/>
        <v>978-7-02-016889-7</v>
      </c>
      <c r="C1062" s="7" t="str">
        <f t="shared" si="692"/>
        <v>昏迷</v>
      </c>
      <c r="D1062" s="7" t="str">
        <f t="shared" si="693"/>
        <v>(美) 罗宾·科克著Robin Cook；何斐译</v>
      </c>
      <c r="E1062" s="7" t="str">
        <f t="shared" si="689"/>
        <v>人民文学出版社</v>
      </c>
      <c r="F1062" s="7" t="str">
        <f t="shared" si="694"/>
        <v>I712.45/2745</v>
      </c>
    </row>
    <row r="1063" customHeight="1" spans="1:6">
      <c r="A1063" s="6">
        <v>1062</v>
      </c>
      <c r="B1063" s="7" t="str">
        <f t="shared" si="691"/>
        <v>978-7-02-016889-7</v>
      </c>
      <c r="C1063" s="7" t="str">
        <f t="shared" si="692"/>
        <v>昏迷</v>
      </c>
      <c r="D1063" s="7" t="str">
        <f t="shared" si="693"/>
        <v>(美) 罗宾·科克著Robin Cook；何斐译</v>
      </c>
      <c r="E1063" s="7" t="str">
        <f t="shared" si="689"/>
        <v>人民文学出版社</v>
      </c>
      <c r="F1063" s="7" t="str">
        <f t="shared" si="694"/>
        <v>I712.45/2745</v>
      </c>
    </row>
    <row r="1064" customHeight="1" spans="1:6">
      <c r="A1064" s="6">
        <v>1063</v>
      </c>
      <c r="B1064" s="7" t="str">
        <f t="shared" ref="B1064:B1066" si="695">"978-7-208-17114-5"</f>
        <v>978-7-208-17114-5</v>
      </c>
      <c r="C1064" s="7" t="str">
        <f t="shared" ref="C1064:C1066" si="696">"灿烂千阳"</f>
        <v>灿烂千阳</v>
      </c>
      <c r="D1064" s="7" t="str">
        <f t="shared" ref="D1064:D1066" si="697">"(美) 卡勒德·胡赛尼著Khaled Hosseini；李继宏译"</f>
        <v>(美) 卡勒德·胡赛尼著Khaled Hosseini；李继宏译</v>
      </c>
      <c r="E1064" s="7" t="str">
        <f t="shared" ref="E1064:E1066" si="698">"上海人民出版社"</f>
        <v>上海人民出版社</v>
      </c>
      <c r="F1064" s="7" t="str">
        <f t="shared" ref="F1064:F1066" si="699">"I712.45/652-2"</f>
        <v>I712.45/652-2</v>
      </c>
    </row>
    <row r="1065" customHeight="1" spans="1:6">
      <c r="A1065" s="6">
        <v>1064</v>
      </c>
      <c r="B1065" s="7" t="str">
        <f t="shared" si="695"/>
        <v>978-7-208-17114-5</v>
      </c>
      <c r="C1065" s="7" t="str">
        <f t="shared" si="696"/>
        <v>灿烂千阳</v>
      </c>
      <c r="D1065" s="7" t="str">
        <f t="shared" si="697"/>
        <v>(美) 卡勒德·胡赛尼著Khaled Hosseini；李继宏译</v>
      </c>
      <c r="E1065" s="7" t="str">
        <f t="shared" si="698"/>
        <v>上海人民出版社</v>
      </c>
      <c r="F1065" s="7" t="str">
        <f t="shared" si="699"/>
        <v>I712.45/652-2</v>
      </c>
    </row>
    <row r="1066" customHeight="1" spans="1:6">
      <c r="A1066" s="6">
        <v>1065</v>
      </c>
      <c r="B1066" s="7" t="str">
        <f t="shared" si="695"/>
        <v>978-7-208-17114-5</v>
      </c>
      <c r="C1066" s="7" t="str">
        <f t="shared" si="696"/>
        <v>灿烂千阳</v>
      </c>
      <c r="D1066" s="7" t="str">
        <f t="shared" si="697"/>
        <v>(美) 卡勒德·胡赛尼著Khaled Hosseini；李继宏译</v>
      </c>
      <c r="E1066" s="7" t="str">
        <f t="shared" si="698"/>
        <v>上海人民出版社</v>
      </c>
      <c r="F1066" s="7" t="str">
        <f t="shared" si="699"/>
        <v>I712.45/652-2</v>
      </c>
    </row>
    <row r="1067" customHeight="1" spans="1:6">
      <c r="A1067" s="6">
        <v>1066</v>
      </c>
      <c r="B1067" s="7" t="str">
        <f t="shared" ref="B1067:B1069" si="700">"978-7-02-015915-4"</f>
        <v>978-7-02-015915-4</v>
      </c>
      <c r="C1067" s="7" t="str">
        <f t="shared" ref="C1067:C1069" si="701">"世界博览会"</f>
        <v>世界博览会</v>
      </c>
      <c r="D1067" s="7" t="str">
        <f t="shared" ref="D1067:D1069" si="702">"(美) E.L.多克托罗著E. L.Doctorow；陈安译"</f>
        <v>(美) E.L.多克托罗著E. L.Doctorow；陈安译</v>
      </c>
      <c r="E1067" s="7" t="str">
        <f t="shared" ref="E1067:E1069" si="703">"人民文学出版社"</f>
        <v>人民文学出版社</v>
      </c>
      <c r="F1067" s="7" t="str">
        <f t="shared" ref="F1067:F1069" si="704">"I712.45/986-2"</f>
        <v>I712.45/986-2</v>
      </c>
    </row>
    <row r="1068" customHeight="1" spans="1:6">
      <c r="A1068" s="6">
        <v>1067</v>
      </c>
      <c r="B1068" s="7" t="str">
        <f t="shared" si="700"/>
        <v>978-7-02-015915-4</v>
      </c>
      <c r="C1068" s="7" t="str">
        <f t="shared" si="701"/>
        <v>世界博览会</v>
      </c>
      <c r="D1068" s="7" t="str">
        <f t="shared" si="702"/>
        <v>(美) E.L.多克托罗著E. L.Doctorow；陈安译</v>
      </c>
      <c r="E1068" s="7" t="str">
        <f t="shared" si="703"/>
        <v>人民文学出版社</v>
      </c>
      <c r="F1068" s="7" t="str">
        <f t="shared" si="704"/>
        <v>I712.45/986-2</v>
      </c>
    </row>
    <row r="1069" customHeight="1" spans="1:6">
      <c r="A1069" s="6">
        <v>1068</v>
      </c>
      <c r="B1069" s="7" t="str">
        <f t="shared" si="700"/>
        <v>978-7-02-015915-4</v>
      </c>
      <c r="C1069" s="7" t="str">
        <f t="shared" si="701"/>
        <v>世界博览会</v>
      </c>
      <c r="D1069" s="7" t="str">
        <f t="shared" si="702"/>
        <v>(美) E.L.多克托罗著E. L.Doctorow；陈安译</v>
      </c>
      <c r="E1069" s="7" t="str">
        <f t="shared" si="703"/>
        <v>人民文学出版社</v>
      </c>
      <c r="F1069" s="7" t="str">
        <f t="shared" si="704"/>
        <v>I712.45/986-2</v>
      </c>
    </row>
    <row r="1070" customHeight="1" spans="1:6">
      <c r="A1070" s="6">
        <v>1069</v>
      </c>
      <c r="B1070" s="7" t="str">
        <f>"978-7-5217-2804-0"</f>
        <v>978-7-5217-2804-0</v>
      </c>
      <c r="C1070" s="7" t="str">
        <f>"中国后浪"</f>
        <v>中国后浪</v>
      </c>
      <c r="D1070" s="7" t="str">
        <f>"(美) 戴三才著Zak Dychtwald；舍其译"</f>
        <v>(美) 戴三才著Zak Dychtwald；舍其译</v>
      </c>
      <c r="E1070" s="7" t="str">
        <f t="shared" ref="E1070:E1073" si="705">"中信出版集团股份有限公司"</f>
        <v>中信出版集团股份有限公司</v>
      </c>
      <c r="F1070" s="7" t="str">
        <f>"I712.55/280"</f>
        <v>I712.55/280</v>
      </c>
    </row>
    <row r="1071" customHeight="1" spans="1:6">
      <c r="A1071" s="6">
        <v>1070</v>
      </c>
      <c r="B1071" s="7" t="str">
        <f>"978-7-5217-2804-0"</f>
        <v>978-7-5217-2804-0</v>
      </c>
      <c r="C1071" s="7" t="str">
        <f>"中国后浪"</f>
        <v>中国后浪</v>
      </c>
      <c r="D1071" s="7" t="str">
        <f>"(美) 戴三才著Zak Dychtwald；舍其译"</f>
        <v>(美) 戴三才著Zak Dychtwald；舍其译</v>
      </c>
      <c r="E1071" s="7" t="str">
        <f t="shared" si="705"/>
        <v>中信出版集团股份有限公司</v>
      </c>
      <c r="F1071" s="7" t="str">
        <f>"I712.55/280"</f>
        <v>I712.55/280</v>
      </c>
    </row>
    <row r="1072" customHeight="1" spans="1:6">
      <c r="A1072" s="6">
        <v>1071</v>
      </c>
      <c r="B1072" s="7" t="str">
        <f>"978-7-5217-3039-5"</f>
        <v>978-7-5217-3039-5</v>
      </c>
      <c r="C1072" s="7" t="str">
        <f>"伟大的秘密：从“二战”芥子气泄漏事件到癌症化学疗法的发现：the classified world war ii disaster that launched the war on cancer"</f>
        <v>伟大的秘密：从“二战”芥子气泄漏事件到癌症化学疗法的发现：the classified world war ii disaster that launched the war on cancer</v>
      </c>
      <c r="D1072" s="7" t="str">
        <f>"(美) 詹妮特·科南特著Jennet Conant；胡小锐译"</f>
        <v>(美) 詹妮特·科南特著Jennet Conant；胡小锐译</v>
      </c>
      <c r="E1072" s="7" t="str">
        <f t="shared" si="705"/>
        <v>中信出版集团股份有限公司</v>
      </c>
      <c r="F1072" s="7" t="str">
        <f>"I712.55/281"</f>
        <v>I712.55/281</v>
      </c>
    </row>
    <row r="1073" customHeight="1" spans="1:6">
      <c r="A1073" s="6">
        <v>1072</v>
      </c>
      <c r="B1073" s="7" t="str">
        <f>"978-7-5217-3039-5"</f>
        <v>978-7-5217-3039-5</v>
      </c>
      <c r="C1073" s="7" t="str">
        <f>"伟大的秘密：从“二战”芥子气泄漏事件到癌症化学疗法的发现：the classified world war ii disaster that launched the war on cancer"</f>
        <v>伟大的秘密：从“二战”芥子气泄漏事件到癌症化学疗法的发现：the classified world war ii disaster that launched the war on cancer</v>
      </c>
      <c r="D1073" s="7" t="str">
        <f>"(美) 詹妮特·科南特著Jennet Conant；胡小锐译"</f>
        <v>(美) 詹妮特·科南特著Jennet Conant；胡小锐译</v>
      </c>
      <c r="E1073" s="7" t="str">
        <f t="shared" si="705"/>
        <v>中信出版集团股份有限公司</v>
      </c>
      <c r="F1073" s="7" t="str">
        <f>"I712.55/281"</f>
        <v>I712.55/281</v>
      </c>
    </row>
    <row r="1074" customHeight="1" spans="1:6">
      <c r="A1074" s="6">
        <v>1073</v>
      </c>
      <c r="B1074" s="7" t="str">
        <f t="shared" ref="B1074:B1076" si="706">"978-7-108-05605-4"</f>
        <v>978-7-108-05605-4</v>
      </c>
      <c r="C1074" s="7" t="str">
        <f t="shared" ref="C1074:C1076" si="707">"欲望之石：权力、谎言与爱情交织的钻石梦：a journey through the world of diamonds， deceit， and desire"</f>
        <v>欲望之石：权力、谎言与爱情交织的钻石梦：a journey through the world of diamonds， deceit， and desire</v>
      </c>
      <c r="D1074" s="7" t="str">
        <f t="shared" ref="D1074:D1076" si="708">"(美) 汤姆·佐尔纳著Tom Zoellner；麦慧芬译"</f>
        <v>(美) 汤姆·佐尔纳著Tom Zoellner；麦慧芬译</v>
      </c>
      <c r="E1074" s="7" t="str">
        <f t="shared" ref="E1074:E1076" si="709">"三联书店"</f>
        <v>三联书店</v>
      </c>
      <c r="F1074" s="7" t="str">
        <f t="shared" ref="F1074:F1076" si="710">"I712.55/282"</f>
        <v>I712.55/282</v>
      </c>
    </row>
    <row r="1075" customHeight="1" spans="1:6">
      <c r="A1075" s="6">
        <v>1074</v>
      </c>
      <c r="B1075" s="7" t="str">
        <f t="shared" si="706"/>
        <v>978-7-108-05605-4</v>
      </c>
      <c r="C1075" s="7" t="str">
        <f t="shared" si="707"/>
        <v>欲望之石：权力、谎言与爱情交织的钻石梦：a journey through the world of diamonds， deceit， and desire</v>
      </c>
      <c r="D1075" s="7" t="str">
        <f t="shared" si="708"/>
        <v>(美) 汤姆·佐尔纳著Tom Zoellner；麦慧芬译</v>
      </c>
      <c r="E1075" s="7" t="str">
        <f t="shared" si="709"/>
        <v>三联书店</v>
      </c>
      <c r="F1075" s="7" t="str">
        <f t="shared" si="710"/>
        <v>I712.55/282</v>
      </c>
    </row>
    <row r="1076" customHeight="1" spans="1:6">
      <c r="A1076" s="6">
        <v>1075</v>
      </c>
      <c r="B1076" s="7" t="str">
        <f t="shared" si="706"/>
        <v>978-7-108-05605-4</v>
      </c>
      <c r="C1076" s="7" t="str">
        <f t="shared" si="707"/>
        <v>欲望之石：权力、谎言与爱情交织的钻石梦：a journey through the world of diamonds， deceit， and desire</v>
      </c>
      <c r="D1076" s="7" t="str">
        <f t="shared" si="708"/>
        <v>(美) 汤姆·佐尔纳著Tom Zoellner；麦慧芬译</v>
      </c>
      <c r="E1076" s="7" t="str">
        <f t="shared" si="709"/>
        <v>三联书店</v>
      </c>
      <c r="F1076" s="7" t="str">
        <f t="shared" si="710"/>
        <v>I712.55/282</v>
      </c>
    </row>
    <row r="1077" customHeight="1" spans="1:6">
      <c r="A1077" s="6">
        <v>1076</v>
      </c>
      <c r="B1077" s="7" t="str">
        <f>"978-7-5710-0295-4"</f>
        <v>978-7-5710-0295-4</v>
      </c>
      <c r="C1077" s="7" t="str">
        <f>"写给牡蛎的情书"</f>
        <v>写给牡蛎的情书</v>
      </c>
      <c r="D1077" s="7" t="str">
        <f>"(美) M. F. K. 费雪著M. F. K. Fisher；韩良忆译"</f>
        <v>(美) M. F. K. 费雪著M. F. K. Fisher；韩良忆译</v>
      </c>
      <c r="E1077" s="7" t="str">
        <f>"湖南科学技术出版社"</f>
        <v>湖南科学技术出版社</v>
      </c>
      <c r="F1077" s="7" t="str">
        <f>"I712.65/102-2"</f>
        <v>I712.65/102-2</v>
      </c>
    </row>
    <row r="1078" customHeight="1" spans="1:6">
      <c r="A1078" s="6">
        <v>1077</v>
      </c>
      <c r="B1078" s="7" t="str">
        <f>"978-7-5710-0295-4"</f>
        <v>978-7-5710-0295-4</v>
      </c>
      <c r="C1078" s="7" t="str">
        <f>"写给牡蛎的情书"</f>
        <v>写给牡蛎的情书</v>
      </c>
      <c r="D1078" s="7" t="str">
        <f>"(美) M. F. K. 费雪著M. F. K. Fisher；韩良忆译"</f>
        <v>(美) M. F. K. 费雪著M. F. K. Fisher；韩良忆译</v>
      </c>
      <c r="E1078" s="7" t="str">
        <f>"湖南科学技术出版社"</f>
        <v>湖南科学技术出版社</v>
      </c>
      <c r="F1078" s="7" t="str">
        <f>"I712.65/102-2"</f>
        <v>I712.65/102-2</v>
      </c>
    </row>
    <row r="1079" customHeight="1" spans="1:6">
      <c r="A1079" s="6">
        <v>1078</v>
      </c>
      <c r="B1079" s="7" t="str">
        <f>"978-7-5108-9279-0"</f>
        <v>978-7-5108-9279-0</v>
      </c>
      <c r="C1079" s="7" t="str">
        <f>"在中国大地上：搭火车旅行记"</f>
        <v>在中国大地上：搭火车旅行记</v>
      </c>
      <c r="D1079" s="7" t="str">
        <f>"(美) 保罗·索鲁著；陈媛媛译"</f>
        <v>(美) 保罗·索鲁著；陈媛媛译</v>
      </c>
      <c r="E1079" s="7" t="str">
        <f>"九州出版社"</f>
        <v>九州出版社</v>
      </c>
      <c r="F1079" s="7" t="str">
        <f>"I712.65/387"</f>
        <v>I712.65/387</v>
      </c>
    </row>
    <row r="1080" customHeight="1" spans="1:6">
      <c r="A1080" s="6">
        <v>1079</v>
      </c>
      <c r="B1080" s="7" t="str">
        <f>"978-7-5108-9279-0"</f>
        <v>978-7-5108-9279-0</v>
      </c>
      <c r="C1080" s="7" t="str">
        <f>"在中国大地上：搭火车旅行记"</f>
        <v>在中国大地上：搭火车旅行记</v>
      </c>
      <c r="D1080" s="7" t="str">
        <f>"(美) 保罗·索鲁著；陈媛媛译"</f>
        <v>(美) 保罗·索鲁著；陈媛媛译</v>
      </c>
      <c r="E1080" s="7" t="str">
        <f>"九州出版社"</f>
        <v>九州出版社</v>
      </c>
      <c r="F1080" s="7" t="str">
        <f>"I712.65/387"</f>
        <v>I712.65/387</v>
      </c>
    </row>
    <row r="1081" customHeight="1" spans="1:6">
      <c r="A1081" s="6">
        <v>1080</v>
      </c>
      <c r="B1081" s="7" t="str">
        <f>"978-7-5212-1154-2"</f>
        <v>978-7-5212-1154-2</v>
      </c>
      <c r="C1081" s="7" t="str">
        <f>"我们的土地"</f>
        <v>我们的土地</v>
      </c>
      <c r="D1081" s="7" t="str">
        <f>"(墨西哥) 卡洛斯-富恩特斯著Carlos Fuentes；林一安译"</f>
        <v>(墨西哥) 卡洛斯-富恩特斯著Carlos Fuentes；林一安译</v>
      </c>
      <c r="E1081" s="7" t="str">
        <f>"作家出版社"</f>
        <v>作家出版社</v>
      </c>
      <c r="F1081" s="7" t="str">
        <f>"I731.45/21"</f>
        <v>I731.45/21</v>
      </c>
    </row>
    <row r="1082" customHeight="1" spans="1:6">
      <c r="A1082" s="6">
        <v>1081</v>
      </c>
      <c r="B1082" s="7" t="str">
        <f>"978-7-5212-1154-2"</f>
        <v>978-7-5212-1154-2</v>
      </c>
      <c r="C1082" s="7" t="str">
        <f>"我们的土地"</f>
        <v>我们的土地</v>
      </c>
      <c r="D1082" s="7" t="str">
        <f>"(墨西哥) 卡洛斯-富恩特斯著Carlos Fuentes；林一安译"</f>
        <v>(墨西哥) 卡洛斯-富恩特斯著Carlos Fuentes；林一安译</v>
      </c>
      <c r="E1082" s="7" t="str">
        <f>"作家出版社"</f>
        <v>作家出版社</v>
      </c>
      <c r="F1082" s="7" t="str">
        <f>"I731.45/21"</f>
        <v>I731.45/21</v>
      </c>
    </row>
    <row r="1083" customHeight="1" spans="1:6">
      <c r="A1083" s="6">
        <v>1082</v>
      </c>
      <c r="B1083" s="7" t="str">
        <f t="shared" ref="B1083:B1085" si="711">"978-7-02-016523-0"</f>
        <v>978-7-02-016523-0</v>
      </c>
      <c r="C1083" s="7" t="str">
        <f t="shared" ref="C1083:C1085" si="712">"人间王国"</f>
        <v>人间王国</v>
      </c>
      <c r="D1083" s="7" t="str">
        <f t="shared" ref="D1083:D1085" si="713">"(古巴) 阿莱霍·卡彭铁尔著；盛力译"</f>
        <v>(古巴) 阿莱霍·卡彭铁尔著；盛力译</v>
      </c>
      <c r="E1083" s="7" t="str">
        <f t="shared" ref="E1083:E1095" si="714">"人民文学出版社"</f>
        <v>人民文学出版社</v>
      </c>
      <c r="F1083" s="7" t="str">
        <f t="shared" ref="F1083:F1085" si="715">"I751.45/3"</f>
        <v>I751.45/3</v>
      </c>
    </row>
    <row r="1084" customHeight="1" spans="1:6">
      <c r="A1084" s="6">
        <v>1083</v>
      </c>
      <c r="B1084" s="7" t="str">
        <f t="shared" si="711"/>
        <v>978-7-02-016523-0</v>
      </c>
      <c r="C1084" s="7" t="str">
        <f t="shared" si="712"/>
        <v>人间王国</v>
      </c>
      <c r="D1084" s="7" t="str">
        <f t="shared" si="713"/>
        <v>(古巴) 阿莱霍·卡彭铁尔著；盛力译</v>
      </c>
      <c r="E1084" s="7" t="str">
        <f t="shared" si="714"/>
        <v>人民文学出版社</v>
      </c>
      <c r="F1084" s="7" t="str">
        <f t="shared" si="715"/>
        <v>I751.45/3</v>
      </c>
    </row>
    <row r="1085" customHeight="1" spans="1:6">
      <c r="A1085" s="6">
        <v>1084</v>
      </c>
      <c r="B1085" s="7" t="str">
        <f t="shared" si="711"/>
        <v>978-7-02-016523-0</v>
      </c>
      <c r="C1085" s="7" t="str">
        <f t="shared" si="712"/>
        <v>人间王国</v>
      </c>
      <c r="D1085" s="7" t="str">
        <f t="shared" si="713"/>
        <v>(古巴) 阿莱霍·卡彭铁尔著；盛力译</v>
      </c>
      <c r="E1085" s="7" t="str">
        <f t="shared" si="714"/>
        <v>人民文学出版社</v>
      </c>
      <c r="F1085" s="7" t="str">
        <f t="shared" si="715"/>
        <v>I751.45/3</v>
      </c>
    </row>
    <row r="1086" customHeight="1" spans="1:6">
      <c r="A1086" s="6">
        <v>1085</v>
      </c>
      <c r="B1086" s="7" t="str">
        <f t="shared" ref="B1086:B1088" si="716">"978-7-02-016522-3"</f>
        <v>978-7-02-016522-3</v>
      </c>
      <c r="C1086" s="7" t="str">
        <f t="shared" ref="C1086:C1088" si="717">"时间之战"</f>
        <v>时间之战</v>
      </c>
      <c r="D1086" s="7" t="str">
        <f t="shared" ref="D1086:D1088" si="718">"(古巴) 阿莱霍·卡彭铁尔著；陈皓译"</f>
        <v>(古巴) 阿莱霍·卡彭铁尔著；陈皓译</v>
      </c>
      <c r="E1086" s="7" t="str">
        <f t="shared" si="714"/>
        <v>人民文学出版社</v>
      </c>
      <c r="F1086" s="7" t="str">
        <f t="shared" ref="F1086:F1088" si="719">"I751.45/4"</f>
        <v>I751.45/4</v>
      </c>
    </row>
    <row r="1087" customHeight="1" spans="1:6">
      <c r="A1087" s="6">
        <v>1086</v>
      </c>
      <c r="B1087" s="7" t="str">
        <f t="shared" si="716"/>
        <v>978-7-02-016522-3</v>
      </c>
      <c r="C1087" s="7" t="str">
        <f t="shared" si="717"/>
        <v>时间之战</v>
      </c>
      <c r="D1087" s="7" t="str">
        <f t="shared" si="718"/>
        <v>(古巴) 阿莱霍·卡彭铁尔著；陈皓译</v>
      </c>
      <c r="E1087" s="7" t="str">
        <f t="shared" si="714"/>
        <v>人民文学出版社</v>
      </c>
      <c r="F1087" s="7" t="str">
        <f t="shared" si="719"/>
        <v>I751.45/4</v>
      </c>
    </row>
    <row r="1088" customHeight="1" spans="1:6">
      <c r="A1088" s="6">
        <v>1087</v>
      </c>
      <c r="B1088" s="7" t="str">
        <f t="shared" si="716"/>
        <v>978-7-02-016522-3</v>
      </c>
      <c r="C1088" s="7" t="str">
        <f t="shared" si="717"/>
        <v>时间之战</v>
      </c>
      <c r="D1088" s="7" t="str">
        <f t="shared" si="718"/>
        <v>(古巴) 阿莱霍·卡彭铁尔著；陈皓译</v>
      </c>
      <c r="E1088" s="7" t="str">
        <f t="shared" si="714"/>
        <v>人民文学出版社</v>
      </c>
      <c r="F1088" s="7" t="str">
        <f t="shared" si="719"/>
        <v>I751.45/4</v>
      </c>
    </row>
    <row r="1089" customHeight="1" spans="1:6">
      <c r="A1089" s="6">
        <v>1088</v>
      </c>
      <c r="B1089" s="7" t="str">
        <f>"978-7-02-015952-9"</f>
        <v>978-7-02-015952-9</v>
      </c>
      <c r="C1089" s="7" t="str">
        <f>"城市与狗"</f>
        <v>城市与狗</v>
      </c>
      <c r="D1089" s="7" t="str">
        <f>"(秘鲁) 马里奥·巴尔加斯·略萨著Mario Vargas Llosa；赵德明译"</f>
        <v>(秘鲁) 马里奥·巴尔加斯·略萨著Mario Vargas Llosa；赵德明译</v>
      </c>
      <c r="E1089" s="7" t="str">
        <f t="shared" si="714"/>
        <v>人民文学出版社</v>
      </c>
      <c r="F1089" s="7" t="str">
        <f>"I778.45/10-2"</f>
        <v>I778.45/10-2</v>
      </c>
    </row>
    <row r="1090" customHeight="1" spans="1:6">
      <c r="A1090" s="6">
        <v>1089</v>
      </c>
      <c r="B1090" s="7" t="str">
        <f>"978-7-02-015952-9"</f>
        <v>978-7-02-015952-9</v>
      </c>
      <c r="C1090" s="7" t="str">
        <f>"城市与狗"</f>
        <v>城市与狗</v>
      </c>
      <c r="D1090" s="7" t="str">
        <f>"(秘鲁) 马里奥·巴尔加斯·略萨著Mario Vargas Llosa；赵德明译"</f>
        <v>(秘鲁) 马里奥·巴尔加斯·略萨著Mario Vargas Llosa；赵德明译</v>
      </c>
      <c r="E1090" s="7" t="str">
        <f t="shared" si="714"/>
        <v>人民文学出版社</v>
      </c>
      <c r="F1090" s="7" t="str">
        <f>"I778.45/10-2"</f>
        <v>I778.45/10-2</v>
      </c>
    </row>
    <row r="1091" customHeight="1" spans="1:6">
      <c r="A1091" s="6">
        <v>1090</v>
      </c>
      <c r="B1091" s="7" t="str">
        <f t="shared" ref="B1091:B1093" si="720">"978-7-02-015925-3"</f>
        <v>978-7-02-015925-3</v>
      </c>
      <c r="C1091" s="7" t="str">
        <f t="shared" ref="C1091:C1093" si="721">"五个街角"</f>
        <v>五个街角</v>
      </c>
      <c r="D1091" s="7" t="str">
        <f t="shared" ref="D1091:D1093" si="722">"(秘鲁) 马里奥·巴尔加斯·略萨著Mario Vargas Llosa；侯健译"</f>
        <v>(秘鲁) 马里奥·巴尔加斯·略萨著Mario Vargas Llosa；侯健译</v>
      </c>
      <c r="E1091" s="7" t="str">
        <f t="shared" si="714"/>
        <v>人民文学出版社</v>
      </c>
      <c r="F1091" s="7" t="str">
        <f t="shared" ref="F1091:F1093" si="723">"I778.45/13-2"</f>
        <v>I778.45/13-2</v>
      </c>
    </row>
    <row r="1092" customHeight="1" spans="1:6">
      <c r="A1092" s="6">
        <v>1091</v>
      </c>
      <c r="B1092" s="7" t="str">
        <f t="shared" si="720"/>
        <v>978-7-02-015925-3</v>
      </c>
      <c r="C1092" s="7" t="str">
        <f t="shared" si="721"/>
        <v>五个街角</v>
      </c>
      <c r="D1092" s="7" t="str">
        <f t="shared" si="722"/>
        <v>(秘鲁) 马里奥·巴尔加斯·略萨著Mario Vargas Llosa；侯健译</v>
      </c>
      <c r="E1092" s="7" t="str">
        <f t="shared" si="714"/>
        <v>人民文学出版社</v>
      </c>
      <c r="F1092" s="7" t="str">
        <f t="shared" si="723"/>
        <v>I778.45/13-2</v>
      </c>
    </row>
    <row r="1093" customHeight="1" spans="1:6">
      <c r="A1093" s="6">
        <v>1092</v>
      </c>
      <c r="B1093" s="7" t="str">
        <f t="shared" si="720"/>
        <v>978-7-02-015925-3</v>
      </c>
      <c r="C1093" s="7" t="str">
        <f t="shared" si="721"/>
        <v>五个街角</v>
      </c>
      <c r="D1093" s="7" t="str">
        <f t="shared" si="722"/>
        <v>(秘鲁) 马里奥·巴尔加斯·略萨著Mario Vargas Llosa；侯健译</v>
      </c>
      <c r="E1093" s="7" t="str">
        <f t="shared" si="714"/>
        <v>人民文学出版社</v>
      </c>
      <c r="F1093" s="7" t="str">
        <f t="shared" si="723"/>
        <v>I778.45/13-2</v>
      </c>
    </row>
    <row r="1094" customHeight="1" spans="1:6">
      <c r="A1094" s="6">
        <v>1093</v>
      </c>
      <c r="B1094" s="7" t="str">
        <f>"978-7-02-015919-2"</f>
        <v>978-7-02-015919-2</v>
      </c>
      <c r="C1094" s="7" t="str">
        <f>"公羊的节日"</f>
        <v>公羊的节日</v>
      </c>
      <c r="D1094" s="7" t="str">
        <f>"(秘鲁) 马里奥·巴尔加斯·略萨著Mario Vargas Liosa；赵德明译"</f>
        <v>(秘鲁) 马里奥·巴尔加斯·略萨著Mario Vargas Liosa；赵德明译</v>
      </c>
      <c r="E1094" s="7" t="str">
        <f t="shared" si="714"/>
        <v>人民文学出版社</v>
      </c>
      <c r="F1094" s="7" t="str">
        <f>"I778.45/8-2"</f>
        <v>I778.45/8-2</v>
      </c>
    </row>
    <row r="1095" customHeight="1" spans="1:6">
      <c r="A1095" s="6">
        <v>1094</v>
      </c>
      <c r="B1095" s="7" t="str">
        <f>"978-7-02-015919-2"</f>
        <v>978-7-02-015919-2</v>
      </c>
      <c r="C1095" s="7" t="str">
        <f>"公羊的节日"</f>
        <v>公羊的节日</v>
      </c>
      <c r="D1095" s="7" t="str">
        <f>"(秘鲁) 马里奥·巴尔加斯·略萨著Mario Vargas Liosa；赵德明译"</f>
        <v>(秘鲁) 马里奥·巴尔加斯·略萨著Mario Vargas Liosa；赵德明译</v>
      </c>
      <c r="E1095" s="7" t="str">
        <f t="shared" si="714"/>
        <v>人民文学出版社</v>
      </c>
      <c r="F1095" s="7" t="str">
        <f>"I778.45/8-2"</f>
        <v>I778.45/8-2</v>
      </c>
    </row>
    <row r="1096" customHeight="1" spans="1:6">
      <c r="A1096" s="6">
        <v>1095</v>
      </c>
      <c r="B1096" s="7" t="str">
        <f>"978-7-5411-5929-9"</f>
        <v>978-7-5411-5929-9</v>
      </c>
      <c r="C1096" s="7" t="str">
        <f>"毁灭者亚巴顿"</f>
        <v>毁灭者亚巴顿</v>
      </c>
      <c r="D1096" s="7" t="str">
        <f>"(阿根廷) 埃内斯托·萨瓦托著Ernesto Sabato；陈华译"</f>
        <v>(阿根廷) 埃内斯托·萨瓦托著Ernesto Sabato；陈华译</v>
      </c>
      <c r="E1096" s="7" t="str">
        <f>"四川文艺出版社"</f>
        <v>四川文艺出版社</v>
      </c>
      <c r="F1096" s="7" t="str">
        <f>"I783.45/27"</f>
        <v>I783.45/27</v>
      </c>
    </row>
    <row r="1097" customHeight="1" spans="1:6">
      <c r="A1097" s="6">
        <v>1096</v>
      </c>
      <c r="B1097" s="7" t="str">
        <f>"978-7-5411-5929-9"</f>
        <v>978-7-5411-5929-9</v>
      </c>
      <c r="C1097" s="7" t="str">
        <f>"毁灭者亚巴顿"</f>
        <v>毁灭者亚巴顿</v>
      </c>
      <c r="D1097" s="7" t="str">
        <f>"(阿根廷) 埃内斯托·萨瓦托著Ernesto Sabato；陈华译"</f>
        <v>(阿根廷) 埃内斯托·萨瓦托著Ernesto Sabato；陈华译</v>
      </c>
      <c r="E1097" s="7" t="str">
        <f>"四川文艺出版社"</f>
        <v>四川文艺出版社</v>
      </c>
      <c r="F1097" s="7" t="str">
        <f>"I783.45/27"</f>
        <v>I783.45/27</v>
      </c>
    </row>
  </sheetData>
  <pageMargins left="0.75" right="0.75" top="1" bottom="1" header="0.5" footer="0.5"/>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7" tint="-0.25"/>
  </sheetPr>
  <dimension ref="A1:F1197"/>
  <sheetViews>
    <sheetView workbookViewId="0">
      <selection activeCell="F31" sqref="F31"/>
    </sheetView>
  </sheetViews>
  <sheetFormatPr defaultColWidth="9" defaultRowHeight="18" customHeight="1" outlineLevelCol="5"/>
  <cols>
    <col min="1" max="1" width="5.375" style="12" customWidth="1"/>
    <col min="2" max="2" width="19.375" customWidth="1"/>
    <col min="3" max="3" width="45.625" customWidth="1"/>
    <col min="4" max="4" width="35.625" customWidth="1"/>
    <col min="5" max="5" width="27.125" customWidth="1"/>
    <col min="6" max="6" width="18.25" customWidth="1"/>
  </cols>
  <sheetData>
    <row r="1" s="1" customFormat="1" customHeight="1" spans="1:6">
      <c r="A1" s="5" t="s">
        <v>8186</v>
      </c>
      <c r="B1" s="5" t="s">
        <v>8187</v>
      </c>
      <c r="C1" s="5" t="s">
        <v>8188</v>
      </c>
      <c r="D1" s="5" t="s">
        <v>8189</v>
      </c>
      <c r="E1" s="5" t="s">
        <v>8190</v>
      </c>
      <c r="F1" s="5" t="s">
        <v>8191</v>
      </c>
    </row>
    <row r="2" customHeight="1" spans="1:6">
      <c r="A2" s="6">
        <v>1</v>
      </c>
      <c r="B2" s="8" t="s">
        <v>10134</v>
      </c>
      <c r="C2" s="8" t="s">
        <v>10135</v>
      </c>
      <c r="D2" s="8" t="s">
        <v>10136</v>
      </c>
      <c r="E2" s="8" t="s">
        <v>28</v>
      </c>
      <c r="F2" s="8" t="s">
        <v>10137</v>
      </c>
    </row>
    <row r="3" customHeight="1" spans="1:6">
      <c r="A3" s="6">
        <v>2</v>
      </c>
      <c r="B3" s="8" t="s">
        <v>10134</v>
      </c>
      <c r="C3" s="8" t="s">
        <v>10135</v>
      </c>
      <c r="D3" s="8" t="s">
        <v>10136</v>
      </c>
      <c r="E3" s="8" t="s">
        <v>28</v>
      </c>
      <c r="F3" s="8" t="s">
        <v>10137</v>
      </c>
    </row>
    <row r="4" customHeight="1" spans="1:6">
      <c r="A4" s="6">
        <v>3</v>
      </c>
      <c r="B4" s="8" t="s">
        <v>10138</v>
      </c>
      <c r="C4" s="8" t="s">
        <v>10139</v>
      </c>
      <c r="D4" s="8" t="s">
        <v>10140</v>
      </c>
      <c r="E4" s="8" t="s">
        <v>3146</v>
      </c>
      <c r="F4" s="8" t="s">
        <v>10141</v>
      </c>
    </row>
    <row r="5" customHeight="1" spans="1:6">
      <c r="A5" s="6">
        <v>4</v>
      </c>
      <c r="B5" s="8" t="s">
        <v>10138</v>
      </c>
      <c r="C5" s="8" t="s">
        <v>10139</v>
      </c>
      <c r="D5" s="8" t="s">
        <v>10140</v>
      </c>
      <c r="E5" s="8" t="s">
        <v>3146</v>
      </c>
      <c r="F5" s="8" t="s">
        <v>10141</v>
      </c>
    </row>
    <row r="6" customHeight="1" spans="1:6">
      <c r="A6" s="6">
        <v>5</v>
      </c>
      <c r="B6" s="8" t="s">
        <v>10142</v>
      </c>
      <c r="C6" s="8" t="s">
        <v>10143</v>
      </c>
      <c r="D6" s="8" t="s">
        <v>10144</v>
      </c>
      <c r="E6" s="8" t="s">
        <v>4896</v>
      </c>
      <c r="F6" s="8" t="s">
        <v>10145</v>
      </c>
    </row>
    <row r="7" customHeight="1" spans="1:6">
      <c r="A7" s="6">
        <v>6</v>
      </c>
      <c r="B7" s="8" t="s">
        <v>10142</v>
      </c>
      <c r="C7" s="8" t="s">
        <v>10143</v>
      </c>
      <c r="D7" s="8" t="s">
        <v>10144</v>
      </c>
      <c r="E7" s="8" t="s">
        <v>4896</v>
      </c>
      <c r="F7" s="8" t="s">
        <v>10145</v>
      </c>
    </row>
    <row r="8" customHeight="1" spans="1:6">
      <c r="A8" s="6">
        <v>7</v>
      </c>
      <c r="B8" s="8" t="s">
        <v>10146</v>
      </c>
      <c r="C8" s="8" t="s">
        <v>10147</v>
      </c>
      <c r="D8" s="8" t="s">
        <v>10148</v>
      </c>
      <c r="E8" s="8" t="s">
        <v>43</v>
      </c>
      <c r="F8" s="8" t="s">
        <v>10149</v>
      </c>
    </row>
    <row r="9" customHeight="1" spans="1:6">
      <c r="A9" s="6">
        <v>8</v>
      </c>
      <c r="B9" s="8" t="s">
        <v>10146</v>
      </c>
      <c r="C9" s="8" t="s">
        <v>10147</v>
      </c>
      <c r="D9" s="8" t="s">
        <v>10148</v>
      </c>
      <c r="E9" s="8" t="s">
        <v>43</v>
      </c>
      <c r="F9" s="8" t="s">
        <v>10149</v>
      </c>
    </row>
    <row r="10" customHeight="1" spans="1:6">
      <c r="A10" s="6">
        <v>9</v>
      </c>
      <c r="B10" s="8" t="s">
        <v>10150</v>
      </c>
      <c r="C10" s="8" t="s">
        <v>10151</v>
      </c>
      <c r="D10" s="8" t="s">
        <v>10152</v>
      </c>
      <c r="E10" s="8" t="s">
        <v>10153</v>
      </c>
      <c r="F10" s="8" t="s">
        <v>10154</v>
      </c>
    </row>
    <row r="11" customHeight="1" spans="1:6">
      <c r="A11" s="6">
        <v>10</v>
      </c>
      <c r="B11" s="8" t="s">
        <v>10150</v>
      </c>
      <c r="C11" s="8" t="s">
        <v>10151</v>
      </c>
      <c r="D11" s="8" t="s">
        <v>10152</v>
      </c>
      <c r="E11" s="8" t="s">
        <v>10153</v>
      </c>
      <c r="F11" s="8" t="s">
        <v>10154</v>
      </c>
    </row>
    <row r="12" customHeight="1" spans="1:6">
      <c r="A12" s="6">
        <v>11</v>
      </c>
      <c r="B12" s="8" t="s">
        <v>10155</v>
      </c>
      <c r="C12" s="8" t="s">
        <v>10156</v>
      </c>
      <c r="D12" s="8" t="s">
        <v>10157</v>
      </c>
      <c r="E12" s="8" t="s">
        <v>10158</v>
      </c>
      <c r="F12" s="8" t="s">
        <v>10159</v>
      </c>
    </row>
    <row r="13" customHeight="1" spans="1:6">
      <c r="A13" s="6">
        <v>12</v>
      </c>
      <c r="B13" s="8" t="s">
        <v>10155</v>
      </c>
      <c r="C13" s="8" t="s">
        <v>10156</v>
      </c>
      <c r="D13" s="8" t="s">
        <v>10157</v>
      </c>
      <c r="E13" s="8" t="s">
        <v>10158</v>
      </c>
      <c r="F13" s="8" t="s">
        <v>10159</v>
      </c>
    </row>
    <row r="14" customHeight="1" spans="1:6">
      <c r="A14" s="6">
        <v>13</v>
      </c>
      <c r="B14" s="8" t="s">
        <v>10160</v>
      </c>
      <c r="C14" s="8" t="s">
        <v>10161</v>
      </c>
      <c r="D14" s="8" t="s">
        <v>10162</v>
      </c>
      <c r="E14" s="8" t="s">
        <v>744</v>
      </c>
      <c r="F14" s="8" t="s">
        <v>10163</v>
      </c>
    </row>
    <row r="15" customHeight="1" spans="1:6">
      <c r="A15" s="6">
        <v>14</v>
      </c>
      <c r="B15" s="8" t="s">
        <v>10160</v>
      </c>
      <c r="C15" s="8" t="s">
        <v>10161</v>
      </c>
      <c r="D15" s="8" t="s">
        <v>10162</v>
      </c>
      <c r="E15" s="8" t="s">
        <v>744</v>
      </c>
      <c r="F15" s="8" t="s">
        <v>10163</v>
      </c>
    </row>
    <row r="16" customHeight="1" spans="1:6">
      <c r="A16" s="6">
        <v>15</v>
      </c>
      <c r="B16" s="8" t="s">
        <v>10164</v>
      </c>
      <c r="C16" s="8" t="s">
        <v>10165</v>
      </c>
      <c r="D16" s="8" t="s">
        <v>10166</v>
      </c>
      <c r="E16" s="8" t="s">
        <v>316</v>
      </c>
      <c r="F16" s="8" t="s">
        <v>10167</v>
      </c>
    </row>
    <row r="17" customHeight="1" spans="1:6">
      <c r="A17" s="6">
        <v>16</v>
      </c>
      <c r="B17" s="8" t="s">
        <v>10164</v>
      </c>
      <c r="C17" s="8" t="s">
        <v>10165</v>
      </c>
      <c r="D17" s="8" t="s">
        <v>10166</v>
      </c>
      <c r="E17" s="8" t="s">
        <v>316</v>
      </c>
      <c r="F17" s="8" t="s">
        <v>10167</v>
      </c>
    </row>
    <row r="18" customHeight="1" spans="1:6">
      <c r="A18" s="6">
        <v>17</v>
      </c>
      <c r="B18" s="8" t="s">
        <v>10168</v>
      </c>
      <c r="C18" s="8" t="s">
        <v>10169</v>
      </c>
      <c r="D18" s="8" t="s">
        <v>10170</v>
      </c>
      <c r="E18" s="8" t="s">
        <v>425</v>
      </c>
      <c r="F18" s="8" t="s">
        <v>10171</v>
      </c>
    </row>
    <row r="19" customHeight="1" spans="1:6">
      <c r="A19" s="6">
        <v>18</v>
      </c>
      <c r="B19" s="8" t="s">
        <v>10168</v>
      </c>
      <c r="C19" s="8" t="s">
        <v>10169</v>
      </c>
      <c r="D19" s="8" t="s">
        <v>10170</v>
      </c>
      <c r="E19" s="8" t="s">
        <v>425</v>
      </c>
      <c r="F19" s="8" t="s">
        <v>10171</v>
      </c>
    </row>
    <row r="20" customHeight="1" spans="1:6">
      <c r="A20" s="6">
        <v>19</v>
      </c>
      <c r="B20" s="8" t="s">
        <v>10172</v>
      </c>
      <c r="C20" s="8" t="s">
        <v>10173</v>
      </c>
      <c r="D20" s="8" t="s">
        <v>10174</v>
      </c>
      <c r="E20" s="8" t="s">
        <v>665</v>
      </c>
      <c r="F20" s="8" t="s">
        <v>10175</v>
      </c>
    </row>
    <row r="21" customHeight="1" spans="1:6">
      <c r="A21" s="6">
        <v>20</v>
      </c>
      <c r="B21" s="8" t="s">
        <v>10172</v>
      </c>
      <c r="C21" s="8" t="s">
        <v>10173</v>
      </c>
      <c r="D21" s="8" t="s">
        <v>10174</v>
      </c>
      <c r="E21" s="8" t="s">
        <v>665</v>
      </c>
      <c r="F21" s="8" t="s">
        <v>10175</v>
      </c>
    </row>
    <row r="22" customHeight="1" spans="1:6">
      <c r="A22" s="6">
        <v>21</v>
      </c>
      <c r="B22" s="8" t="s">
        <v>10176</v>
      </c>
      <c r="C22" s="8" t="s">
        <v>10177</v>
      </c>
      <c r="D22" s="8" t="s">
        <v>10178</v>
      </c>
      <c r="E22" s="8" t="s">
        <v>634</v>
      </c>
      <c r="F22" s="8" t="s">
        <v>10179</v>
      </c>
    </row>
    <row r="23" customHeight="1" spans="1:6">
      <c r="A23" s="6">
        <v>22</v>
      </c>
      <c r="B23" s="8" t="s">
        <v>10176</v>
      </c>
      <c r="C23" s="8" t="s">
        <v>10177</v>
      </c>
      <c r="D23" s="8" t="s">
        <v>10178</v>
      </c>
      <c r="E23" s="8" t="s">
        <v>634</v>
      </c>
      <c r="F23" s="8" t="s">
        <v>10179</v>
      </c>
    </row>
    <row r="24" customHeight="1" spans="1:6">
      <c r="A24" s="6">
        <v>23</v>
      </c>
      <c r="B24" s="8" t="s">
        <v>10180</v>
      </c>
      <c r="C24" s="8" t="s">
        <v>10181</v>
      </c>
      <c r="D24" s="8" t="s">
        <v>10182</v>
      </c>
      <c r="E24" s="8" t="s">
        <v>10183</v>
      </c>
      <c r="F24" s="8" t="s">
        <v>10184</v>
      </c>
    </row>
    <row r="25" customHeight="1" spans="1:6">
      <c r="A25" s="6">
        <v>24</v>
      </c>
      <c r="B25" s="8" t="s">
        <v>10180</v>
      </c>
      <c r="C25" s="8" t="s">
        <v>10181</v>
      </c>
      <c r="D25" s="8" t="s">
        <v>10182</v>
      </c>
      <c r="E25" s="8" t="s">
        <v>10183</v>
      </c>
      <c r="F25" s="8" t="s">
        <v>10184</v>
      </c>
    </row>
    <row r="26" customHeight="1" spans="1:6">
      <c r="A26" s="6">
        <v>25</v>
      </c>
      <c r="B26" s="8" t="s">
        <v>10185</v>
      </c>
      <c r="C26" s="8" t="s">
        <v>10186</v>
      </c>
      <c r="D26" s="8" t="s">
        <v>10187</v>
      </c>
      <c r="E26" s="8" t="s">
        <v>28</v>
      </c>
      <c r="F26" s="8" t="s">
        <v>10188</v>
      </c>
    </row>
    <row r="27" customHeight="1" spans="1:6">
      <c r="A27" s="6">
        <v>26</v>
      </c>
      <c r="B27" s="8" t="s">
        <v>10185</v>
      </c>
      <c r="C27" s="8" t="s">
        <v>10186</v>
      </c>
      <c r="D27" s="8" t="s">
        <v>10187</v>
      </c>
      <c r="E27" s="8" t="s">
        <v>28</v>
      </c>
      <c r="F27" s="8" t="s">
        <v>10188</v>
      </c>
    </row>
    <row r="28" customHeight="1" spans="1:6">
      <c r="A28" s="6">
        <v>27</v>
      </c>
      <c r="B28" s="8" t="s">
        <v>10189</v>
      </c>
      <c r="C28" s="8" t="s">
        <v>10190</v>
      </c>
      <c r="D28" s="8" t="s">
        <v>10191</v>
      </c>
      <c r="E28" s="8" t="s">
        <v>1967</v>
      </c>
      <c r="F28" s="8" t="s">
        <v>10192</v>
      </c>
    </row>
    <row r="29" customHeight="1" spans="1:6">
      <c r="A29" s="6">
        <v>28</v>
      </c>
      <c r="B29" s="8" t="s">
        <v>10189</v>
      </c>
      <c r="C29" s="8" t="s">
        <v>10190</v>
      </c>
      <c r="D29" s="8" t="s">
        <v>10191</v>
      </c>
      <c r="E29" s="8" t="s">
        <v>1967</v>
      </c>
      <c r="F29" s="8" t="s">
        <v>10192</v>
      </c>
    </row>
    <row r="30" customHeight="1" spans="1:6">
      <c r="A30" s="6">
        <v>29</v>
      </c>
      <c r="B30" s="8" t="s">
        <v>10193</v>
      </c>
      <c r="C30" s="8" t="s">
        <v>10194</v>
      </c>
      <c r="D30" s="8" t="s">
        <v>10195</v>
      </c>
      <c r="E30" s="8" t="s">
        <v>10196</v>
      </c>
      <c r="F30" s="8" t="s">
        <v>10197</v>
      </c>
    </row>
    <row r="31" customHeight="1" spans="1:6">
      <c r="A31" s="6">
        <v>30</v>
      </c>
      <c r="B31" s="8" t="s">
        <v>10193</v>
      </c>
      <c r="C31" s="8" t="s">
        <v>10194</v>
      </c>
      <c r="D31" s="8" t="s">
        <v>10195</v>
      </c>
      <c r="E31" s="8" t="s">
        <v>10196</v>
      </c>
      <c r="F31" s="8" t="s">
        <v>10197</v>
      </c>
    </row>
    <row r="32" customHeight="1" spans="1:6">
      <c r="A32" s="6">
        <v>31</v>
      </c>
      <c r="B32" s="8" t="s">
        <v>10198</v>
      </c>
      <c r="C32" s="8" t="s">
        <v>10199</v>
      </c>
      <c r="D32" s="8" t="s">
        <v>10200</v>
      </c>
      <c r="E32" s="8" t="s">
        <v>2267</v>
      </c>
      <c r="F32" s="8" t="s">
        <v>10201</v>
      </c>
    </row>
    <row r="33" customHeight="1" spans="1:6">
      <c r="A33" s="6">
        <v>32</v>
      </c>
      <c r="B33" s="8" t="s">
        <v>10198</v>
      </c>
      <c r="C33" s="8" t="s">
        <v>10199</v>
      </c>
      <c r="D33" s="8" t="s">
        <v>10200</v>
      </c>
      <c r="E33" s="8" t="s">
        <v>2267</v>
      </c>
      <c r="F33" s="8" t="s">
        <v>10201</v>
      </c>
    </row>
    <row r="34" customHeight="1" spans="1:6">
      <c r="A34" s="6">
        <v>33</v>
      </c>
      <c r="B34" s="8" t="s">
        <v>10202</v>
      </c>
      <c r="C34" s="8" t="s">
        <v>10203</v>
      </c>
      <c r="D34" s="8" t="s">
        <v>10204</v>
      </c>
      <c r="E34" s="8" t="s">
        <v>53</v>
      </c>
      <c r="F34" s="8" t="s">
        <v>10205</v>
      </c>
    </row>
    <row r="35" customHeight="1" spans="1:6">
      <c r="A35" s="6">
        <v>34</v>
      </c>
      <c r="B35" s="8" t="s">
        <v>10202</v>
      </c>
      <c r="C35" s="8" t="s">
        <v>10203</v>
      </c>
      <c r="D35" s="8" t="s">
        <v>10204</v>
      </c>
      <c r="E35" s="8" t="s">
        <v>53</v>
      </c>
      <c r="F35" s="8" t="s">
        <v>10205</v>
      </c>
    </row>
    <row r="36" customHeight="1" spans="1:6">
      <c r="A36" s="6">
        <v>35</v>
      </c>
      <c r="B36" s="8" t="s">
        <v>10206</v>
      </c>
      <c r="C36" s="8" t="s">
        <v>10207</v>
      </c>
      <c r="D36" s="8" t="s">
        <v>10208</v>
      </c>
      <c r="E36" s="8" t="s">
        <v>5998</v>
      </c>
      <c r="F36" s="8" t="s">
        <v>10209</v>
      </c>
    </row>
    <row r="37" customHeight="1" spans="1:6">
      <c r="A37" s="6">
        <v>36</v>
      </c>
      <c r="B37" s="8" t="s">
        <v>10206</v>
      </c>
      <c r="C37" s="8" t="s">
        <v>10207</v>
      </c>
      <c r="D37" s="8" t="s">
        <v>10208</v>
      </c>
      <c r="E37" s="8" t="s">
        <v>5998</v>
      </c>
      <c r="F37" s="8" t="s">
        <v>10209</v>
      </c>
    </row>
    <row r="38" customHeight="1" spans="1:6">
      <c r="A38" s="6">
        <v>37</v>
      </c>
      <c r="B38" s="8" t="s">
        <v>10210</v>
      </c>
      <c r="C38" s="8" t="s">
        <v>10211</v>
      </c>
      <c r="D38" s="8" t="s">
        <v>10212</v>
      </c>
      <c r="E38" s="8" t="s">
        <v>530</v>
      </c>
      <c r="F38" s="8" t="s">
        <v>10213</v>
      </c>
    </row>
    <row r="39" customHeight="1" spans="1:6">
      <c r="A39" s="6">
        <v>38</v>
      </c>
      <c r="B39" s="8" t="s">
        <v>10210</v>
      </c>
      <c r="C39" s="8" t="s">
        <v>10211</v>
      </c>
      <c r="D39" s="8" t="s">
        <v>10212</v>
      </c>
      <c r="E39" s="8" t="s">
        <v>530</v>
      </c>
      <c r="F39" s="8" t="s">
        <v>10213</v>
      </c>
    </row>
    <row r="40" customHeight="1" spans="1:6">
      <c r="A40" s="6">
        <v>39</v>
      </c>
      <c r="B40" s="8" t="s">
        <v>10214</v>
      </c>
      <c r="C40" s="8" t="s">
        <v>10215</v>
      </c>
      <c r="D40" s="8" t="s">
        <v>10216</v>
      </c>
      <c r="E40" s="8" t="s">
        <v>43</v>
      </c>
      <c r="F40" s="8" t="s">
        <v>10217</v>
      </c>
    </row>
    <row r="41" customHeight="1" spans="1:6">
      <c r="A41" s="6">
        <v>40</v>
      </c>
      <c r="B41" s="8" t="s">
        <v>10214</v>
      </c>
      <c r="C41" s="8" t="s">
        <v>10215</v>
      </c>
      <c r="D41" s="8" t="s">
        <v>10216</v>
      </c>
      <c r="E41" s="8" t="s">
        <v>43</v>
      </c>
      <c r="F41" s="8" t="s">
        <v>10217</v>
      </c>
    </row>
    <row r="42" customHeight="1" spans="1:6">
      <c r="A42" s="6">
        <v>41</v>
      </c>
      <c r="B42" s="7" t="str">
        <f>"978-7-5356-9375-4"</f>
        <v>978-7-5356-9375-4</v>
      </c>
      <c r="C42" s="7" t="str">
        <f>"如何看懂当代艺术"</f>
        <v>如何看懂当代艺术</v>
      </c>
      <c r="D42" s="7" t="str">
        <f>"苏也"</f>
        <v>苏也</v>
      </c>
      <c r="E42" s="7" t="str">
        <f>"湖南美术出版社"</f>
        <v>湖南美术出版社</v>
      </c>
      <c r="F42" s="7" t="str">
        <f>"J051/79"</f>
        <v>J051/79</v>
      </c>
    </row>
    <row r="43" customHeight="1" spans="1:6">
      <c r="A43" s="6">
        <v>42</v>
      </c>
      <c r="B43" s="7" t="str">
        <f>"978-7-5356-9375-4"</f>
        <v>978-7-5356-9375-4</v>
      </c>
      <c r="C43" s="7" t="str">
        <f>"如何看懂当代艺术"</f>
        <v>如何看懂当代艺术</v>
      </c>
      <c r="D43" s="7" t="str">
        <f>"苏也"</f>
        <v>苏也</v>
      </c>
      <c r="E43" s="7" t="str">
        <f>"湖南美术出版社"</f>
        <v>湖南美术出版社</v>
      </c>
      <c r="F43" s="7" t="str">
        <f>"J051/79"</f>
        <v>J051/79</v>
      </c>
    </row>
    <row r="44" customHeight="1" spans="1:6">
      <c r="A44" s="6">
        <v>43</v>
      </c>
      <c r="B44" s="7" t="str">
        <f>"978-7-5596-5202-7"</f>
        <v>978-7-5596-5202-7</v>
      </c>
      <c r="C44" s="7" t="str">
        <f>"花花朵朵 坛坛罐罐：沈从文谈艺术与文物"</f>
        <v>花花朵朵 坛坛罐罐：沈从文谈艺术与文物</v>
      </c>
      <c r="D44" s="7" t="str">
        <f>"沈从文"</f>
        <v>沈从文</v>
      </c>
      <c r="E44" s="7" t="str">
        <f>"北京联合出版公司"</f>
        <v>北京联合出版公司</v>
      </c>
      <c r="F44" s="7" t="str">
        <f>"J052/121"</f>
        <v>J052/121</v>
      </c>
    </row>
    <row r="45" customHeight="1" spans="1:6">
      <c r="A45" s="6">
        <v>44</v>
      </c>
      <c r="B45" s="7" t="str">
        <f>"978-7-5596-5202-7"</f>
        <v>978-7-5596-5202-7</v>
      </c>
      <c r="C45" s="7" t="str">
        <f>"花花朵朵 坛坛罐罐：沈从文谈艺术与文物"</f>
        <v>花花朵朵 坛坛罐罐：沈从文谈艺术与文物</v>
      </c>
      <c r="D45" s="7" t="str">
        <f>"沈从文"</f>
        <v>沈从文</v>
      </c>
      <c r="E45" s="7" t="str">
        <f>"北京联合出版公司"</f>
        <v>北京联合出版公司</v>
      </c>
      <c r="F45" s="7" t="str">
        <f>"J052/121"</f>
        <v>J052/121</v>
      </c>
    </row>
    <row r="46" customHeight="1" spans="1:6">
      <c r="A46" s="6">
        <v>45</v>
      </c>
      <c r="B46" s="8" t="s">
        <v>10218</v>
      </c>
      <c r="C46" s="8" t="s">
        <v>10219</v>
      </c>
      <c r="D46" s="8" t="s">
        <v>10220</v>
      </c>
      <c r="E46" s="8" t="s">
        <v>10221</v>
      </c>
      <c r="F46" s="8" t="s">
        <v>10222</v>
      </c>
    </row>
    <row r="47" customHeight="1" spans="1:6">
      <c r="A47" s="6">
        <v>46</v>
      </c>
      <c r="B47" s="8" t="s">
        <v>10218</v>
      </c>
      <c r="C47" s="8" t="s">
        <v>10219</v>
      </c>
      <c r="D47" s="8" t="s">
        <v>10220</v>
      </c>
      <c r="E47" s="8" t="s">
        <v>10221</v>
      </c>
      <c r="F47" s="8" t="s">
        <v>10222</v>
      </c>
    </row>
    <row r="48" customHeight="1" spans="1:6">
      <c r="A48" s="6">
        <v>47</v>
      </c>
      <c r="B48" s="8" t="s">
        <v>10223</v>
      </c>
      <c r="C48" s="8" t="s">
        <v>10224</v>
      </c>
      <c r="D48" s="8" t="s">
        <v>10225</v>
      </c>
      <c r="E48" s="8" t="s">
        <v>425</v>
      </c>
      <c r="F48" s="8" t="s">
        <v>10226</v>
      </c>
    </row>
    <row r="49" customHeight="1" spans="1:6">
      <c r="A49" s="6">
        <v>48</v>
      </c>
      <c r="B49" s="8" t="s">
        <v>10223</v>
      </c>
      <c r="C49" s="8" t="s">
        <v>10224</v>
      </c>
      <c r="D49" s="8" t="s">
        <v>10225</v>
      </c>
      <c r="E49" s="8" t="s">
        <v>425</v>
      </c>
      <c r="F49" s="8" t="s">
        <v>10226</v>
      </c>
    </row>
    <row r="50" customHeight="1" spans="1:6">
      <c r="A50" s="6">
        <v>49</v>
      </c>
      <c r="B50" s="7" t="str">
        <f>"978-7-100-19487-7"</f>
        <v>978-7-100-19487-7</v>
      </c>
      <c r="C50" s="7" t="str">
        <f>"艺术创造神秘"</f>
        <v>艺术创造神秘</v>
      </c>
      <c r="D50" s="7" t="str">
        <f>"孙周兴著"</f>
        <v>孙周兴著</v>
      </c>
      <c r="E50" s="7" t="str">
        <f>"商务印书馆"</f>
        <v>商务印书馆</v>
      </c>
      <c r="F50" s="7" t="str">
        <f>"J05-53/3"</f>
        <v>J05-53/3</v>
      </c>
    </row>
    <row r="51" customHeight="1" spans="1:6">
      <c r="A51" s="6">
        <v>50</v>
      </c>
      <c r="B51" s="7" t="str">
        <f>"978-7-100-19487-7"</f>
        <v>978-7-100-19487-7</v>
      </c>
      <c r="C51" s="7" t="str">
        <f>"艺术创造神秘"</f>
        <v>艺术创造神秘</v>
      </c>
      <c r="D51" s="7" t="str">
        <f>"孙周兴著"</f>
        <v>孙周兴著</v>
      </c>
      <c r="E51" s="7" t="str">
        <f>"商务印书馆"</f>
        <v>商务印书馆</v>
      </c>
      <c r="F51" s="7" t="str">
        <f>"J05-53/3"</f>
        <v>J05-53/3</v>
      </c>
    </row>
    <row r="52" customHeight="1" spans="1:6">
      <c r="A52" s="6">
        <v>51</v>
      </c>
      <c r="B52" s="8" t="s">
        <v>10227</v>
      </c>
      <c r="C52" s="8" t="s">
        <v>10228</v>
      </c>
      <c r="D52" s="8" t="s">
        <v>10229</v>
      </c>
      <c r="E52" s="8" t="s">
        <v>10230</v>
      </c>
      <c r="F52" s="8" t="s">
        <v>10231</v>
      </c>
    </row>
    <row r="53" customHeight="1" spans="1:6">
      <c r="A53" s="6">
        <v>52</v>
      </c>
      <c r="B53" s="8" t="s">
        <v>10227</v>
      </c>
      <c r="C53" s="8" t="s">
        <v>10228</v>
      </c>
      <c r="D53" s="8" t="s">
        <v>10229</v>
      </c>
      <c r="E53" s="8" t="s">
        <v>10230</v>
      </c>
      <c r="F53" s="8" t="s">
        <v>10231</v>
      </c>
    </row>
    <row r="54" customHeight="1" spans="1:6">
      <c r="A54" s="6">
        <v>53</v>
      </c>
      <c r="B54" s="8" t="s">
        <v>10232</v>
      </c>
      <c r="C54" s="8" t="s">
        <v>10233</v>
      </c>
      <c r="D54" s="8" t="s">
        <v>10234</v>
      </c>
      <c r="E54" s="8" t="s">
        <v>10235</v>
      </c>
      <c r="F54" s="8" t="s">
        <v>10236</v>
      </c>
    </row>
    <row r="55" customHeight="1" spans="1:6">
      <c r="A55" s="6">
        <v>54</v>
      </c>
      <c r="B55" s="8" t="s">
        <v>10232</v>
      </c>
      <c r="C55" s="8" t="s">
        <v>10233</v>
      </c>
      <c r="D55" s="8" t="s">
        <v>10234</v>
      </c>
      <c r="E55" s="8" t="s">
        <v>10235</v>
      </c>
      <c r="F55" s="8" t="s">
        <v>10236</v>
      </c>
    </row>
    <row r="56" customHeight="1" spans="1:6">
      <c r="A56" s="6">
        <v>55</v>
      </c>
      <c r="B56" s="7" t="str">
        <f>"978-7-100-18989-7"</f>
        <v>978-7-100-18989-7</v>
      </c>
      <c r="C56" s="7" t="str">
        <f>"视觉艺术中的意义"</f>
        <v>视觉艺术中的意义</v>
      </c>
      <c r="D56" s="7" t="str">
        <f>"(美) 欧文·潘诺夫斯基著Erwin Panofsky；邵宏译"</f>
        <v>(美) 欧文·潘诺夫斯基著Erwin Panofsky；邵宏译</v>
      </c>
      <c r="E56" s="7" t="str">
        <f>"商务印书馆"</f>
        <v>商务印书馆</v>
      </c>
      <c r="F56" s="7" t="str">
        <f>"J06/598"</f>
        <v>J06/598</v>
      </c>
    </row>
    <row r="57" customHeight="1" spans="1:6">
      <c r="A57" s="6">
        <v>56</v>
      </c>
      <c r="B57" s="7" t="str">
        <f>"978-7-100-18989-7"</f>
        <v>978-7-100-18989-7</v>
      </c>
      <c r="C57" s="7" t="str">
        <f>"视觉艺术中的意义"</f>
        <v>视觉艺术中的意义</v>
      </c>
      <c r="D57" s="7" t="str">
        <f>"(美) 欧文·潘诺夫斯基著Erwin Panofsky；邵宏译"</f>
        <v>(美) 欧文·潘诺夫斯基著Erwin Panofsky；邵宏译</v>
      </c>
      <c r="E57" s="7" t="str">
        <f>"商务印书馆"</f>
        <v>商务印书馆</v>
      </c>
      <c r="F57" s="7" t="str">
        <f>"J06/598"</f>
        <v>J06/598</v>
      </c>
    </row>
    <row r="58" customHeight="1" spans="1:6">
      <c r="A58" s="6">
        <v>57</v>
      </c>
      <c r="B58" s="7" t="str">
        <f>"978-7-03-068880-4"</f>
        <v>978-7-03-068880-4</v>
      </c>
      <c r="C58" s="7" t="str">
        <f>"“文化转向”与视觉文化研究"</f>
        <v>“文化转向”与视觉文化研究</v>
      </c>
      <c r="D58" s="7" t="str">
        <f>"肖伟胜著"</f>
        <v>肖伟胜著</v>
      </c>
      <c r="E58" s="7" t="str">
        <f>"科学出版社"</f>
        <v>科学出版社</v>
      </c>
      <c r="F58" s="7" t="str">
        <f>"J06/599"</f>
        <v>J06/599</v>
      </c>
    </row>
    <row r="59" customHeight="1" spans="1:6">
      <c r="A59" s="6">
        <v>58</v>
      </c>
      <c r="B59" s="7" t="str">
        <f>"978-7-03-068880-4"</f>
        <v>978-7-03-068880-4</v>
      </c>
      <c r="C59" s="7" t="str">
        <f>"“文化转向”与视觉文化研究"</f>
        <v>“文化转向”与视觉文化研究</v>
      </c>
      <c r="D59" s="7" t="str">
        <f>"肖伟胜著"</f>
        <v>肖伟胜著</v>
      </c>
      <c r="E59" s="7" t="str">
        <f>"科学出版社"</f>
        <v>科学出版社</v>
      </c>
      <c r="F59" s="7" t="str">
        <f>"J06/599"</f>
        <v>J06/599</v>
      </c>
    </row>
    <row r="60" customHeight="1" spans="1:6">
      <c r="A60" s="6">
        <v>59</v>
      </c>
      <c r="B60" s="7" t="str">
        <f>"978-7-5598-3660-1"</f>
        <v>978-7-5598-3660-1</v>
      </c>
      <c r="C60" s="7" t="str">
        <f>"设计 未来 超智人"</f>
        <v>设计 未来 超智人</v>
      </c>
      <c r="D60" s="7" t="str">
        <f>"邵唯晏著"</f>
        <v>邵唯晏著</v>
      </c>
      <c r="E60" s="7" t="str">
        <f>"广西师范大学出版社"</f>
        <v>广西师范大学出版社</v>
      </c>
      <c r="F60" s="7" t="str">
        <f>"J06/600"</f>
        <v>J06/600</v>
      </c>
    </row>
    <row r="61" customHeight="1" spans="1:6">
      <c r="A61" s="6">
        <v>60</v>
      </c>
      <c r="B61" s="7" t="str">
        <f>"978-7-5598-3660-1"</f>
        <v>978-7-5598-3660-1</v>
      </c>
      <c r="C61" s="7" t="str">
        <f>"设计 未来 超智人"</f>
        <v>设计 未来 超智人</v>
      </c>
      <c r="D61" s="7" t="str">
        <f>"邵唯晏著"</f>
        <v>邵唯晏著</v>
      </c>
      <c r="E61" s="7" t="str">
        <f>"广西师范大学出版社"</f>
        <v>广西师范大学出版社</v>
      </c>
      <c r="F61" s="7" t="str">
        <f>"J06/600"</f>
        <v>J06/600</v>
      </c>
    </row>
    <row r="62" customHeight="1" spans="1:6">
      <c r="A62" s="6">
        <v>61</v>
      </c>
      <c r="B62" s="7" t="str">
        <f>"978-7-5217-1264-3"</f>
        <v>978-7-5217-1264-3</v>
      </c>
      <c r="C62" s="7" t="str">
        <f>"白"</f>
        <v>白</v>
      </c>
      <c r="D62" s="7" t="str">
        <f>"原研哉；黄悦生译"</f>
        <v>原研哉；黄悦生译</v>
      </c>
      <c r="E62" s="7" t="str">
        <f>"中信出版集团股份有限公司"</f>
        <v>中信出版集团股份有限公司</v>
      </c>
      <c r="F62" s="7" t="str">
        <f>"J06/601"</f>
        <v>J06/601</v>
      </c>
    </row>
    <row r="63" customHeight="1" spans="1:6">
      <c r="A63" s="6">
        <v>62</v>
      </c>
      <c r="B63" s="7" t="str">
        <f>"978-7-5217-1264-3"</f>
        <v>978-7-5217-1264-3</v>
      </c>
      <c r="C63" s="7" t="str">
        <f>"白"</f>
        <v>白</v>
      </c>
      <c r="D63" s="7" t="str">
        <f>"原研哉；黄悦生译"</f>
        <v>原研哉；黄悦生译</v>
      </c>
      <c r="E63" s="7" t="str">
        <f>"中信出版集团股份有限公司"</f>
        <v>中信出版集团股份有限公司</v>
      </c>
      <c r="F63" s="7" t="str">
        <f>"J06/601"</f>
        <v>J06/601</v>
      </c>
    </row>
    <row r="64" customHeight="1" spans="1:6">
      <c r="A64" s="6">
        <v>63</v>
      </c>
      <c r="B64" s="8" t="s">
        <v>10237</v>
      </c>
      <c r="C64" s="8" t="s">
        <v>10238</v>
      </c>
      <c r="D64" s="8" t="s">
        <v>10239</v>
      </c>
      <c r="E64" s="8" t="s">
        <v>10240</v>
      </c>
      <c r="F64" s="8" t="s">
        <v>10241</v>
      </c>
    </row>
    <row r="65" customHeight="1" spans="1:6">
      <c r="A65" s="6">
        <v>64</v>
      </c>
      <c r="B65" s="8" t="s">
        <v>10237</v>
      </c>
      <c r="C65" s="8" t="s">
        <v>10238</v>
      </c>
      <c r="D65" s="8" t="s">
        <v>10239</v>
      </c>
      <c r="E65" s="8" t="s">
        <v>10240</v>
      </c>
      <c r="F65" s="8" t="s">
        <v>10241</v>
      </c>
    </row>
    <row r="66" customHeight="1" spans="1:6">
      <c r="A66" s="6">
        <v>65</v>
      </c>
      <c r="B66" s="8" t="s">
        <v>10242</v>
      </c>
      <c r="C66" s="8" t="s">
        <v>10243</v>
      </c>
      <c r="D66" s="8" t="s">
        <v>10244</v>
      </c>
      <c r="E66" s="8" t="s">
        <v>5358</v>
      </c>
      <c r="F66" s="8" t="s">
        <v>10245</v>
      </c>
    </row>
    <row r="67" customHeight="1" spans="1:6">
      <c r="A67" s="6">
        <v>66</v>
      </c>
      <c r="B67" s="8" t="s">
        <v>10242</v>
      </c>
      <c r="C67" s="8" t="s">
        <v>10243</v>
      </c>
      <c r="D67" s="8" t="s">
        <v>10244</v>
      </c>
      <c r="E67" s="8" t="s">
        <v>5358</v>
      </c>
      <c r="F67" s="8" t="s">
        <v>10245</v>
      </c>
    </row>
    <row r="68" customHeight="1" spans="1:6">
      <c r="A68" s="6">
        <v>67</v>
      </c>
      <c r="B68" s="8" t="s">
        <v>10246</v>
      </c>
      <c r="C68" s="8" t="s">
        <v>10247</v>
      </c>
      <c r="D68" s="8" t="s">
        <v>10248</v>
      </c>
      <c r="E68" s="8" t="s">
        <v>675</v>
      </c>
      <c r="F68" s="8" t="s">
        <v>10249</v>
      </c>
    </row>
    <row r="69" customHeight="1" spans="1:6">
      <c r="A69" s="6">
        <v>68</v>
      </c>
      <c r="B69" s="8" t="s">
        <v>10246</v>
      </c>
      <c r="C69" s="8" t="s">
        <v>10247</v>
      </c>
      <c r="D69" s="8" t="s">
        <v>10248</v>
      </c>
      <c r="E69" s="8" t="s">
        <v>675</v>
      </c>
      <c r="F69" s="8" t="s">
        <v>10249</v>
      </c>
    </row>
    <row r="70" customHeight="1" spans="1:6">
      <c r="A70" s="6">
        <v>69</v>
      </c>
      <c r="B70" s="8" t="s">
        <v>10250</v>
      </c>
      <c r="C70" s="8" t="s">
        <v>10251</v>
      </c>
      <c r="D70" s="8" t="s">
        <v>10252</v>
      </c>
      <c r="E70" s="8" t="s">
        <v>665</v>
      </c>
      <c r="F70" s="8" t="s">
        <v>10253</v>
      </c>
    </row>
    <row r="71" customHeight="1" spans="1:6">
      <c r="A71" s="6">
        <v>70</v>
      </c>
      <c r="B71" s="8" t="s">
        <v>10250</v>
      </c>
      <c r="C71" s="8" t="s">
        <v>10251</v>
      </c>
      <c r="D71" s="8" t="s">
        <v>10252</v>
      </c>
      <c r="E71" s="8" t="s">
        <v>665</v>
      </c>
      <c r="F71" s="8" t="s">
        <v>10253</v>
      </c>
    </row>
    <row r="72" customHeight="1" spans="1:6">
      <c r="A72" s="6">
        <v>71</v>
      </c>
      <c r="B72" s="8" t="s">
        <v>10254</v>
      </c>
      <c r="C72" s="8" t="s">
        <v>10255</v>
      </c>
      <c r="D72" s="8" t="s">
        <v>10256</v>
      </c>
      <c r="E72" s="8" t="s">
        <v>1189</v>
      </c>
      <c r="F72" s="8" t="s">
        <v>10257</v>
      </c>
    </row>
    <row r="73" customHeight="1" spans="1:6">
      <c r="A73" s="6">
        <v>72</v>
      </c>
      <c r="B73" s="8" t="s">
        <v>10254</v>
      </c>
      <c r="C73" s="8" t="s">
        <v>10255</v>
      </c>
      <c r="D73" s="8" t="s">
        <v>10256</v>
      </c>
      <c r="E73" s="8" t="s">
        <v>1189</v>
      </c>
      <c r="F73" s="8" t="s">
        <v>10257</v>
      </c>
    </row>
    <row r="74" customHeight="1" spans="1:6">
      <c r="A74" s="6">
        <v>73</v>
      </c>
      <c r="B74" s="8" t="s">
        <v>10258</v>
      </c>
      <c r="C74" s="8" t="s">
        <v>10259</v>
      </c>
      <c r="D74" s="8" t="s">
        <v>10260</v>
      </c>
      <c r="E74" s="8" t="s">
        <v>1948</v>
      </c>
      <c r="F74" s="8" t="s">
        <v>10261</v>
      </c>
    </row>
    <row r="75" customHeight="1" spans="1:6">
      <c r="A75" s="6">
        <v>74</v>
      </c>
      <c r="B75" s="8" t="s">
        <v>10258</v>
      </c>
      <c r="C75" s="8" t="s">
        <v>10259</v>
      </c>
      <c r="D75" s="8" t="s">
        <v>10260</v>
      </c>
      <c r="E75" s="8" t="s">
        <v>1948</v>
      </c>
      <c r="F75" s="8" t="s">
        <v>10261</v>
      </c>
    </row>
    <row r="76" customHeight="1" spans="1:6">
      <c r="A76" s="6">
        <v>75</v>
      </c>
      <c r="B76" s="8" t="s">
        <v>10262</v>
      </c>
      <c r="C76" s="8" t="s">
        <v>10263</v>
      </c>
      <c r="D76" s="8" t="s">
        <v>10264</v>
      </c>
      <c r="E76" s="8" t="s">
        <v>216</v>
      </c>
      <c r="F76" s="8" t="s">
        <v>10265</v>
      </c>
    </row>
    <row r="77" customHeight="1" spans="1:6">
      <c r="A77" s="6">
        <v>76</v>
      </c>
      <c r="B77" s="8" t="s">
        <v>10262</v>
      </c>
      <c r="C77" s="8" t="s">
        <v>10263</v>
      </c>
      <c r="D77" s="8" t="s">
        <v>10264</v>
      </c>
      <c r="E77" s="8" t="s">
        <v>216</v>
      </c>
      <c r="F77" s="8" t="s">
        <v>10265</v>
      </c>
    </row>
    <row r="78" customHeight="1" spans="1:6">
      <c r="A78" s="6">
        <v>77</v>
      </c>
      <c r="B78" s="8" t="s">
        <v>10266</v>
      </c>
      <c r="C78" s="8" t="s">
        <v>10267</v>
      </c>
      <c r="D78" s="8" t="s">
        <v>10268</v>
      </c>
      <c r="E78" s="8" t="s">
        <v>1631</v>
      </c>
      <c r="F78" s="8" t="s">
        <v>10269</v>
      </c>
    </row>
    <row r="79" customHeight="1" spans="1:6">
      <c r="A79" s="6">
        <v>78</v>
      </c>
      <c r="B79" s="8" t="s">
        <v>10266</v>
      </c>
      <c r="C79" s="8" t="s">
        <v>10267</v>
      </c>
      <c r="D79" s="8" t="s">
        <v>10268</v>
      </c>
      <c r="E79" s="8" t="s">
        <v>1631</v>
      </c>
      <c r="F79" s="8" t="s">
        <v>10269</v>
      </c>
    </row>
    <row r="80" customHeight="1" spans="1:6">
      <c r="A80" s="6">
        <v>79</v>
      </c>
      <c r="B80" s="8" t="s">
        <v>10270</v>
      </c>
      <c r="C80" s="8" t="s">
        <v>10271</v>
      </c>
      <c r="D80" s="8" t="s">
        <v>10272</v>
      </c>
      <c r="E80" s="8" t="s">
        <v>298</v>
      </c>
      <c r="F80" s="8" t="s">
        <v>10273</v>
      </c>
    </row>
    <row r="81" customHeight="1" spans="1:6">
      <c r="A81" s="6">
        <v>80</v>
      </c>
      <c r="B81" s="8" t="s">
        <v>10270</v>
      </c>
      <c r="C81" s="8" t="s">
        <v>10271</v>
      </c>
      <c r="D81" s="8" t="s">
        <v>10272</v>
      </c>
      <c r="E81" s="8" t="s">
        <v>298</v>
      </c>
      <c r="F81" s="8" t="s">
        <v>10273</v>
      </c>
    </row>
    <row r="82" customHeight="1" spans="1:6">
      <c r="A82" s="6">
        <v>81</v>
      </c>
      <c r="B82" s="8" t="s">
        <v>10274</v>
      </c>
      <c r="C82" s="8" t="s">
        <v>10275</v>
      </c>
      <c r="D82" s="8" t="s">
        <v>10276</v>
      </c>
      <c r="E82" s="8" t="s">
        <v>744</v>
      </c>
      <c r="F82" s="8" t="s">
        <v>10277</v>
      </c>
    </row>
    <row r="83" customHeight="1" spans="1:6">
      <c r="A83" s="6">
        <v>82</v>
      </c>
      <c r="B83" s="8" t="s">
        <v>10274</v>
      </c>
      <c r="C83" s="8" t="s">
        <v>10275</v>
      </c>
      <c r="D83" s="8" t="s">
        <v>10276</v>
      </c>
      <c r="E83" s="8" t="s">
        <v>744</v>
      </c>
      <c r="F83" s="8" t="s">
        <v>10277</v>
      </c>
    </row>
    <row r="84" customHeight="1" spans="1:6">
      <c r="A84" s="6">
        <v>83</v>
      </c>
      <c r="B84" s="8" t="s">
        <v>10278</v>
      </c>
      <c r="C84" s="8" t="s">
        <v>10279</v>
      </c>
      <c r="D84" s="8" t="s">
        <v>10280</v>
      </c>
      <c r="E84" s="8" t="s">
        <v>10240</v>
      </c>
      <c r="F84" s="8" t="s">
        <v>10281</v>
      </c>
    </row>
    <row r="85" customHeight="1" spans="1:6">
      <c r="A85" s="6">
        <v>84</v>
      </c>
      <c r="B85" s="8" t="s">
        <v>10278</v>
      </c>
      <c r="C85" s="8" t="s">
        <v>10279</v>
      </c>
      <c r="D85" s="8" t="s">
        <v>10280</v>
      </c>
      <c r="E85" s="8" t="s">
        <v>10240</v>
      </c>
      <c r="F85" s="8" t="s">
        <v>10281</v>
      </c>
    </row>
    <row r="86" customHeight="1" spans="1:6">
      <c r="A86" s="6">
        <v>85</v>
      </c>
      <c r="B86" s="8" t="s">
        <v>10282</v>
      </c>
      <c r="C86" s="8" t="s">
        <v>10283</v>
      </c>
      <c r="D86" s="8" t="s">
        <v>10284</v>
      </c>
      <c r="E86" s="8" t="s">
        <v>256</v>
      </c>
      <c r="F86" s="8" t="s">
        <v>10285</v>
      </c>
    </row>
    <row r="87" customHeight="1" spans="1:6">
      <c r="A87" s="6">
        <v>86</v>
      </c>
      <c r="B87" s="8" t="s">
        <v>10282</v>
      </c>
      <c r="C87" s="8" t="s">
        <v>10283</v>
      </c>
      <c r="D87" s="8" t="s">
        <v>10284</v>
      </c>
      <c r="E87" s="8" t="s">
        <v>256</v>
      </c>
      <c r="F87" s="8" t="s">
        <v>10285</v>
      </c>
    </row>
    <row r="88" customHeight="1" spans="1:6">
      <c r="A88" s="6">
        <v>87</v>
      </c>
      <c r="B88" s="8" t="s">
        <v>10286</v>
      </c>
      <c r="C88" s="8" t="s">
        <v>10287</v>
      </c>
      <c r="D88" s="8" t="s">
        <v>10288</v>
      </c>
      <c r="E88" s="8" t="s">
        <v>2459</v>
      </c>
      <c r="F88" s="8" t="s">
        <v>10289</v>
      </c>
    </row>
    <row r="89" customHeight="1" spans="1:6">
      <c r="A89" s="6">
        <v>88</v>
      </c>
      <c r="B89" s="8" t="s">
        <v>10286</v>
      </c>
      <c r="C89" s="8" t="s">
        <v>10287</v>
      </c>
      <c r="D89" s="8" t="s">
        <v>10288</v>
      </c>
      <c r="E89" s="8" t="s">
        <v>2459</v>
      </c>
      <c r="F89" s="8" t="s">
        <v>10289</v>
      </c>
    </row>
    <row r="90" customHeight="1" spans="1:6">
      <c r="A90" s="6">
        <v>89</v>
      </c>
      <c r="B90" s="8" t="s">
        <v>10290</v>
      </c>
      <c r="C90" s="8" t="s">
        <v>10291</v>
      </c>
      <c r="D90" s="8" t="s">
        <v>10292</v>
      </c>
      <c r="E90" s="8" t="s">
        <v>10240</v>
      </c>
      <c r="F90" s="8" t="s">
        <v>10293</v>
      </c>
    </row>
    <row r="91" customHeight="1" spans="1:6">
      <c r="A91" s="6">
        <v>90</v>
      </c>
      <c r="B91" s="8" t="s">
        <v>10290</v>
      </c>
      <c r="C91" s="8" t="s">
        <v>10291</v>
      </c>
      <c r="D91" s="8" t="s">
        <v>10292</v>
      </c>
      <c r="E91" s="8" t="s">
        <v>10240</v>
      </c>
      <c r="F91" s="8" t="s">
        <v>10293</v>
      </c>
    </row>
    <row r="92" customHeight="1" spans="1:6">
      <c r="A92" s="6">
        <v>91</v>
      </c>
      <c r="B92" s="8" t="s">
        <v>10294</v>
      </c>
      <c r="C92" s="8" t="s">
        <v>10295</v>
      </c>
      <c r="D92" s="8" t="s">
        <v>10296</v>
      </c>
      <c r="E92" s="8" t="s">
        <v>28</v>
      </c>
      <c r="F92" s="8" t="s">
        <v>10297</v>
      </c>
    </row>
    <row r="93" customHeight="1" spans="1:6">
      <c r="A93" s="6">
        <v>92</v>
      </c>
      <c r="B93" s="8" t="s">
        <v>10294</v>
      </c>
      <c r="C93" s="8" t="s">
        <v>10295</v>
      </c>
      <c r="D93" s="8" t="s">
        <v>10296</v>
      </c>
      <c r="E93" s="8" t="s">
        <v>28</v>
      </c>
      <c r="F93" s="8" t="s">
        <v>10297</v>
      </c>
    </row>
    <row r="94" customHeight="1" spans="1:6">
      <c r="A94" s="6">
        <v>93</v>
      </c>
      <c r="B94" s="8" t="s">
        <v>10298</v>
      </c>
      <c r="C94" s="8" t="s">
        <v>10299</v>
      </c>
      <c r="D94" s="8" t="s">
        <v>10300</v>
      </c>
      <c r="E94" s="8" t="s">
        <v>1818</v>
      </c>
      <c r="F94" s="8" t="s">
        <v>10301</v>
      </c>
    </row>
    <row r="95" customHeight="1" spans="1:6">
      <c r="A95" s="6">
        <v>94</v>
      </c>
      <c r="B95" s="8" t="s">
        <v>10298</v>
      </c>
      <c r="C95" s="8" t="s">
        <v>10299</v>
      </c>
      <c r="D95" s="8" t="s">
        <v>10300</v>
      </c>
      <c r="E95" s="8" t="s">
        <v>1818</v>
      </c>
      <c r="F95" s="8" t="s">
        <v>10301</v>
      </c>
    </row>
    <row r="96" customHeight="1" spans="1:6">
      <c r="A96" s="6">
        <v>95</v>
      </c>
      <c r="B96" s="8" t="s">
        <v>10302</v>
      </c>
      <c r="C96" s="8" t="s">
        <v>10303</v>
      </c>
      <c r="D96" s="8" t="s">
        <v>10304</v>
      </c>
      <c r="E96" s="8" t="s">
        <v>1189</v>
      </c>
      <c r="F96" s="8" t="s">
        <v>10305</v>
      </c>
    </row>
    <row r="97" customHeight="1" spans="1:6">
      <c r="A97" s="6">
        <v>96</v>
      </c>
      <c r="B97" s="8" t="s">
        <v>10302</v>
      </c>
      <c r="C97" s="8" t="s">
        <v>10303</v>
      </c>
      <c r="D97" s="8" t="s">
        <v>10304</v>
      </c>
      <c r="E97" s="8" t="s">
        <v>1189</v>
      </c>
      <c r="F97" s="8" t="s">
        <v>10305</v>
      </c>
    </row>
    <row r="98" customHeight="1" spans="1:6">
      <c r="A98" s="6">
        <v>97</v>
      </c>
      <c r="B98" s="8" t="s">
        <v>10306</v>
      </c>
      <c r="C98" s="8" t="s">
        <v>10307</v>
      </c>
      <c r="D98" s="8" t="s">
        <v>10308</v>
      </c>
      <c r="E98" s="8" t="s">
        <v>6112</v>
      </c>
      <c r="F98" s="8" t="s">
        <v>10309</v>
      </c>
    </row>
    <row r="99" customHeight="1" spans="1:6">
      <c r="A99" s="6">
        <v>98</v>
      </c>
      <c r="B99" s="8" t="s">
        <v>10306</v>
      </c>
      <c r="C99" s="8" t="s">
        <v>10307</v>
      </c>
      <c r="D99" s="8" t="s">
        <v>10308</v>
      </c>
      <c r="E99" s="8" t="s">
        <v>6112</v>
      </c>
      <c r="F99" s="8" t="s">
        <v>10309</v>
      </c>
    </row>
    <row r="100" customHeight="1" spans="1:6">
      <c r="A100" s="6">
        <v>99</v>
      </c>
      <c r="B100" s="8" t="s">
        <v>10310</v>
      </c>
      <c r="C100" s="8" t="s">
        <v>10311</v>
      </c>
      <c r="D100" s="8" t="s">
        <v>10312</v>
      </c>
      <c r="E100" s="8" t="s">
        <v>1189</v>
      </c>
      <c r="F100" s="8" t="s">
        <v>10313</v>
      </c>
    </row>
    <row r="101" customHeight="1" spans="1:6">
      <c r="A101" s="6">
        <v>100</v>
      </c>
      <c r="B101" s="8" t="s">
        <v>10310</v>
      </c>
      <c r="C101" s="8" t="s">
        <v>10311</v>
      </c>
      <c r="D101" s="8" t="s">
        <v>10312</v>
      </c>
      <c r="E101" s="8" t="s">
        <v>1189</v>
      </c>
      <c r="F101" s="8" t="s">
        <v>10313</v>
      </c>
    </row>
    <row r="102" customHeight="1" spans="1:6">
      <c r="A102" s="6">
        <v>101</v>
      </c>
      <c r="B102" s="8" t="s">
        <v>10314</v>
      </c>
      <c r="C102" s="8" t="s">
        <v>10315</v>
      </c>
      <c r="D102" s="8" t="s">
        <v>10316</v>
      </c>
      <c r="E102" s="8" t="s">
        <v>3146</v>
      </c>
      <c r="F102" s="8" t="s">
        <v>10317</v>
      </c>
    </row>
    <row r="103" customHeight="1" spans="1:6">
      <c r="A103" s="6">
        <v>102</v>
      </c>
      <c r="B103" s="8" t="s">
        <v>10314</v>
      </c>
      <c r="C103" s="8" t="s">
        <v>10315</v>
      </c>
      <c r="D103" s="8" t="s">
        <v>10316</v>
      </c>
      <c r="E103" s="8" t="s">
        <v>3146</v>
      </c>
      <c r="F103" s="8" t="s">
        <v>10317</v>
      </c>
    </row>
    <row r="104" customHeight="1" spans="1:6">
      <c r="A104" s="6">
        <v>103</v>
      </c>
      <c r="B104" s="8" t="s">
        <v>10318</v>
      </c>
      <c r="C104" s="8" t="s">
        <v>10319</v>
      </c>
      <c r="D104" s="8" t="s">
        <v>10320</v>
      </c>
      <c r="E104" s="8" t="s">
        <v>10240</v>
      </c>
      <c r="F104" s="8" t="s">
        <v>10321</v>
      </c>
    </row>
    <row r="105" customHeight="1" spans="1:6">
      <c r="A105" s="6">
        <v>104</v>
      </c>
      <c r="B105" s="8" t="s">
        <v>10318</v>
      </c>
      <c r="C105" s="8" t="s">
        <v>10319</v>
      </c>
      <c r="D105" s="8" t="s">
        <v>10320</v>
      </c>
      <c r="E105" s="8" t="s">
        <v>10240</v>
      </c>
      <c r="F105" s="8" t="s">
        <v>10321</v>
      </c>
    </row>
    <row r="106" customHeight="1" spans="1:6">
      <c r="A106" s="6">
        <v>105</v>
      </c>
      <c r="B106" s="8" t="s">
        <v>10322</v>
      </c>
      <c r="C106" s="8" t="s">
        <v>10323</v>
      </c>
      <c r="D106" s="8" t="s">
        <v>10324</v>
      </c>
      <c r="E106" s="8" t="s">
        <v>4495</v>
      </c>
      <c r="F106" s="8" t="s">
        <v>10325</v>
      </c>
    </row>
    <row r="107" customHeight="1" spans="1:6">
      <c r="A107" s="6">
        <v>106</v>
      </c>
      <c r="B107" s="8" t="s">
        <v>10322</v>
      </c>
      <c r="C107" s="8" t="s">
        <v>10323</v>
      </c>
      <c r="D107" s="8" t="s">
        <v>10324</v>
      </c>
      <c r="E107" s="8" t="s">
        <v>4495</v>
      </c>
      <c r="F107" s="8" t="s">
        <v>10325</v>
      </c>
    </row>
    <row r="108" customHeight="1" spans="1:6">
      <c r="A108" s="6">
        <v>107</v>
      </c>
      <c r="B108" s="8" t="s">
        <v>10326</v>
      </c>
      <c r="C108" s="8" t="s">
        <v>10327</v>
      </c>
      <c r="D108" s="8" t="s">
        <v>10328</v>
      </c>
      <c r="E108" s="8" t="s">
        <v>3146</v>
      </c>
      <c r="F108" s="8" t="s">
        <v>10329</v>
      </c>
    </row>
    <row r="109" customHeight="1" spans="1:6">
      <c r="A109" s="6">
        <v>108</v>
      </c>
      <c r="B109" s="8" t="s">
        <v>10326</v>
      </c>
      <c r="C109" s="8" t="s">
        <v>10327</v>
      </c>
      <c r="D109" s="8" t="s">
        <v>10328</v>
      </c>
      <c r="E109" s="8" t="s">
        <v>3146</v>
      </c>
      <c r="F109" s="8" t="s">
        <v>10329</v>
      </c>
    </row>
    <row r="110" customHeight="1" spans="1:6">
      <c r="A110" s="6">
        <v>109</v>
      </c>
      <c r="B110" s="8" t="s">
        <v>10330</v>
      </c>
      <c r="C110" s="8" t="s">
        <v>10331</v>
      </c>
      <c r="D110" s="8" t="s">
        <v>10332</v>
      </c>
      <c r="E110" s="8" t="s">
        <v>2790</v>
      </c>
      <c r="F110" s="8" t="s">
        <v>10333</v>
      </c>
    </row>
    <row r="111" customHeight="1" spans="1:6">
      <c r="A111" s="6">
        <v>110</v>
      </c>
      <c r="B111" s="8" t="s">
        <v>10330</v>
      </c>
      <c r="C111" s="8" t="s">
        <v>10331</v>
      </c>
      <c r="D111" s="8" t="s">
        <v>10332</v>
      </c>
      <c r="E111" s="8" t="s">
        <v>2790</v>
      </c>
      <c r="F111" s="8" t="s">
        <v>10333</v>
      </c>
    </row>
    <row r="112" customHeight="1" spans="1:6">
      <c r="A112" s="6">
        <v>111</v>
      </c>
      <c r="B112" s="8" t="s">
        <v>10334</v>
      </c>
      <c r="C112" s="8" t="s">
        <v>10335</v>
      </c>
      <c r="D112" s="8" t="s">
        <v>10336</v>
      </c>
      <c r="E112" s="8" t="s">
        <v>10337</v>
      </c>
      <c r="F112" s="8" t="s">
        <v>10338</v>
      </c>
    </row>
    <row r="113" customHeight="1" spans="1:6">
      <c r="A113" s="6">
        <v>112</v>
      </c>
      <c r="B113" s="8" t="s">
        <v>10334</v>
      </c>
      <c r="C113" s="8" t="s">
        <v>10335</v>
      </c>
      <c r="D113" s="8" t="s">
        <v>10336</v>
      </c>
      <c r="E113" s="8" t="s">
        <v>10337</v>
      </c>
      <c r="F113" s="8" t="s">
        <v>10338</v>
      </c>
    </row>
    <row r="114" customHeight="1" spans="1:6">
      <c r="A114" s="6">
        <v>113</v>
      </c>
      <c r="B114" s="8" t="s">
        <v>10339</v>
      </c>
      <c r="C114" s="8" t="s">
        <v>10340</v>
      </c>
      <c r="D114" s="8" t="s">
        <v>10341</v>
      </c>
      <c r="E114" s="8" t="s">
        <v>1636</v>
      </c>
      <c r="F114" s="8" t="s">
        <v>10342</v>
      </c>
    </row>
    <row r="115" customHeight="1" spans="1:6">
      <c r="A115" s="6">
        <v>114</v>
      </c>
      <c r="B115" s="8" t="s">
        <v>10339</v>
      </c>
      <c r="C115" s="8" t="s">
        <v>10340</v>
      </c>
      <c r="D115" s="8" t="s">
        <v>10341</v>
      </c>
      <c r="E115" s="8" t="s">
        <v>1636</v>
      </c>
      <c r="F115" s="8" t="s">
        <v>10342</v>
      </c>
    </row>
    <row r="116" customHeight="1" spans="1:6">
      <c r="A116" s="6">
        <v>115</v>
      </c>
      <c r="B116" s="8" t="s">
        <v>10343</v>
      </c>
      <c r="C116" s="8" t="s">
        <v>10344</v>
      </c>
      <c r="D116" s="8" t="s">
        <v>10345</v>
      </c>
      <c r="E116" s="8" t="s">
        <v>330</v>
      </c>
      <c r="F116" s="8" t="s">
        <v>10346</v>
      </c>
    </row>
    <row r="117" customHeight="1" spans="1:6">
      <c r="A117" s="6">
        <v>116</v>
      </c>
      <c r="B117" s="8" t="s">
        <v>10343</v>
      </c>
      <c r="C117" s="8" t="s">
        <v>10344</v>
      </c>
      <c r="D117" s="8" t="s">
        <v>10345</v>
      </c>
      <c r="E117" s="8" t="s">
        <v>330</v>
      </c>
      <c r="F117" s="8" t="s">
        <v>10346</v>
      </c>
    </row>
    <row r="118" customHeight="1" spans="1:6">
      <c r="A118" s="6">
        <v>117</v>
      </c>
      <c r="B118" s="8" t="s">
        <v>10347</v>
      </c>
      <c r="C118" s="8" t="s">
        <v>10348</v>
      </c>
      <c r="D118" s="8" t="s">
        <v>10349</v>
      </c>
      <c r="E118" s="8" t="s">
        <v>10196</v>
      </c>
      <c r="F118" s="8" t="s">
        <v>10350</v>
      </c>
    </row>
    <row r="119" customHeight="1" spans="1:6">
      <c r="A119" s="6">
        <v>118</v>
      </c>
      <c r="B119" s="8" t="s">
        <v>10347</v>
      </c>
      <c r="C119" s="8" t="s">
        <v>10348</v>
      </c>
      <c r="D119" s="8" t="s">
        <v>10349</v>
      </c>
      <c r="E119" s="8" t="s">
        <v>10196</v>
      </c>
      <c r="F119" s="8" t="s">
        <v>10350</v>
      </c>
    </row>
    <row r="120" customHeight="1" spans="1:6">
      <c r="A120" s="6">
        <v>119</v>
      </c>
      <c r="B120" s="8" t="s">
        <v>10351</v>
      </c>
      <c r="C120" s="8" t="s">
        <v>10352</v>
      </c>
      <c r="D120" s="8" t="s">
        <v>10353</v>
      </c>
      <c r="E120" s="8" t="s">
        <v>485</v>
      </c>
      <c r="F120" s="8" t="s">
        <v>10354</v>
      </c>
    </row>
    <row r="121" customHeight="1" spans="1:6">
      <c r="A121" s="6">
        <v>120</v>
      </c>
      <c r="B121" s="8" t="s">
        <v>10351</v>
      </c>
      <c r="C121" s="8" t="s">
        <v>10352</v>
      </c>
      <c r="D121" s="8" t="s">
        <v>10353</v>
      </c>
      <c r="E121" s="8" t="s">
        <v>485</v>
      </c>
      <c r="F121" s="8" t="s">
        <v>10354</v>
      </c>
    </row>
    <row r="122" customHeight="1" spans="1:6">
      <c r="A122" s="6">
        <v>121</v>
      </c>
      <c r="B122" s="8" t="s">
        <v>10355</v>
      </c>
      <c r="C122" s="8" t="s">
        <v>10356</v>
      </c>
      <c r="D122" s="8" t="s">
        <v>10357</v>
      </c>
      <c r="E122" s="8" t="s">
        <v>1818</v>
      </c>
      <c r="F122" s="8" t="s">
        <v>10358</v>
      </c>
    </row>
    <row r="123" customHeight="1" spans="1:6">
      <c r="A123" s="6">
        <v>122</v>
      </c>
      <c r="B123" s="8" t="s">
        <v>10355</v>
      </c>
      <c r="C123" s="8" t="s">
        <v>10356</v>
      </c>
      <c r="D123" s="8" t="s">
        <v>10357</v>
      </c>
      <c r="E123" s="8" t="s">
        <v>1818</v>
      </c>
      <c r="F123" s="8" t="s">
        <v>10358</v>
      </c>
    </row>
    <row r="124" customHeight="1" spans="1:6">
      <c r="A124" s="6">
        <v>123</v>
      </c>
      <c r="B124" s="8" t="s">
        <v>10359</v>
      </c>
      <c r="C124" s="8" t="s">
        <v>10360</v>
      </c>
      <c r="D124" s="8" t="s">
        <v>10361</v>
      </c>
      <c r="E124" s="8" t="s">
        <v>675</v>
      </c>
      <c r="F124" s="8" t="s">
        <v>10362</v>
      </c>
    </row>
    <row r="125" customHeight="1" spans="1:6">
      <c r="A125" s="6">
        <v>124</v>
      </c>
      <c r="B125" s="8" t="s">
        <v>10359</v>
      </c>
      <c r="C125" s="8" t="s">
        <v>10360</v>
      </c>
      <c r="D125" s="8" t="s">
        <v>10361</v>
      </c>
      <c r="E125" s="8" t="s">
        <v>675</v>
      </c>
      <c r="F125" s="8" t="s">
        <v>10362</v>
      </c>
    </row>
    <row r="126" customHeight="1" spans="1:6">
      <c r="A126" s="6">
        <v>125</v>
      </c>
      <c r="B126" s="8" t="s">
        <v>10363</v>
      </c>
      <c r="C126" s="8" t="s">
        <v>10364</v>
      </c>
      <c r="D126" s="8" t="s">
        <v>10365</v>
      </c>
      <c r="E126" s="8" t="s">
        <v>5806</v>
      </c>
      <c r="F126" s="8" t="s">
        <v>10366</v>
      </c>
    </row>
    <row r="127" customHeight="1" spans="1:6">
      <c r="A127" s="6">
        <v>126</v>
      </c>
      <c r="B127" s="8" t="s">
        <v>10363</v>
      </c>
      <c r="C127" s="8" t="s">
        <v>10364</v>
      </c>
      <c r="D127" s="8" t="s">
        <v>10365</v>
      </c>
      <c r="E127" s="8" t="s">
        <v>5806</v>
      </c>
      <c r="F127" s="8" t="s">
        <v>10366</v>
      </c>
    </row>
    <row r="128" customHeight="1" spans="1:6">
      <c r="A128" s="6">
        <v>127</v>
      </c>
      <c r="B128" s="8" t="s">
        <v>10363</v>
      </c>
      <c r="C128" s="8" t="s">
        <v>10364</v>
      </c>
      <c r="D128" s="8" t="s">
        <v>10365</v>
      </c>
      <c r="E128" s="8" t="s">
        <v>5806</v>
      </c>
      <c r="F128" s="8" t="s">
        <v>10367</v>
      </c>
    </row>
    <row r="129" customHeight="1" spans="1:6">
      <c r="A129" s="6">
        <v>128</v>
      </c>
      <c r="B129" s="8" t="s">
        <v>10363</v>
      </c>
      <c r="C129" s="8" t="s">
        <v>10364</v>
      </c>
      <c r="D129" s="8" t="s">
        <v>10365</v>
      </c>
      <c r="E129" s="8" t="s">
        <v>5806</v>
      </c>
      <c r="F129" s="8" t="s">
        <v>10367</v>
      </c>
    </row>
    <row r="130" customHeight="1" spans="1:6">
      <c r="A130" s="6">
        <v>129</v>
      </c>
      <c r="B130" s="8" t="s">
        <v>10368</v>
      </c>
      <c r="C130" s="8" t="s">
        <v>10369</v>
      </c>
      <c r="D130" s="8" t="s">
        <v>10370</v>
      </c>
      <c r="E130" s="8" t="s">
        <v>665</v>
      </c>
      <c r="F130" s="8" t="s">
        <v>10371</v>
      </c>
    </row>
    <row r="131" customHeight="1" spans="1:6">
      <c r="A131" s="6">
        <v>130</v>
      </c>
      <c r="B131" s="8" t="s">
        <v>10368</v>
      </c>
      <c r="C131" s="8" t="s">
        <v>10369</v>
      </c>
      <c r="D131" s="8" t="s">
        <v>10370</v>
      </c>
      <c r="E131" s="8" t="s">
        <v>665</v>
      </c>
      <c r="F131" s="8" t="s">
        <v>10371</v>
      </c>
    </row>
    <row r="132" customHeight="1" spans="1:6">
      <c r="A132" s="6">
        <v>131</v>
      </c>
      <c r="B132" s="7" t="str">
        <f>"978-7-113-27654-6"</f>
        <v>978-7-113-27654-6</v>
      </c>
      <c r="C132" s="7" t="str">
        <f>"PS+AI+C4D+AE全能设计师商业案例宝典"</f>
        <v>PS+AI+C4D+AE全能设计师商业案例宝典</v>
      </c>
      <c r="D132" s="7" t="str">
        <f>"周志然 ... [等] 著"</f>
        <v>周志然 ... [等] 著</v>
      </c>
      <c r="E132" s="7" t="str">
        <f>"中国铁道出版社有限公司"</f>
        <v>中国铁道出版社有限公司</v>
      </c>
      <c r="F132" s="7" t="str">
        <f>"J062/71"</f>
        <v>J062/71</v>
      </c>
    </row>
    <row r="133" customHeight="1" spans="1:6">
      <c r="A133" s="6">
        <v>132</v>
      </c>
      <c r="B133" s="7" t="str">
        <f>"978-7-113-27654-6"</f>
        <v>978-7-113-27654-6</v>
      </c>
      <c r="C133" s="7" t="str">
        <f>"PS+AI+C4D+AE全能设计师商业案例宝典"</f>
        <v>PS+AI+C4D+AE全能设计师商业案例宝典</v>
      </c>
      <c r="D133" s="7" t="str">
        <f>"周志然 ... [等] 著"</f>
        <v>周志然 ... [等] 著</v>
      </c>
      <c r="E133" s="7" t="str">
        <f>"中国铁道出版社有限公司"</f>
        <v>中国铁道出版社有限公司</v>
      </c>
      <c r="F133" s="7" t="str">
        <f>"J062/71"</f>
        <v>J062/71</v>
      </c>
    </row>
    <row r="134" customHeight="1" spans="1:6">
      <c r="A134" s="6">
        <v>133</v>
      </c>
      <c r="B134" s="8" t="s">
        <v>10372</v>
      </c>
      <c r="C134" s="8" t="s">
        <v>10373</v>
      </c>
      <c r="D134" s="8" t="s">
        <v>10374</v>
      </c>
      <c r="E134" s="8" t="s">
        <v>1734</v>
      </c>
      <c r="F134" s="8" t="s">
        <v>10375</v>
      </c>
    </row>
    <row r="135" customHeight="1" spans="1:6">
      <c r="A135" s="6">
        <v>134</v>
      </c>
      <c r="B135" s="8" t="s">
        <v>10372</v>
      </c>
      <c r="C135" s="8" t="s">
        <v>10373</v>
      </c>
      <c r="D135" s="8" t="s">
        <v>10374</v>
      </c>
      <c r="E135" s="8" t="s">
        <v>1734</v>
      </c>
      <c r="F135" s="8" t="s">
        <v>10375</v>
      </c>
    </row>
    <row r="136" customHeight="1" spans="1:6">
      <c r="A136" s="6">
        <v>135</v>
      </c>
      <c r="B136" s="8" t="s">
        <v>10376</v>
      </c>
      <c r="C136" s="8" t="s">
        <v>10377</v>
      </c>
      <c r="D136" s="8" t="s">
        <v>10378</v>
      </c>
      <c r="E136" s="8" t="s">
        <v>28</v>
      </c>
      <c r="F136" s="8" t="s">
        <v>10379</v>
      </c>
    </row>
    <row r="137" customHeight="1" spans="1:6">
      <c r="A137" s="6">
        <v>136</v>
      </c>
      <c r="B137" s="8" t="s">
        <v>10376</v>
      </c>
      <c r="C137" s="8" t="s">
        <v>10377</v>
      </c>
      <c r="D137" s="8" t="s">
        <v>10378</v>
      </c>
      <c r="E137" s="8" t="s">
        <v>28</v>
      </c>
      <c r="F137" s="8" t="s">
        <v>10379</v>
      </c>
    </row>
    <row r="138" customHeight="1" spans="1:6">
      <c r="A138" s="6">
        <v>137</v>
      </c>
      <c r="B138" s="8" t="s">
        <v>10380</v>
      </c>
      <c r="C138" s="8" t="s">
        <v>10381</v>
      </c>
      <c r="D138" s="8" t="s">
        <v>10382</v>
      </c>
      <c r="E138" s="8" t="s">
        <v>665</v>
      </c>
      <c r="F138" s="8" t="s">
        <v>10383</v>
      </c>
    </row>
    <row r="139" customHeight="1" spans="1:6">
      <c r="A139" s="6">
        <v>138</v>
      </c>
      <c r="B139" s="8" t="s">
        <v>10380</v>
      </c>
      <c r="C139" s="8" t="s">
        <v>10381</v>
      </c>
      <c r="D139" s="8" t="s">
        <v>10382</v>
      </c>
      <c r="E139" s="8" t="s">
        <v>665</v>
      </c>
      <c r="F139" s="8" t="s">
        <v>10383</v>
      </c>
    </row>
    <row r="140" customHeight="1" spans="1:6">
      <c r="A140" s="6">
        <v>139</v>
      </c>
      <c r="B140" s="8" t="s">
        <v>10384</v>
      </c>
      <c r="C140" s="8" t="s">
        <v>10385</v>
      </c>
      <c r="D140" s="8" t="s">
        <v>10386</v>
      </c>
      <c r="E140" s="8" t="s">
        <v>3180</v>
      </c>
      <c r="F140" s="8" t="s">
        <v>10387</v>
      </c>
    </row>
    <row r="141" customHeight="1" spans="1:6">
      <c r="A141" s="6">
        <v>140</v>
      </c>
      <c r="B141" s="8" t="s">
        <v>10384</v>
      </c>
      <c r="C141" s="8" t="s">
        <v>10385</v>
      </c>
      <c r="D141" s="8" t="s">
        <v>10386</v>
      </c>
      <c r="E141" s="8" t="s">
        <v>3180</v>
      </c>
      <c r="F141" s="8" t="s">
        <v>10387</v>
      </c>
    </row>
    <row r="142" customHeight="1" spans="1:6">
      <c r="A142" s="6">
        <v>141</v>
      </c>
      <c r="B142" s="8" t="s">
        <v>10388</v>
      </c>
      <c r="C142" s="8" t="s">
        <v>10389</v>
      </c>
      <c r="D142" s="8" t="s">
        <v>10390</v>
      </c>
      <c r="E142" s="8" t="s">
        <v>9114</v>
      </c>
      <c r="F142" s="8" t="s">
        <v>10391</v>
      </c>
    </row>
    <row r="143" customHeight="1" spans="1:6">
      <c r="A143" s="6">
        <v>142</v>
      </c>
      <c r="B143" s="8" t="s">
        <v>10388</v>
      </c>
      <c r="C143" s="8" t="s">
        <v>10389</v>
      </c>
      <c r="D143" s="8" t="s">
        <v>10390</v>
      </c>
      <c r="E143" s="8" t="s">
        <v>9114</v>
      </c>
      <c r="F143" s="8" t="s">
        <v>10391</v>
      </c>
    </row>
    <row r="144" customHeight="1" spans="1:6">
      <c r="A144" s="6">
        <v>143</v>
      </c>
      <c r="B144" s="8" t="s">
        <v>10392</v>
      </c>
      <c r="C144" s="8" t="s">
        <v>10393</v>
      </c>
      <c r="D144" s="8" t="s">
        <v>10394</v>
      </c>
      <c r="E144" s="8" t="s">
        <v>1189</v>
      </c>
      <c r="F144" s="8" t="s">
        <v>10395</v>
      </c>
    </row>
    <row r="145" customHeight="1" spans="1:6">
      <c r="A145" s="6">
        <v>144</v>
      </c>
      <c r="B145" s="8" t="s">
        <v>10392</v>
      </c>
      <c r="C145" s="8" t="s">
        <v>10393</v>
      </c>
      <c r="D145" s="8" t="s">
        <v>10394</v>
      </c>
      <c r="E145" s="8" t="s">
        <v>1189</v>
      </c>
      <c r="F145" s="8" t="s">
        <v>10395</v>
      </c>
    </row>
    <row r="146" customHeight="1" spans="1:6">
      <c r="A146" s="6">
        <v>145</v>
      </c>
      <c r="B146" s="8" t="s">
        <v>10396</v>
      </c>
      <c r="C146" s="8" t="s">
        <v>10397</v>
      </c>
      <c r="D146" s="8" t="s">
        <v>10398</v>
      </c>
      <c r="E146" s="8" t="s">
        <v>1734</v>
      </c>
      <c r="F146" s="8" t="s">
        <v>10399</v>
      </c>
    </row>
    <row r="147" customHeight="1" spans="1:6">
      <c r="A147" s="6">
        <v>146</v>
      </c>
      <c r="B147" s="8" t="s">
        <v>10396</v>
      </c>
      <c r="C147" s="8" t="s">
        <v>10397</v>
      </c>
      <c r="D147" s="8" t="s">
        <v>10398</v>
      </c>
      <c r="E147" s="8" t="s">
        <v>1734</v>
      </c>
      <c r="F147" s="8" t="s">
        <v>10399</v>
      </c>
    </row>
    <row r="148" customHeight="1" spans="1:6">
      <c r="A148" s="6">
        <v>147</v>
      </c>
      <c r="B148" s="8" t="s">
        <v>10400</v>
      </c>
      <c r="C148" s="8" t="s">
        <v>10401</v>
      </c>
      <c r="D148" s="8" t="s">
        <v>10402</v>
      </c>
      <c r="E148" s="8" t="s">
        <v>2566</v>
      </c>
      <c r="F148" s="8" t="s">
        <v>10403</v>
      </c>
    </row>
    <row r="149" customHeight="1" spans="1:6">
      <c r="A149" s="6">
        <v>148</v>
      </c>
      <c r="B149" s="8" t="s">
        <v>10400</v>
      </c>
      <c r="C149" s="8" t="s">
        <v>10401</v>
      </c>
      <c r="D149" s="8" t="s">
        <v>10402</v>
      </c>
      <c r="E149" s="8" t="s">
        <v>2566</v>
      </c>
      <c r="F149" s="8" t="s">
        <v>10403</v>
      </c>
    </row>
    <row r="150" customHeight="1" spans="1:6">
      <c r="A150" s="6">
        <v>149</v>
      </c>
      <c r="B150" s="8" t="s">
        <v>10400</v>
      </c>
      <c r="C150" s="8" t="s">
        <v>10401</v>
      </c>
      <c r="D150" s="8" t="s">
        <v>10402</v>
      </c>
      <c r="E150" s="8" t="s">
        <v>2566</v>
      </c>
      <c r="F150" s="8" t="s">
        <v>10403</v>
      </c>
    </row>
    <row r="151" customHeight="1" spans="1:6">
      <c r="A151" s="6">
        <v>150</v>
      </c>
      <c r="B151" s="8" t="s">
        <v>10404</v>
      </c>
      <c r="C151" s="8" t="s">
        <v>10405</v>
      </c>
      <c r="D151" s="8" t="s">
        <v>10406</v>
      </c>
      <c r="E151" s="8" t="s">
        <v>2566</v>
      </c>
      <c r="F151" s="8" t="s">
        <v>10407</v>
      </c>
    </row>
    <row r="152" customHeight="1" spans="1:6">
      <c r="A152" s="6">
        <v>151</v>
      </c>
      <c r="B152" s="8" t="s">
        <v>10404</v>
      </c>
      <c r="C152" s="8" t="s">
        <v>10405</v>
      </c>
      <c r="D152" s="8" t="s">
        <v>10406</v>
      </c>
      <c r="E152" s="8" t="s">
        <v>2566</v>
      </c>
      <c r="F152" s="8" t="s">
        <v>10407</v>
      </c>
    </row>
    <row r="153" customHeight="1" spans="1:6">
      <c r="A153" s="6">
        <v>152</v>
      </c>
      <c r="B153" s="8" t="s">
        <v>10408</v>
      </c>
      <c r="C153" s="8" t="s">
        <v>10409</v>
      </c>
      <c r="D153" s="8" t="s">
        <v>10410</v>
      </c>
      <c r="E153" s="8" t="s">
        <v>1189</v>
      </c>
      <c r="F153" s="8" t="s">
        <v>10411</v>
      </c>
    </row>
    <row r="154" customHeight="1" spans="1:6">
      <c r="A154" s="6">
        <v>153</v>
      </c>
      <c r="B154" s="8" t="s">
        <v>10408</v>
      </c>
      <c r="C154" s="8" t="s">
        <v>10409</v>
      </c>
      <c r="D154" s="8" t="s">
        <v>10410</v>
      </c>
      <c r="E154" s="8" t="s">
        <v>1189</v>
      </c>
      <c r="F154" s="8" t="s">
        <v>10411</v>
      </c>
    </row>
    <row r="155" customHeight="1" spans="1:6">
      <c r="A155" s="6">
        <v>154</v>
      </c>
      <c r="B155" s="8" t="s">
        <v>10412</v>
      </c>
      <c r="C155" s="8" t="s">
        <v>10413</v>
      </c>
      <c r="D155" s="8" t="s">
        <v>10414</v>
      </c>
      <c r="E155" s="8" t="s">
        <v>10196</v>
      </c>
      <c r="F155" s="8" t="s">
        <v>10415</v>
      </c>
    </row>
    <row r="156" customHeight="1" spans="1:6">
      <c r="A156" s="6">
        <v>155</v>
      </c>
      <c r="B156" s="8" t="s">
        <v>10412</v>
      </c>
      <c r="C156" s="8" t="s">
        <v>10413</v>
      </c>
      <c r="D156" s="8" t="s">
        <v>10414</v>
      </c>
      <c r="E156" s="8" t="s">
        <v>10196</v>
      </c>
      <c r="F156" s="8" t="s">
        <v>10415</v>
      </c>
    </row>
    <row r="157" customHeight="1" spans="1:6">
      <c r="A157" s="6">
        <v>156</v>
      </c>
      <c r="B157" s="8" t="s">
        <v>10416</v>
      </c>
      <c r="C157" s="8" t="s">
        <v>10417</v>
      </c>
      <c r="D157" s="8" t="s">
        <v>10418</v>
      </c>
      <c r="E157" s="8" t="s">
        <v>571</v>
      </c>
      <c r="F157" s="8" t="s">
        <v>10419</v>
      </c>
    </row>
    <row r="158" customHeight="1" spans="1:6">
      <c r="A158" s="6">
        <v>157</v>
      </c>
      <c r="B158" s="8" t="s">
        <v>10416</v>
      </c>
      <c r="C158" s="8" t="s">
        <v>10417</v>
      </c>
      <c r="D158" s="8" t="s">
        <v>10418</v>
      </c>
      <c r="E158" s="8" t="s">
        <v>571</v>
      </c>
      <c r="F158" s="8" t="s">
        <v>10419</v>
      </c>
    </row>
    <row r="159" customHeight="1" spans="1:6">
      <c r="A159" s="6">
        <v>158</v>
      </c>
      <c r="B159" s="8" t="s">
        <v>10420</v>
      </c>
      <c r="C159" s="8" t="s">
        <v>10421</v>
      </c>
      <c r="D159" s="8" t="s">
        <v>10422</v>
      </c>
      <c r="E159" s="8" t="s">
        <v>2267</v>
      </c>
      <c r="F159" s="8" t="s">
        <v>10423</v>
      </c>
    </row>
    <row r="160" customHeight="1" spans="1:6">
      <c r="A160" s="6">
        <v>159</v>
      </c>
      <c r="B160" s="8" t="s">
        <v>10420</v>
      </c>
      <c r="C160" s="8" t="s">
        <v>10421</v>
      </c>
      <c r="D160" s="8" t="s">
        <v>10422</v>
      </c>
      <c r="E160" s="8" t="s">
        <v>2267</v>
      </c>
      <c r="F160" s="8" t="s">
        <v>10423</v>
      </c>
    </row>
    <row r="161" customHeight="1" spans="1:6">
      <c r="A161" s="6">
        <v>160</v>
      </c>
      <c r="B161" s="8" t="s">
        <v>10424</v>
      </c>
      <c r="C161" s="8" t="s">
        <v>10425</v>
      </c>
      <c r="D161" s="8" t="s">
        <v>10426</v>
      </c>
      <c r="E161" s="8" t="s">
        <v>2566</v>
      </c>
      <c r="F161" s="8" t="s">
        <v>10427</v>
      </c>
    </row>
    <row r="162" customHeight="1" spans="1:6">
      <c r="A162" s="6">
        <v>161</v>
      </c>
      <c r="B162" s="8" t="s">
        <v>10424</v>
      </c>
      <c r="C162" s="8" t="s">
        <v>10425</v>
      </c>
      <c r="D162" s="8" t="s">
        <v>10426</v>
      </c>
      <c r="E162" s="8" t="s">
        <v>2566</v>
      </c>
      <c r="F162" s="8" t="s">
        <v>10427</v>
      </c>
    </row>
    <row r="163" customHeight="1" spans="1:6">
      <c r="A163" s="6">
        <v>162</v>
      </c>
      <c r="B163" s="8" t="s">
        <v>10428</v>
      </c>
      <c r="C163" s="8" t="s">
        <v>10429</v>
      </c>
      <c r="D163" s="8" t="s">
        <v>10430</v>
      </c>
      <c r="E163" s="8" t="s">
        <v>239</v>
      </c>
      <c r="F163" s="8" t="s">
        <v>10431</v>
      </c>
    </row>
    <row r="164" customHeight="1" spans="1:6">
      <c r="A164" s="6">
        <v>163</v>
      </c>
      <c r="B164" s="8" t="s">
        <v>10428</v>
      </c>
      <c r="C164" s="8" t="s">
        <v>10429</v>
      </c>
      <c r="D164" s="8" t="s">
        <v>10430</v>
      </c>
      <c r="E164" s="8" t="s">
        <v>239</v>
      </c>
      <c r="F164" s="8" t="s">
        <v>10431</v>
      </c>
    </row>
    <row r="165" customHeight="1" spans="1:6">
      <c r="A165" s="6">
        <v>164</v>
      </c>
      <c r="B165" s="8" t="s">
        <v>10432</v>
      </c>
      <c r="C165" s="8" t="s">
        <v>10433</v>
      </c>
      <c r="D165" s="8" t="s">
        <v>10434</v>
      </c>
      <c r="E165" s="8" t="s">
        <v>28</v>
      </c>
      <c r="F165" s="8" t="s">
        <v>10435</v>
      </c>
    </row>
    <row r="166" customHeight="1" spans="1:6">
      <c r="A166" s="6">
        <v>165</v>
      </c>
      <c r="B166" s="8" t="s">
        <v>10432</v>
      </c>
      <c r="C166" s="8" t="s">
        <v>10433</v>
      </c>
      <c r="D166" s="8" t="s">
        <v>10434</v>
      </c>
      <c r="E166" s="8" t="s">
        <v>28</v>
      </c>
      <c r="F166" s="8" t="s">
        <v>10435</v>
      </c>
    </row>
    <row r="167" customHeight="1" spans="1:6">
      <c r="A167" s="6">
        <v>166</v>
      </c>
      <c r="B167" s="8" t="s">
        <v>10436</v>
      </c>
      <c r="C167" s="8" t="s">
        <v>10437</v>
      </c>
      <c r="D167" s="8" t="s">
        <v>10438</v>
      </c>
      <c r="E167" s="8" t="s">
        <v>10439</v>
      </c>
      <c r="F167" s="8" t="s">
        <v>10440</v>
      </c>
    </row>
    <row r="168" customHeight="1" spans="1:6">
      <c r="A168" s="6">
        <v>167</v>
      </c>
      <c r="B168" s="8" t="s">
        <v>10436</v>
      </c>
      <c r="C168" s="8" t="s">
        <v>10437</v>
      </c>
      <c r="D168" s="8" t="s">
        <v>10438</v>
      </c>
      <c r="E168" s="8" t="s">
        <v>10439</v>
      </c>
      <c r="F168" s="8" t="s">
        <v>10440</v>
      </c>
    </row>
    <row r="169" customHeight="1" spans="1:6">
      <c r="A169" s="6">
        <v>168</v>
      </c>
      <c r="B169" s="7" t="str">
        <f>"978-7-5217-2883-5"</f>
        <v>978-7-5217-2883-5</v>
      </c>
      <c r="C169" s="7" t="str">
        <f>"中国传统色：色彩通识100讲"</f>
        <v>中国传统色：色彩通识100讲</v>
      </c>
      <c r="D169" s="7" t="str">
        <f>"郭浩著"</f>
        <v>郭浩著</v>
      </c>
      <c r="E169" s="7" t="str">
        <f>"中信出版集团股份有限公司"</f>
        <v>中信出版集团股份有限公司</v>
      </c>
      <c r="F169" s="7" t="str">
        <f>"J063/345"</f>
        <v>J063/345</v>
      </c>
    </row>
    <row r="170" customHeight="1" spans="1:6">
      <c r="A170" s="6">
        <v>169</v>
      </c>
      <c r="B170" s="7" t="str">
        <f>"978-7-5217-2883-5"</f>
        <v>978-7-5217-2883-5</v>
      </c>
      <c r="C170" s="7" t="str">
        <f>"中国传统色：色彩通识100讲"</f>
        <v>中国传统色：色彩通识100讲</v>
      </c>
      <c r="D170" s="7" t="str">
        <f>"郭浩著"</f>
        <v>郭浩著</v>
      </c>
      <c r="E170" s="7" t="str">
        <f>"中信出版集团股份有限公司"</f>
        <v>中信出版集团股份有限公司</v>
      </c>
      <c r="F170" s="7" t="str">
        <f>"J063/345"</f>
        <v>J063/345</v>
      </c>
    </row>
    <row r="171" customHeight="1" spans="1:6">
      <c r="A171" s="6">
        <v>170</v>
      </c>
      <c r="B171" s="8" t="s">
        <v>10441</v>
      </c>
      <c r="C171" s="8" t="s">
        <v>10442</v>
      </c>
      <c r="D171" s="8" t="s">
        <v>10443</v>
      </c>
      <c r="E171" s="8" t="s">
        <v>530</v>
      </c>
      <c r="F171" s="8" t="s">
        <v>10444</v>
      </c>
    </row>
    <row r="172" customHeight="1" spans="1:6">
      <c r="A172" s="6">
        <v>171</v>
      </c>
      <c r="B172" s="8" t="s">
        <v>10441</v>
      </c>
      <c r="C172" s="8" t="s">
        <v>10442</v>
      </c>
      <c r="D172" s="8" t="s">
        <v>10443</v>
      </c>
      <c r="E172" s="8" t="s">
        <v>530</v>
      </c>
      <c r="F172" s="8" t="s">
        <v>10444</v>
      </c>
    </row>
    <row r="173" customHeight="1" spans="1:6">
      <c r="A173" s="6">
        <v>172</v>
      </c>
      <c r="B173" s="8" t="s">
        <v>10445</v>
      </c>
      <c r="C173" s="8" t="s">
        <v>10446</v>
      </c>
      <c r="D173" s="8" t="s">
        <v>10447</v>
      </c>
      <c r="E173" s="8" t="s">
        <v>10448</v>
      </c>
      <c r="F173" s="8" t="s">
        <v>10449</v>
      </c>
    </row>
    <row r="174" customHeight="1" spans="1:6">
      <c r="A174" s="6">
        <v>173</v>
      </c>
      <c r="B174" s="8" t="s">
        <v>10450</v>
      </c>
      <c r="C174" s="8" t="s">
        <v>10451</v>
      </c>
      <c r="D174" s="8" t="s">
        <v>10452</v>
      </c>
      <c r="E174" s="8" t="s">
        <v>10453</v>
      </c>
      <c r="F174" s="8" t="s">
        <v>10454</v>
      </c>
    </row>
    <row r="175" customHeight="1" spans="1:6">
      <c r="A175" s="6">
        <v>174</v>
      </c>
      <c r="B175" s="8" t="s">
        <v>10450</v>
      </c>
      <c r="C175" s="8" t="s">
        <v>10451</v>
      </c>
      <c r="D175" s="8" t="s">
        <v>10452</v>
      </c>
      <c r="E175" s="8" t="s">
        <v>10453</v>
      </c>
      <c r="F175" s="8" t="s">
        <v>10454</v>
      </c>
    </row>
    <row r="176" customHeight="1" spans="1:6">
      <c r="A176" s="6">
        <v>175</v>
      </c>
      <c r="B176" s="8" t="s">
        <v>10455</v>
      </c>
      <c r="C176" s="8" t="s">
        <v>10456</v>
      </c>
      <c r="D176" s="8" t="s">
        <v>10457</v>
      </c>
      <c r="E176" s="8" t="s">
        <v>665</v>
      </c>
      <c r="F176" s="8" t="s">
        <v>10458</v>
      </c>
    </row>
    <row r="177" customHeight="1" spans="1:6">
      <c r="A177" s="6">
        <v>176</v>
      </c>
      <c r="B177" s="8" t="s">
        <v>10455</v>
      </c>
      <c r="C177" s="8" t="s">
        <v>10456</v>
      </c>
      <c r="D177" s="8" t="s">
        <v>10457</v>
      </c>
      <c r="E177" s="8" t="s">
        <v>665</v>
      </c>
      <c r="F177" s="8" t="s">
        <v>10458</v>
      </c>
    </row>
    <row r="178" customHeight="1" spans="1:6">
      <c r="A178" s="6">
        <v>177</v>
      </c>
      <c r="B178" s="8" t="s">
        <v>10459</v>
      </c>
      <c r="C178" s="8" t="s">
        <v>10460</v>
      </c>
      <c r="D178" s="8" t="s">
        <v>10461</v>
      </c>
      <c r="E178" s="8" t="s">
        <v>10240</v>
      </c>
      <c r="F178" s="8" t="s">
        <v>10462</v>
      </c>
    </row>
    <row r="179" customHeight="1" spans="1:6">
      <c r="A179" s="6">
        <v>178</v>
      </c>
      <c r="B179" s="8" t="s">
        <v>10459</v>
      </c>
      <c r="C179" s="8" t="s">
        <v>10460</v>
      </c>
      <c r="D179" s="8" t="s">
        <v>10461</v>
      </c>
      <c r="E179" s="8" t="s">
        <v>10240</v>
      </c>
      <c r="F179" s="8" t="s">
        <v>10462</v>
      </c>
    </row>
    <row r="180" customHeight="1" spans="1:6">
      <c r="A180" s="6">
        <v>179</v>
      </c>
      <c r="B180" s="8" t="s">
        <v>10463</v>
      </c>
      <c r="C180" s="8" t="s">
        <v>10464</v>
      </c>
      <c r="D180" s="8" t="s">
        <v>10465</v>
      </c>
      <c r="E180" s="8" t="s">
        <v>10466</v>
      </c>
      <c r="F180" s="8" t="s">
        <v>10467</v>
      </c>
    </row>
    <row r="181" customHeight="1" spans="1:6">
      <c r="A181" s="6">
        <v>180</v>
      </c>
      <c r="B181" s="8" t="s">
        <v>10468</v>
      </c>
      <c r="C181" s="8" t="s">
        <v>10469</v>
      </c>
      <c r="D181" s="8" t="s">
        <v>10470</v>
      </c>
      <c r="E181" s="8" t="s">
        <v>10439</v>
      </c>
      <c r="F181" s="8" t="s">
        <v>10471</v>
      </c>
    </row>
    <row r="182" customHeight="1" spans="1:6">
      <c r="A182" s="6">
        <v>181</v>
      </c>
      <c r="B182" s="8" t="s">
        <v>10472</v>
      </c>
      <c r="C182" s="8" t="s">
        <v>10473</v>
      </c>
      <c r="D182" s="8" t="s">
        <v>10474</v>
      </c>
      <c r="E182" s="8" t="s">
        <v>202</v>
      </c>
      <c r="F182" s="8" t="s">
        <v>10475</v>
      </c>
    </row>
    <row r="183" customHeight="1" spans="1:6">
      <c r="A183" s="6">
        <v>182</v>
      </c>
      <c r="B183" s="8" t="s">
        <v>10472</v>
      </c>
      <c r="C183" s="8" t="s">
        <v>10473</v>
      </c>
      <c r="D183" s="8" t="s">
        <v>10474</v>
      </c>
      <c r="E183" s="8" t="s">
        <v>202</v>
      </c>
      <c r="F183" s="8" t="s">
        <v>10475</v>
      </c>
    </row>
    <row r="184" customHeight="1" spans="1:6">
      <c r="A184" s="6">
        <v>183</v>
      </c>
      <c r="B184" s="7" t="str">
        <f>"978-7-5713-1959-5"</f>
        <v>978-7-5713-1959-5</v>
      </c>
      <c r="C184" s="7" t="str">
        <f>"主题配色手册"</f>
        <v>主题配色手册</v>
      </c>
      <c r="D184" s="7" t="str">
        <f>"(日) iyamadesign事务所著；崔灿译"</f>
        <v>(日) iyamadesign事务所著；崔灿译</v>
      </c>
      <c r="E184" s="7" t="str">
        <f>"江苏凤凰科学技术出版社"</f>
        <v>江苏凤凰科学技术出版社</v>
      </c>
      <c r="F184" s="7" t="str">
        <f>"J063-62/17"</f>
        <v>J063-62/17</v>
      </c>
    </row>
    <row r="185" customHeight="1" spans="1:6">
      <c r="A185" s="6">
        <v>184</v>
      </c>
      <c r="B185" s="7" t="str">
        <f>"978-7-5713-1959-5"</f>
        <v>978-7-5713-1959-5</v>
      </c>
      <c r="C185" s="7" t="str">
        <f>"主题配色手册"</f>
        <v>主题配色手册</v>
      </c>
      <c r="D185" s="7" t="str">
        <f>"(日) iyamadesign事务所著；崔灿译"</f>
        <v>(日) iyamadesign事务所著；崔灿译</v>
      </c>
      <c r="E185" s="7" t="str">
        <f>"江苏凤凰科学技术出版社"</f>
        <v>江苏凤凰科学技术出版社</v>
      </c>
      <c r="F185" s="7" t="str">
        <f>"J063-62/17"</f>
        <v>J063-62/17</v>
      </c>
    </row>
    <row r="186" customHeight="1" spans="1:6">
      <c r="A186" s="6">
        <v>185</v>
      </c>
      <c r="B186" s="7" t="str">
        <f>"978-7-111-68263-9"</f>
        <v>978-7-111-68263-9</v>
      </c>
      <c r="C186" s="7" t="str">
        <f>"数字艺术：数字技术与艺术观念的探索"</f>
        <v>数字艺术：数字技术与艺术观念的探索</v>
      </c>
      <c r="D186" s="7" t="str">
        <f>"(美) 克里斯蒂安妮·保罗著；李镇， 彦风译"</f>
        <v>(美) 克里斯蒂安妮·保罗著；李镇， 彦风译</v>
      </c>
      <c r="E186" s="7" t="str">
        <f>"机械工业出版社"</f>
        <v>机械工业出版社</v>
      </c>
      <c r="F186" s="7" t="str">
        <f>"J06-39/45"</f>
        <v>J06-39/45</v>
      </c>
    </row>
    <row r="187" customHeight="1" spans="1:6">
      <c r="A187" s="6">
        <v>186</v>
      </c>
      <c r="B187" s="7" t="str">
        <f>"978-7-111-68263-9"</f>
        <v>978-7-111-68263-9</v>
      </c>
      <c r="C187" s="7" t="str">
        <f>"数字艺术：数字技术与艺术观念的探索"</f>
        <v>数字艺术：数字技术与艺术观念的探索</v>
      </c>
      <c r="D187" s="7" t="str">
        <f>"(美) 克里斯蒂安妮·保罗著；李镇， 彦风译"</f>
        <v>(美) 克里斯蒂安妮·保罗著；李镇， 彦风译</v>
      </c>
      <c r="E187" s="7" t="str">
        <f>"机械工业出版社"</f>
        <v>机械工业出版社</v>
      </c>
      <c r="F187" s="7" t="str">
        <f>"J06-39/45"</f>
        <v>J06-39/45</v>
      </c>
    </row>
    <row r="188" customHeight="1" spans="1:6">
      <c r="A188" s="6">
        <v>187</v>
      </c>
      <c r="B188" s="8" t="s">
        <v>10476</v>
      </c>
      <c r="C188" s="8" t="s">
        <v>10477</v>
      </c>
      <c r="D188" s="8" t="s">
        <v>10478</v>
      </c>
      <c r="E188" s="8" t="s">
        <v>10235</v>
      </c>
      <c r="F188" s="8" t="s">
        <v>10479</v>
      </c>
    </row>
    <row r="189" customHeight="1" spans="1:6">
      <c r="A189" s="6">
        <v>188</v>
      </c>
      <c r="B189" s="8" t="s">
        <v>10476</v>
      </c>
      <c r="C189" s="8" t="s">
        <v>10477</v>
      </c>
      <c r="D189" s="8" t="s">
        <v>10478</v>
      </c>
      <c r="E189" s="8" t="s">
        <v>10235</v>
      </c>
      <c r="F189" s="8" t="s">
        <v>10479</v>
      </c>
    </row>
    <row r="190" customHeight="1" spans="1:6">
      <c r="A190" s="6">
        <v>189</v>
      </c>
      <c r="B190" s="7" t="str">
        <f>"978-7-5494-0817-7"</f>
        <v>978-7-5494-0817-7</v>
      </c>
      <c r="C190" s="7" t="str">
        <f>"艺术的故事"</f>
        <v>艺术的故事</v>
      </c>
      <c r="D190" s="7" t="str">
        <f>"著 (英) E. H. 贡布里希；译范景中"</f>
        <v>著 (英) E. H. 贡布里希；译范景中</v>
      </c>
      <c r="E190" s="7" t="str">
        <f>"广西美术出版社"</f>
        <v>广西美术出版社</v>
      </c>
      <c r="F190" s="7" t="str">
        <f>"J110.9/61=D"</f>
        <v>J110.9/61=D</v>
      </c>
    </row>
    <row r="191" customHeight="1" spans="1:6">
      <c r="A191" s="6">
        <v>190</v>
      </c>
      <c r="B191" s="7" t="str">
        <f>"978-7-5494-0817-7"</f>
        <v>978-7-5494-0817-7</v>
      </c>
      <c r="C191" s="7" t="str">
        <f>"艺术的故事"</f>
        <v>艺术的故事</v>
      </c>
      <c r="D191" s="7" t="str">
        <f>"著 (英) E. H. 贡布里希；译范景中"</f>
        <v>著 (英) E. H. 贡布里希；译范景中</v>
      </c>
      <c r="E191" s="7" t="str">
        <f>"广西美术出版社"</f>
        <v>广西美术出版社</v>
      </c>
      <c r="F191" s="7" t="str">
        <f>"J110.9/61=D"</f>
        <v>J110.9/61=D</v>
      </c>
    </row>
    <row r="192" customHeight="1" spans="1:6">
      <c r="A192" s="6">
        <v>191</v>
      </c>
      <c r="B192" s="7" t="str">
        <f>"978-7-5356-8880-4"</f>
        <v>978-7-5356-8880-4</v>
      </c>
      <c r="C192" s="7" t="str">
        <f>"现代艺术史"</f>
        <v>现代艺术史</v>
      </c>
      <c r="D192" s="7" t="str">
        <f>"(美) H. H. 阿纳森， 伊丽莎白·C. 曼斯菲尔德著；钱志坚译"</f>
        <v>(美) H. H. 阿纳森， 伊丽莎白·C. 曼斯菲尔德著；钱志坚译</v>
      </c>
      <c r="E192" s="7" t="str">
        <f>"湖南美术出版社"</f>
        <v>湖南美术出版社</v>
      </c>
      <c r="F192" s="7" t="str">
        <f>"J110.95/21"</f>
        <v>J110.95/21</v>
      </c>
    </row>
    <row r="193" customHeight="1" spans="1:6">
      <c r="A193" s="6">
        <v>192</v>
      </c>
      <c r="B193" s="8" t="s">
        <v>10480</v>
      </c>
      <c r="C193" s="8" t="s">
        <v>10481</v>
      </c>
      <c r="D193" s="8" t="s">
        <v>10482</v>
      </c>
      <c r="E193" s="8" t="s">
        <v>9793</v>
      </c>
      <c r="F193" s="8" t="s">
        <v>10483</v>
      </c>
    </row>
    <row r="194" customHeight="1" spans="1:6">
      <c r="A194" s="6">
        <v>193</v>
      </c>
      <c r="B194" s="7" t="str">
        <f>"978-7-5618-6928-4"</f>
        <v>978-7-5618-6928-4</v>
      </c>
      <c r="C194" s="7" t="str">
        <f>"现代艺术的思潮与运动"</f>
        <v>现代艺术的思潮与运动</v>
      </c>
      <c r="D194" s="7" t="str">
        <f>"陈高明编著"</f>
        <v>陈高明编著</v>
      </c>
      <c r="E194" s="7" t="str">
        <f>"天津大学出版社"</f>
        <v>天津大学出版社</v>
      </c>
      <c r="F194" s="7" t="str">
        <f>"J110.99/23"</f>
        <v>J110.99/23</v>
      </c>
    </row>
    <row r="195" customHeight="1" spans="1:6">
      <c r="A195" s="6">
        <v>194</v>
      </c>
      <c r="B195" s="7" t="str">
        <f>"978-7-5618-6928-4"</f>
        <v>978-7-5618-6928-4</v>
      </c>
      <c r="C195" s="7" t="str">
        <f>"现代艺术的思潮与运动"</f>
        <v>现代艺术的思潮与运动</v>
      </c>
      <c r="D195" s="7" t="str">
        <f>"陈高明编著"</f>
        <v>陈高明编著</v>
      </c>
      <c r="E195" s="7" t="str">
        <f>"天津大学出版社"</f>
        <v>天津大学出版社</v>
      </c>
      <c r="F195" s="7" t="str">
        <f>"J110.99/23"</f>
        <v>J110.99/23</v>
      </c>
    </row>
    <row r="196" customHeight="1" spans="1:6">
      <c r="A196" s="6">
        <v>195</v>
      </c>
      <c r="B196" s="7" t="str">
        <f>"978-7-218-13575-5"</f>
        <v>978-7-218-13575-5</v>
      </c>
      <c r="C196" s="7" t="str">
        <f>"西洋镜：中国早期艺术史．上"</f>
        <v>西洋镜：中国早期艺术史．上</v>
      </c>
      <c r="D196" s="7" t="str">
        <f>"(瑞典) 喜仁龙著；陆香， 郭雯熙， 张同译"</f>
        <v>(瑞典) 喜仁龙著；陆香， 郭雯熙， 张同译</v>
      </c>
      <c r="E196" s="7" t="str">
        <f>"广东人民出版社"</f>
        <v>广东人民出版社</v>
      </c>
      <c r="F196" s="7" t="str">
        <f>"J120.9/94/1"</f>
        <v>J120.9/94/1</v>
      </c>
    </row>
    <row r="197" customHeight="1" spans="1:6">
      <c r="A197" s="6">
        <v>196</v>
      </c>
      <c r="B197" s="7" t="str">
        <f>"978-7-218-13575-5"</f>
        <v>978-7-218-13575-5</v>
      </c>
      <c r="C197" s="7" t="str">
        <f>"西洋镜：中国早期艺术史．下"</f>
        <v>西洋镜：中国早期艺术史．下</v>
      </c>
      <c r="D197" s="7" t="str">
        <f>"(瑞典) 喜仁龙著；陆香， 郭雯熙， 张同译"</f>
        <v>(瑞典) 喜仁龙著；陆香， 郭雯熙， 张同译</v>
      </c>
      <c r="E197" s="7" t="str">
        <f>"广东人民出版社"</f>
        <v>广东人民出版社</v>
      </c>
      <c r="F197" s="7" t="str">
        <f>"J120.9/94/2"</f>
        <v>J120.9/94/2</v>
      </c>
    </row>
    <row r="198" customHeight="1" spans="1:6">
      <c r="A198" s="6">
        <v>197</v>
      </c>
      <c r="B198" s="7" t="str">
        <f>"978-7-5598-3763-9"</f>
        <v>978-7-5598-3763-9</v>
      </c>
      <c r="C198" s="7" t="str">
        <f>"一看就懂的中国艺术史．书画卷．一：原始到南北朝: 洪荒入序"</f>
        <v>一看就懂的中国艺术史．书画卷．一：原始到南北朝: 洪荒入序</v>
      </c>
      <c r="D198" s="7" t="str">
        <f t="shared" ref="D198:D203" si="0">"祝唯庸著"</f>
        <v>祝唯庸著</v>
      </c>
      <c r="E198" s="7" t="str">
        <f t="shared" ref="E198:E203" si="1">"广西师范大学出版社"</f>
        <v>广西师范大学出版社</v>
      </c>
      <c r="F198" s="7" t="str">
        <f>"J120.9/95/1"</f>
        <v>J120.9/95/1</v>
      </c>
    </row>
    <row r="199" customHeight="1" spans="1:6">
      <c r="A199" s="6">
        <v>198</v>
      </c>
      <c r="B199" s="7" t="str">
        <f>"978-7-5598-3763-9"</f>
        <v>978-7-5598-3763-9</v>
      </c>
      <c r="C199" s="7" t="str">
        <f>"一看就懂的中国艺术史．书画卷．一：原始到南北朝: 洪荒入序"</f>
        <v>一看就懂的中国艺术史．书画卷．一：原始到南北朝: 洪荒入序</v>
      </c>
      <c r="D199" s="7" t="str">
        <f t="shared" si="0"/>
        <v>祝唯庸著</v>
      </c>
      <c r="E199" s="7" t="str">
        <f t="shared" si="1"/>
        <v>广西师范大学出版社</v>
      </c>
      <c r="F199" s="7" t="str">
        <f>"J120.9/95/1"</f>
        <v>J120.9/95/1</v>
      </c>
    </row>
    <row r="200" customHeight="1" spans="1:6">
      <c r="A200" s="6">
        <v>199</v>
      </c>
      <c r="B200" s="7" t="str">
        <f>"978-7-5598-3764-6"</f>
        <v>978-7-5598-3764-6</v>
      </c>
      <c r="C200" s="7" t="str">
        <f>"一看就懂的中国艺术史．书画卷．二：南北朝到初唐: 崇规隆法"</f>
        <v>一看就懂的中国艺术史．书画卷．二：南北朝到初唐: 崇规隆法</v>
      </c>
      <c r="D200" s="7" t="str">
        <f t="shared" si="0"/>
        <v>祝唯庸著</v>
      </c>
      <c r="E200" s="7" t="str">
        <f t="shared" si="1"/>
        <v>广西师范大学出版社</v>
      </c>
      <c r="F200" s="7" t="str">
        <f>"J120.9/95/2"</f>
        <v>J120.9/95/2</v>
      </c>
    </row>
    <row r="201" customHeight="1" spans="1:6">
      <c r="A201" s="6">
        <v>200</v>
      </c>
      <c r="B201" s="7" t="str">
        <f>"978-7-5598-3764-6"</f>
        <v>978-7-5598-3764-6</v>
      </c>
      <c r="C201" s="7" t="str">
        <f>"一看就懂的中国艺术史．书画卷．二：南北朝到初唐: 崇规隆法"</f>
        <v>一看就懂的中国艺术史．书画卷．二：南北朝到初唐: 崇规隆法</v>
      </c>
      <c r="D201" s="7" t="str">
        <f t="shared" si="0"/>
        <v>祝唯庸著</v>
      </c>
      <c r="E201" s="7" t="str">
        <f t="shared" si="1"/>
        <v>广西师范大学出版社</v>
      </c>
      <c r="F201" s="7" t="str">
        <f>"J120.9/95/2"</f>
        <v>J120.9/95/2</v>
      </c>
    </row>
    <row r="202" customHeight="1" spans="1:6">
      <c r="A202" s="6">
        <v>201</v>
      </c>
      <c r="B202" s="7" t="str">
        <f>"978-7-5598-3762-2"</f>
        <v>978-7-5598-3762-2</v>
      </c>
      <c r="C202" s="7" t="str">
        <f>"一看就懂的中国艺术史．书画卷．三：盛唐: 盛世浓妆"</f>
        <v>一看就懂的中国艺术史．书画卷．三：盛唐: 盛世浓妆</v>
      </c>
      <c r="D202" s="7" t="str">
        <f t="shared" si="0"/>
        <v>祝唯庸著</v>
      </c>
      <c r="E202" s="7" t="str">
        <f t="shared" si="1"/>
        <v>广西师范大学出版社</v>
      </c>
      <c r="F202" s="7" t="str">
        <f>"J120.9/95/3"</f>
        <v>J120.9/95/3</v>
      </c>
    </row>
    <row r="203" customHeight="1" spans="1:6">
      <c r="A203" s="6">
        <v>202</v>
      </c>
      <c r="B203" s="7" t="str">
        <f>"978-7-5598-3762-2"</f>
        <v>978-7-5598-3762-2</v>
      </c>
      <c r="C203" s="7" t="str">
        <f>"一看就懂的中国艺术史．书画卷．三：盛唐: 盛世浓妆"</f>
        <v>一看就懂的中国艺术史．书画卷．三：盛唐: 盛世浓妆</v>
      </c>
      <c r="D203" s="7" t="str">
        <f t="shared" si="0"/>
        <v>祝唯庸著</v>
      </c>
      <c r="E203" s="7" t="str">
        <f t="shared" si="1"/>
        <v>广西师范大学出版社</v>
      </c>
      <c r="F203" s="7" t="str">
        <f>"J120.9/95/3"</f>
        <v>J120.9/95/3</v>
      </c>
    </row>
    <row r="204" customHeight="1" spans="1:6">
      <c r="A204" s="6">
        <v>203</v>
      </c>
      <c r="B204" s="7" t="str">
        <f>"978-7-5020-8546-9"</f>
        <v>978-7-5020-8546-9</v>
      </c>
      <c r="C204" s="7" t="str">
        <f>"中国美术史"</f>
        <v>中国美术史</v>
      </c>
      <c r="D204" s="7" t="str">
        <f>"王逊著"</f>
        <v>王逊著</v>
      </c>
      <c r="E204" s="7" t="str">
        <f>"应急管理出版社"</f>
        <v>应急管理出版社</v>
      </c>
      <c r="F204" s="7" t="str">
        <f>"J120.9/96"</f>
        <v>J120.9/96</v>
      </c>
    </row>
    <row r="205" customHeight="1" spans="1:6">
      <c r="A205" s="6">
        <v>204</v>
      </c>
      <c r="B205" s="7" t="str">
        <f>"978-7-5020-8546-9"</f>
        <v>978-7-5020-8546-9</v>
      </c>
      <c r="C205" s="7" t="str">
        <f>"中国美术史"</f>
        <v>中国美术史</v>
      </c>
      <c r="D205" s="7" t="str">
        <f>"王逊著"</f>
        <v>王逊著</v>
      </c>
      <c r="E205" s="7" t="str">
        <f>"应急管理出版社"</f>
        <v>应急管理出版社</v>
      </c>
      <c r="F205" s="7" t="str">
        <f>"J120.9/96"</f>
        <v>J120.9/96</v>
      </c>
    </row>
    <row r="206" customHeight="1" spans="1:6">
      <c r="A206" s="6">
        <v>205</v>
      </c>
      <c r="B206" s="8" t="s">
        <v>10484</v>
      </c>
      <c r="C206" s="8" t="s">
        <v>10485</v>
      </c>
      <c r="D206" s="8" t="s">
        <v>10486</v>
      </c>
      <c r="E206" s="8" t="s">
        <v>854</v>
      </c>
      <c r="F206" s="8" t="s">
        <v>10487</v>
      </c>
    </row>
    <row r="207" customHeight="1" spans="1:6">
      <c r="A207" s="6">
        <v>206</v>
      </c>
      <c r="B207" s="8" t="s">
        <v>10484</v>
      </c>
      <c r="C207" s="8" t="s">
        <v>10485</v>
      </c>
      <c r="D207" s="8" t="s">
        <v>10486</v>
      </c>
      <c r="E207" s="8" t="s">
        <v>854</v>
      </c>
      <c r="F207" s="8" t="s">
        <v>10487</v>
      </c>
    </row>
    <row r="208" customHeight="1" spans="1:6">
      <c r="A208" s="6">
        <v>207</v>
      </c>
      <c r="B208" s="8" t="s">
        <v>10488</v>
      </c>
      <c r="C208" s="8" t="s">
        <v>10489</v>
      </c>
      <c r="D208" s="8" t="s">
        <v>10490</v>
      </c>
      <c r="E208" s="8" t="s">
        <v>10491</v>
      </c>
      <c r="F208" s="8" t="s">
        <v>10492</v>
      </c>
    </row>
    <row r="209" customHeight="1" spans="1:6">
      <c r="A209" s="6">
        <v>208</v>
      </c>
      <c r="B209" s="8" t="s">
        <v>10488</v>
      </c>
      <c r="C209" s="8" t="s">
        <v>10489</v>
      </c>
      <c r="D209" s="8" t="s">
        <v>10490</v>
      </c>
      <c r="E209" s="8" t="s">
        <v>10491</v>
      </c>
      <c r="F209" s="8" t="s">
        <v>10492</v>
      </c>
    </row>
    <row r="210" customHeight="1" spans="1:6">
      <c r="A210" s="6">
        <v>209</v>
      </c>
      <c r="B210" s="7" t="str">
        <f>"978-7-5586-1803-1"</f>
        <v>978-7-5586-1803-1</v>
      </c>
      <c r="C210" s="7" t="str">
        <f>"艺术是什么：极简西方美术史"</f>
        <v>艺术是什么：极简西方美术史</v>
      </c>
      <c r="D210" s="7" t="str">
        <f>"孙乃树著"</f>
        <v>孙乃树著</v>
      </c>
      <c r="E210" s="7" t="str">
        <f>"上海人民美术出版社"</f>
        <v>上海人民美术出版社</v>
      </c>
      <c r="F210" s="7" t="str">
        <f>"J150.09/18"</f>
        <v>J150.09/18</v>
      </c>
    </row>
    <row r="211" customHeight="1" spans="1:6">
      <c r="A211" s="6">
        <v>210</v>
      </c>
      <c r="B211" s="7" t="str">
        <f>"978-7-5586-1803-1"</f>
        <v>978-7-5586-1803-1</v>
      </c>
      <c r="C211" s="7" t="str">
        <f>"艺术是什么：极简西方美术史"</f>
        <v>艺术是什么：极简西方美术史</v>
      </c>
      <c r="D211" s="7" t="str">
        <f>"孙乃树著"</f>
        <v>孙乃树著</v>
      </c>
      <c r="E211" s="7" t="str">
        <f>"上海人民美术出版社"</f>
        <v>上海人民美术出版社</v>
      </c>
      <c r="F211" s="7" t="str">
        <f>"J150.09/18"</f>
        <v>J150.09/18</v>
      </c>
    </row>
    <row r="212" customHeight="1" spans="1:6">
      <c r="A212" s="6">
        <v>211</v>
      </c>
      <c r="B212" s="8" t="s">
        <v>10493</v>
      </c>
      <c r="C212" s="8" t="s">
        <v>10494</v>
      </c>
      <c r="D212" s="8" t="s">
        <v>10495</v>
      </c>
      <c r="E212" s="8" t="s">
        <v>330</v>
      </c>
      <c r="F212" s="8" t="s">
        <v>10496</v>
      </c>
    </row>
    <row r="213" customHeight="1" spans="1:6">
      <c r="A213" s="6">
        <v>212</v>
      </c>
      <c r="B213" s="8" t="s">
        <v>10493</v>
      </c>
      <c r="C213" s="8" t="s">
        <v>10494</v>
      </c>
      <c r="D213" s="8" t="s">
        <v>10495</v>
      </c>
      <c r="E213" s="8" t="s">
        <v>330</v>
      </c>
      <c r="F213" s="8" t="s">
        <v>10496</v>
      </c>
    </row>
    <row r="214" customHeight="1" spans="1:6">
      <c r="A214" s="6">
        <v>213</v>
      </c>
      <c r="B214" s="7" t="str">
        <f>"978-7-307-22289-2"</f>
        <v>978-7-307-22289-2</v>
      </c>
      <c r="C214" s="7" t="str">
        <f>"摄影如何影响绘画"</f>
        <v>摄影如何影响绘画</v>
      </c>
      <c r="D214" s="7" t="str">
        <f>"汪贤俊， 周永丰著"</f>
        <v>汪贤俊， 周永丰著</v>
      </c>
      <c r="E214" s="7" t="str">
        <f>"武汉大学出版社"</f>
        <v>武汉大学出版社</v>
      </c>
      <c r="F214" s="7" t="str">
        <f>"J2/42"</f>
        <v>J2/42</v>
      </c>
    </row>
    <row r="215" customHeight="1" spans="1:6">
      <c r="A215" s="6">
        <v>214</v>
      </c>
      <c r="B215" s="7" t="str">
        <f>"978-7-307-22289-2"</f>
        <v>978-7-307-22289-2</v>
      </c>
      <c r="C215" s="7" t="str">
        <f>"摄影如何影响绘画"</f>
        <v>摄影如何影响绘画</v>
      </c>
      <c r="D215" s="7" t="str">
        <f>"汪贤俊， 周永丰著"</f>
        <v>汪贤俊， 周永丰著</v>
      </c>
      <c r="E215" s="7" t="str">
        <f>"武汉大学出版社"</f>
        <v>武汉大学出版社</v>
      </c>
      <c r="F215" s="7" t="str">
        <f>"J2/42"</f>
        <v>J2/42</v>
      </c>
    </row>
    <row r="216" customHeight="1" spans="1:6">
      <c r="A216" s="6">
        <v>215</v>
      </c>
      <c r="B216" s="8" t="s">
        <v>10497</v>
      </c>
      <c r="C216" s="8" t="s">
        <v>10498</v>
      </c>
      <c r="D216" s="8" t="s">
        <v>10499</v>
      </c>
      <c r="E216" s="8" t="s">
        <v>10500</v>
      </c>
      <c r="F216" s="8" t="s">
        <v>10501</v>
      </c>
    </row>
    <row r="217" customHeight="1" spans="1:6">
      <c r="A217" s="6">
        <v>216</v>
      </c>
      <c r="B217" s="8" t="s">
        <v>10497</v>
      </c>
      <c r="C217" s="8" t="s">
        <v>10498</v>
      </c>
      <c r="D217" s="8" t="s">
        <v>10499</v>
      </c>
      <c r="E217" s="8" t="s">
        <v>10500</v>
      </c>
      <c r="F217" s="8" t="s">
        <v>10501</v>
      </c>
    </row>
    <row r="218" customHeight="1" spans="1:6">
      <c r="A218" s="6">
        <v>217</v>
      </c>
      <c r="B218" s="8" t="s">
        <v>10502</v>
      </c>
      <c r="C218" s="8" t="s">
        <v>10503</v>
      </c>
      <c r="D218" s="8" t="s">
        <v>10504</v>
      </c>
      <c r="E218" s="8" t="s">
        <v>202</v>
      </c>
      <c r="F218" s="8" t="s">
        <v>10505</v>
      </c>
    </row>
    <row r="219" customHeight="1" spans="1:6">
      <c r="A219" s="6">
        <v>218</v>
      </c>
      <c r="B219" s="8" t="s">
        <v>10502</v>
      </c>
      <c r="C219" s="8" t="s">
        <v>10503</v>
      </c>
      <c r="D219" s="8" t="s">
        <v>10504</v>
      </c>
      <c r="E219" s="8" t="s">
        <v>202</v>
      </c>
      <c r="F219" s="8" t="s">
        <v>10505</v>
      </c>
    </row>
    <row r="220" customHeight="1" spans="1:6">
      <c r="A220" s="6">
        <v>219</v>
      </c>
      <c r="B220" s="8" t="s">
        <v>10506</v>
      </c>
      <c r="C220" s="8" t="s">
        <v>10507</v>
      </c>
      <c r="D220" s="8" t="s">
        <v>10508</v>
      </c>
      <c r="E220" s="8" t="s">
        <v>330</v>
      </c>
      <c r="F220" s="8" t="s">
        <v>10509</v>
      </c>
    </row>
    <row r="221" customHeight="1" spans="1:6">
      <c r="A221" s="6">
        <v>220</v>
      </c>
      <c r="B221" s="8" t="s">
        <v>10506</v>
      </c>
      <c r="C221" s="8" t="s">
        <v>10507</v>
      </c>
      <c r="D221" s="8" t="s">
        <v>10508</v>
      </c>
      <c r="E221" s="8" t="s">
        <v>330</v>
      </c>
      <c r="F221" s="8" t="s">
        <v>10509</v>
      </c>
    </row>
    <row r="222" customHeight="1" spans="1:6">
      <c r="A222" s="6">
        <v>221</v>
      </c>
      <c r="B222" s="7" t="str">
        <f>"978-7-5447-8704-8"</f>
        <v>978-7-5447-8704-8</v>
      </c>
      <c r="C222" s="7" t="str">
        <f>"浪漫派的反叛：古典与浪漫艺术之争：romantic versus classic art"</f>
        <v>浪漫派的反叛：古典与浪漫艺术之争：romantic versus classic art</v>
      </c>
      <c r="D222" s="7" t="str">
        <f>"(英国) 肯尼斯·克拉克著Kenneth Clark；林成文译"</f>
        <v>(英国) 肯尼斯·克拉克著Kenneth Clark；林成文译</v>
      </c>
      <c r="E222" s="7" t="str">
        <f>"译林出版社"</f>
        <v>译林出版社</v>
      </c>
      <c r="F222" s="7" t="str">
        <f>"J209.9/34"</f>
        <v>J209.9/34</v>
      </c>
    </row>
    <row r="223" customHeight="1" spans="1:6">
      <c r="A223" s="6">
        <v>222</v>
      </c>
      <c r="B223" s="7" t="str">
        <f>"978-7-5447-8704-8"</f>
        <v>978-7-5447-8704-8</v>
      </c>
      <c r="C223" s="7" t="str">
        <f>"浪漫派的反叛：古典与浪漫艺术之争：romantic versus classic art"</f>
        <v>浪漫派的反叛：古典与浪漫艺术之争：romantic versus classic art</v>
      </c>
      <c r="D223" s="7" t="str">
        <f>"(英国) 肯尼斯·克拉克著Kenneth Clark；林成文译"</f>
        <v>(英国) 肯尼斯·克拉克著Kenneth Clark；林成文译</v>
      </c>
      <c r="E223" s="7" t="str">
        <f>"译林出版社"</f>
        <v>译林出版社</v>
      </c>
      <c r="F223" s="7" t="str">
        <f>"J209.9/34"</f>
        <v>J209.9/34</v>
      </c>
    </row>
    <row r="224" customHeight="1" spans="1:6">
      <c r="A224" s="6">
        <v>223</v>
      </c>
      <c r="B224" s="8" t="s">
        <v>10510</v>
      </c>
      <c r="C224" s="8" t="s">
        <v>10511</v>
      </c>
      <c r="D224" s="8" t="s">
        <v>10512</v>
      </c>
      <c r="E224" s="8" t="s">
        <v>634</v>
      </c>
      <c r="F224" s="8" t="s">
        <v>10513</v>
      </c>
    </row>
    <row r="225" customHeight="1" spans="1:6">
      <c r="A225" s="6">
        <v>224</v>
      </c>
      <c r="B225" s="8" t="s">
        <v>10510</v>
      </c>
      <c r="C225" s="8" t="s">
        <v>10511</v>
      </c>
      <c r="D225" s="8" t="s">
        <v>10512</v>
      </c>
      <c r="E225" s="8" t="s">
        <v>634</v>
      </c>
      <c r="F225" s="8" t="s">
        <v>10513</v>
      </c>
    </row>
    <row r="226" customHeight="1" spans="1:6">
      <c r="A226" s="6">
        <v>225</v>
      </c>
      <c r="B226" s="8" t="s">
        <v>10514</v>
      </c>
      <c r="C226" s="8" t="s">
        <v>10515</v>
      </c>
      <c r="D226" s="8" t="s">
        <v>10516</v>
      </c>
      <c r="E226" s="8" t="s">
        <v>197</v>
      </c>
      <c r="F226" s="8" t="s">
        <v>10517</v>
      </c>
    </row>
    <row r="227" customHeight="1" spans="1:6">
      <c r="A227" s="6">
        <v>226</v>
      </c>
      <c r="B227" s="8" t="s">
        <v>10514</v>
      </c>
      <c r="C227" s="8" t="s">
        <v>10515</v>
      </c>
      <c r="D227" s="8" t="s">
        <v>10516</v>
      </c>
      <c r="E227" s="8" t="s">
        <v>197</v>
      </c>
      <c r="F227" s="8" t="s">
        <v>10517</v>
      </c>
    </row>
    <row r="228" customHeight="1" spans="1:6">
      <c r="A228" s="6">
        <v>227</v>
      </c>
      <c r="B228" s="8" t="s">
        <v>10518</v>
      </c>
      <c r="C228" s="8" t="s">
        <v>10519</v>
      </c>
      <c r="D228" s="8" t="s">
        <v>10520</v>
      </c>
      <c r="E228" s="8" t="s">
        <v>3180</v>
      </c>
      <c r="F228" s="8" t="s">
        <v>10521</v>
      </c>
    </row>
    <row r="229" customHeight="1" spans="1:6">
      <c r="A229" s="6">
        <v>228</v>
      </c>
      <c r="B229" s="8" t="s">
        <v>10518</v>
      </c>
      <c r="C229" s="8" t="s">
        <v>10519</v>
      </c>
      <c r="D229" s="8" t="s">
        <v>10520</v>
      </c>
      <c r="E229" s="8" t="s">
        <v>3180</v>
      </c>
      <c r="F229" s="8" t="s">
        <v>10521</v>
      </c>
    </row>
    <row r="230" customHeight="1" spans="1:6">
      <c r="A230" s="6">
        <v>229</v>
      </c>
      <c r="B230" s="8" t="s">
        <v>10522</v>
      </c>
      <c r="C230" s="8" t="s">
        <v>10523</v>
      </c>
      <c r="D230" s="8" t="s">
        <v>10524</v>
      </c>
      <c r="E230" s="8" t="s">
        <v>216</v>
      </c>
      <c r="F230" s="8" t="s">
        <v>10525</v>
      </c>
    </row>
    <row r="231" customHeight="1" spans="1:6">
      <c r="A231" s="6">
        <v>230</v>
      </c>
      <c r="B231" s="8" t="s">
        <v>10522</v>
      </c>
      <c r="C231" s="8" t="s">
        <v>10523</v>
      </c>
      <c r="D231" s="8" t="s">
        <v>10524</v>
      </c>
      <c r="E231" s="8" t="s">
        <v>216</v>
      </c>
      <c r="F231" s="8" t="s">
        <v>10525</v>
      </c>
    </row>
    <row r="232" customHeight="1" spans="1:6">
      <c r="A232" s="6">
        <v>231</v>
      </c>
      <c r="B232" s="8" t="s">
        <v>10526</v>
      </c>
      <c r="C232" s="8" t="s">
        <v>10527</v>
      </c>
      <c r="D232" s="8" t="s">
        <v>10528</v>
      </c>
      <c r="E232" s="8" t="s">
        <v>3146</v>
      </c>
      <c r="F232" s="8" t="s">
        <v>10529</v>
      </c>
    </row>
    <row r="233" customHeight="1" spans="1:6">
      <c r="A233" s="6">
        <v>232</v>
      </c>
      <c r="B233" s="8" t="s">
        <v>10526</v>
      </c>
      <c r="C233" s="8" t="s">
        <v>10527</v>
      </c>
      <c r="D233" s="8" t="s">
        <v>10528</v>
      </c>
      <c r="E233" s="8" t="s">
        <v>3146</v>
      </c>
      <c r="F233" s="8" t="s">
        <v>10529</v>
      </c>
    </row>
    <row r="234" customHeight="1" spans="1:6">
      <c r="A234" s="6">
        <v>233</v>
      </c>
      <c r="B234" s="8" t="s">
        <v>10530</v>
      </c>
      <c r="C234" s="8" t="s">
        <v>10531</v>
      </c>
      <c r="D234" s="8" t="s">
        <v>10532</v>
      </c>
      <c r="E234" s="8" t="s">
        <v>3146</v>
      </c>
      <c r="F234" s="8" t="s">
        <v>10533</v>
      </c>
    </row>
    <row r="235" customHeight="1" spans="1:6">
      <c r="A235" s="6">
        <v>234</v>
      </c>
      <c r="B235" s="8" t="s">
        <v>10530</v>
      </c>
      <c r="C235" s="8" t="s">
        <v>10531</v>
      </c>
      <c r="D235" s="8" t="s">
        <v>10532</v>
      </c>
      <c r="E235" s="8" t="s">
        <v>3146</v>
      </c>
      <c r="F235" s="8" t="s">
        <v>10533</v>
      </c>
    </row>
    <row r="236" customHeight="1" spans="1:6">
      <c r="A236" s="6">
        <v>235</v>
      </c>
      <c r="B236" s="8" t="s">
        <v>10534</v>
      </c>
      <c r="C236" s="8" t="s">
        <v>10535</v>
      </c>
      <c r="D236" s="8" t="s">
        <v>10536</v>
      </c>
      <c r="E236" s="8" t="s">
        <v>216</v>
      </c>
      <c r="F236" s="8" t="s">
        <v>10537</v>
      </c>
    </row>
    <row r="237" customHeight="1" spans="1:6">
      <c r="A237" s="6">
        <v>236</v>
      </c>
      <c r="B237" s="8" t="s">
        <v>10534</v>
      </c>
      <c r="C237" s="8" t="s">
        <v>10535</v>
      </c>
      <c r="D237" s="8" t="s">
        <v>10536</v>
      </c>
      <c r="E237" s="8" t="s">
        <v>216</v>
      </c>
      <c r="F237" s="8" t="s">
        <v>10537</v>
      </c>
    </row>
    <row r="238" customHeight="1" spans="1:6">
      <c r="A238" s="6">
        <v>237</v>
      </c>
      <c r="B238" s="8" t="s">
        <v>10538</v>
      </c>
      <c r="C238" s="8" t="s">
        <v>10539</v>
      </c>
      <c r="D238" s="8" t="s">
        <v>10540</v>
      </c>
      <c r="E238" s="8" t="s">
        <v>3146</v>
      </c>
      <c r="F238" s="8" t="s">
        <v>10541</v>
      </c>
    </row>
    <row r="239" customHeight="1" spans="1:6">
      <c r="A239" s="6">
        <v>238</v>
      </c>
      <c r="B239" s="8" t="s">
        <v>10538</v>
      </c>
      <c r="C239" s="8" t="s">
        <v>10539</v>
      </c>
      <c r="D239" s="8" t="s">
        <v>10540</v>
      </c>
      <c r="E239" s="8" t="s">
        <v>3146</v>
      </c>
      <c r="F239" s="8" t="s">
        <v>10541</v>
      </c>
    </row>
    <row r="240" customHeight="1" spans="1:6">
      <c r="A240" s="6">
        <v>239</v>
      </c>
      <c r="B240" s="8" t="s">
        <v>10542</v>
      </c>
      <c r="C240" s="8" t="s">
        <v>10543</v>
      </c>
      <c r="D240" s="8" t="s">
        <v>10544</v>
      </c>
      <c r="E240" s="8" t="s">
        <v>5955</v>
      </c>
      <c r="F240" s="8" t="s">
        <v>10545</v>
      </c>
    </row>
    <row r="241" customHeight="1" spans="1:6">
      <c r="A241" s="6">
        <v>240</v>
      </c>
      <c r="B241" s="8" t="s">
        <v>10542</v>
      </c>
      <c r="C241" s="8" t="s">
        <v>10543</v>
      </c>
      <c r="D241" s="8" t="s">
        <v>10544</v>
      </c>
      <c r="E241" s="8" t="s">
        <v>5955</v>
      </c>
      <c r="F241" s="8" t="s">
        <v>10545</v>
      </c>
    </row>
    <row r="242" customHeight="1" spans="1:6">
      <c r="A242" s="6">
        <v>241</v>
      </c>
      <c r="B242" s="8" t="s">
        <v>10546</v>
      </c>
      <c r="C242" s="8" t="s">
        <v>10547</v>
      </c>
      <c r="D242" s="8" t="s">
        <v>10544</v>
      </c>
      <c r="E242" s="8" t="s">
        <v>5955</v>
      </c>
      <c r="F242" s="8" t="s">
        <v>10548</v>
      </c>
    </row>
    <row r="243" customHeight="1" spans="1:6">
      <c r="A243" s="6">
        <v>242</v>
      </c>
      <c r="B243" s="8" t="s">
        <v>10546</v>
      </c>
      <c r="C243" s="8" t="s">
        <v>10547</v>
      </c>
      <c r="D243" s="8" t="s">
        <v>10544</v>
      </c>
      <c r="E243" s="8" t="s">
        <v>5955</v>
      </c>
      <c r="F243" s="8" t="s">
        <v>10548</v>
      </c>
    </row>
    <row r="244" customHeight="1" spans="1:6">
      <c r="A244" s="6">
        <v>243</v>
      </c>
      <c r="B244" s="8" t="s">
        <v>10549</v>
      </c>
      <c r="C244" s="8" t="s">
        <v>10550</v>
      </c>
      <c r="D244" s="8" t="s">
        <v>10551</v>
      </c>
      <c r="E244" s="8" t="s">
        <v>5127</v>
      </c>
      <c r="F244" s="8" t="s">
        <v>10552</v>
      </c>
    </row>
    <row r="245" customHeight="1" spans="1:6">
      <c r="A245" s="6">
        <v>244</v>
      </c>
      <c r="B245" s="8" t="s">
        <v>10549</v>
      </c>
      <c r="C245" s="8" t="s">
        <v>10550</v>
      </c>
      <c r="D245" s="8" t="s">
        <v>10551</v>
      </c>
      <c r="E245" s="8" t="s">
        <v>5127</v>
      </c>
      <c r="F245" s="8" t="s">
        <v>10552</v>
      </c>
    </row>
    <row r="246" customHeight="1" spans="1:6">
      <c r="A246" s="6">
        <v>245</v>
      </c>
      <c r="B246" s="8" t="s">
        <v>10553</v>
      </c>
      <c r="C246" s="8" t="s">
        <v>10554</v>
      </c>
      <c r="D246" s="8" t="s">
        <v>10555</v>
      </c>
      <c r="E246" s="8" t="s">
        <v>216</v>
      </c>
      <c r="F246" s="8" t="s">
        <v>10556</v>
      </c>
    </row>
    <row r="247" customHeight="1" spans="1:6">
      <c r="A247" s="6">
        <v>246</v>
      </c>
      <c r="B247" s="8" t="s">
        <v>10553</v>
      </c>
      <c r="C247" s="8" t="s">
        <v>10554</v>
      </c>
      <c r="D247" s="8" t="s">
        <v>10555</v>
      </c>
      <c r="E247" s="8" t="s">
        <v>216</v>
      </c>
      <c r="F247" s="8" t="s">
        <v>10556</v>
      </c>
    </row>
    <row r="248" customHeight="1" spans="1:6">
      <c r="A248" s="6">
        <v>247</v>
      </c>
      <c r="B248" s="8" t="s">
        <v>10557</v>
      </c>
      <c r="C248" s="8" t="s">
        <v>10558</v>
      </c>
      <c r="D248" s="8" t="s">
        <v>10559</v>
      </c>
      <c r="E248" s="8" t="s">
        <v>10560</v>
      </c>
      <c r="F248" s="8" t="s">
        <v>10561</v>
      </c>
    </row>
    <row r="249" customHeight="1" spans="1:6">
      <c r="A249" s="6">
        <v>248</v>
      </c>
      <c r="B249" s="8" t="s">
        <v>10557</v>
      </c>
      <c r="C249" s="8" t="s">
        <v>10558</v>
      </c>
      <c r="D249" s="8" t="s">
        <v>10559</v>
      </c>
      <c r="E249" s="8" t="s">
        <v>10560</v>
      </c>
      <c r="F249" s="8" t="s">
        <v>10561</v>
      </c>
    </row>
    <row r="250" customHeight="1" spans="1:6">
      <c r="A250" s="6">
        <v>249</v>
      </c>
      <c r="B250" s="8" t="s">
        <v>10562</v>
      </c>
      <c r="C250" s="8" t="s">
        <v>10563</v>
      </c>
      <c r="D250" s="8" t="s">
        <v>10564</v>
      </c>
      <c r="E250" s="8" t="s">
        <v>3146</v>
      </c>
      <c r="F250" s="8" t="s">
        <v>10565</v>
      </c>
    </row>
    <row r="251" customHeight="1" spans="1:6">
      <c r="A251" s="6">
        <v>250</v>
      </c>
      <c r="B251" s="8" t="s">
        <v>10562</v>
      </c>
      <c r="C251" s="8" t="s">
        <v>10563</v>
      </c>
      <c r="D251" s="8" t="s">
        <v>10564</v>
      </c>
      <c r="E251" s="8" t="s">
        <v>3146</v>
      </c>
      <c r="F251" s="8" t="s">
        <v>10565</v>
      </c>
    </row>
    <row r="252" customHeight="1" spans="1:6">
      <c r="A252" s="6">
        <v>251</v>
      </c>
      <c r="B252" s="8" t="s">
        <v>10562</v>
      </c>
      <c r="C252" s="8" t="s">
        <v>10566</v>
      </c>
      <c r="D252" s="8" t="s">
        <v>10564</v>
      </c>
      <c r="E252" s="8" t="s">
        <v>3146</v>
      </c>
      <c r="F252" s="8" t="s">
        <v>10567</v>
      </c>
    </row>
    <row r="253" customHeight="1" spans="1:6">
      <c r="A253" s="6">
        <v>252</v>
      </c>
      <c r="B253" s="8" t="s">
        <v>10562</v>
      </c>
      <c r="C253" s="8" t="s">
        <v>10566</v>
      </c>
      <c r="D253" s="8" t="s">
        <v>10564</v>
      </c>
      <c r="E253" s="8" t="s">
        <v>3146</v>
      </c>
      <c r="F253" s="8" t="s">
        <v>10567</v>
      </c>
    </row>
    <row r="254" customHeight="1" spans="1:6">
      <c r="A254" s="6">
        <v>253</v>
      </c>
      <c r="B254" s="8" t="s">
        <v>10568</v>
      </c>
      <c r="C254" s="8" t="s">
        <v>10569</v>
      </c>
      <c r="D254" s="8" t="s">
        <v>10570</v>
      </c>
      <c r="E254" s="8" t="s">
        <v>701</v>
      </c>
      <c r="F254" s="8" t="s">
        <v>10571</v>
      </c>
    </row>
    <row r="255" customHeight="1" spans="1:6">
      <c r="A255" s="6">
        <v>254</v>
      </c>
      <c r="B255" s="8" t="s">
        <v>10568</v>
      </c>
      <c r="C255" s="8" t="s">
        <v>10569</v>
      </c>
      <c r="D255" s="8" t="s">
        <v>10570</v>
      </c>
      <c r="E255" s="8" t="s">
        <v>701</v>
      </c>
      <c r="F255" s="8" t="s">
        <v>10571</v>
      </c>
    </row>
    <row r="256" customHeight="1" spans="1:6">
      <c r="A256" s="6">
        <v>255</v>
      </c>
      <c r="B256" s="8" t="s">
        <v>10572</v>
      </c>
      <c r="C256" s="8" t="s">
        <v>10573</v>
      </c>
      <c r="D256" s="8" t="s">
        <v>10574</v>
      </c>
      <c r="E256" s="8" t="s">
        <v>1236</v>
      </c>
      <c r="F256" s="8" t="s">
        <v>10575</v>
      </c>
    </row>
    <row r="257" customHeight="1" spans="1:6">
      <c r="A257" s="6">
        <v>256</v>
      </c>
      <c r="B257" s="8" t="s">
        <v>10572</v>
      </c>
      <c r="C257" s="8" t="s">
        <v>10573</v>
      </c>
      <c r="D257" s="8" t="s">
        <v>10574</v>
      </c>
      <c r="E257" s="8" t="s">
        <v>1236</v>
      </c>
      <c r="F257" s="8" t="s">
        <v>10575</v>
      </c>
    </row>
    <row r="258" customHeight="1" spans="1:6">
      <c r="A258" s="6">
        <v>257</v>
      </c>
      <c r="B258" s="8" t="s">
        <v>10576</v>
      </c>
      <c r="C258" s="8" t="s">
        <v>10577</v>
      </c>
      <c r="D258" s="8" t="s">
        <v>10524</v>
      </c>
      <c r="E258" s="8" t="s">
        <v>216</v>
      </c>
      <c r="F258" s="8" t="s">
        <v>10578</v>
      </c>
    </row>
    <row r="259" customHeight="1" spans="1:6">
      <c r="A259" s="6">
        <v>258</v>
      </c>
      <c r="B259" s="8" t="s">
        <v>10576</v>
      </c>
      <c r="C259" s="8" t="s">
        <v>10577</v>
      </c>
      <c r="D259" s="8" t="s">
        <v>10524</v>
      </c>
      <c r="E259" s="8" t="s">
        <v>216</v>
      </c>
      <c r="F259" s="8" t="s">
        <v>10578</v>
      </c>
    </row>
    <row r="260" customHeight="1" spans="1:6">
      <c r="A260" s="6">
        <v>259</v>
      </c>
      <c r="B260" s="8" t="s">
        <v>10579</v>
      </c>
      <c r="C260" s="8" t="s">
        <v>10580</v>
      </c>
      <c r="D260" s="8" t="s">
        <v>10581</v>
      </c>
      <c r="E260" s="8" t="s">
        <v>216</v>
      </c>
      <c r="F260" s="8" t="s">
        <v>10582</v>
      </c>
    </row>
    <row r="261" customHeight="1" spans="1:6">
      <c r="A261" s="6">
        <v>260</v>
      </c>
      <c r="B261" s="8" t="s">
        <v>10579</v>
      </c>
      <c r="C261" s="8" t="s">
        <v>10580</v>
      </c>
      <c r="D261" s="8" t="s">
        <v>10581</v>
      </c>
      <c r="E261" s="8" t="s">
        <v>216</v>
      </c>
      <c r="F261" s="8" t="s">
        <v>10582</v>
      </c>
    </row>
    <row r="262" customHeight="1" spans="1:6">
      <c r="A262" s="6">
        <v>261</v>
      </c>
      <c r="B262" s="8" t="s">
        <v>10583</v>
      </c>
      <c r="C262" s="8" t="s">
        <v>10584</v>
      </c>
      <c r="D262" s="8" t="s">
        <v>10585</v>
      </c>
      <c r="E262" s="8" t="s">
        <v>10586</v>
      </c>
      <c r="F262" s="8" t="s">
        <v>10587</v>
      </c>
    </row>
    <row r="263" customHeight="1" spans="1:6">
      <c r="A263" s="6">
        <v>262</v>
      </c>
      <c r="B263" s="8" t="s">
        <v>10583</v>
      </c>
      <c r="C263" s="8" t="s">
        <v>10584</v>
      </c>
      <c r="D263" s="8" t="s">
        <v>10585</v>
      </c>
      <c r="E263" s="8" t="s">
        <v>10586</v>
      </c>
      <c r="F263" s="8" t="s">
        <v>10587</v>
      </c>
    </row>
    <row r="264" customHeight="1" spans="1:6">
      <c r="A264" s="6">
        <v>263</v>
      </c>
      <c r="B264" s="8" t="s">
        <v>10588</v>
      </c>
      <c r="C264" s="8" t="s">
        <v>10589</v>
      </c>
      <c r="D264" s="8" t="s">
        <v>10590</v>
      </c>
      <c r="E264" s="8" t="s">
        <v>10591</v>
      </c>
      <c r="F264" s="8" t="s">
        <v>10592</v>
      </c>
    </row>
    <row r="265" customHeight="1" spans="1:6">
      <c r="A265" s="6">
        <v>264</v>
      </c>
      <c r="B265" s="8" t="s">
        <v>10588</v>
      </c>
      <c r="C265" s="8" t="s">
        <v>10589</v>
      </c>
      <c r="D265" s="8" t="s">
        <v>10590</v>
      </c>
      <c r="E265" s="8" t="s">
        <v>10591</v>
      </c>
      <c r="F265" s="8" t="s">
        <v>10592</v>
      </c>
    </row>
    <row r="266" customHeight="1" spans="1:6">
      <c r="A266" s="6">
        <v>265</v>
      </c>
      <c r="B266" s="8" t="s">
        <v>10593</v>
      </c>
      <c r="C266" s="8" t="s">
        <v>10594</v>
      </c>
      <c r="D266" s="8" t="s">
        <v>10595</v>
      </c>
      <c r="E266" s="8" t="s">
        <v>10221</v>
      </c>
      <c r="F266" s="8" t="s">
        <v>10596</v>
      </c>
    </row>
    <row r="267" customHeight="1" spans="1:6">
      <c r="A267" s="6">
        <v>266</v>
      </c>
      <c r="B267" s="8" t="s">
        <v>10593</v>
      </c>
      <c r="C267" s="8" t="s">
        <v>10594</v>
      </c>
      <c r="D267" s="8" t="s">
        <v>10595</v>
      </c>
      <c r="E267" s="8" t="s">
        <v>10221</v>
      </c>
      <c r="F267" s="8" t="s">
        <v>10596</v>
      </c>
    </row>
    <row r="268" customHeight="1" spans="1:6">
      <c r="A268" s="6">
        <v>267</v>
      </c>
      <c r="B268" s="8" t="s">
        <v>10597</v>
      </c>
      <c r="C268" s="8" t="s">
        <v>10598</v>
      </c>
      <c r="D268" s="8" t="s">
        <v>10599</v>
      </c>
      <c r="E268" s="8" t="s">
        <v>311</v>
      </c>
      <c r="F268" s="8" t="s">
        <v>10600</v>
      </c>
    </row>
    <row r="269" customHeight="1" spans="1:6">
      <c r="A269" s="6">
        <v>268</v>
      </c>
      <c r="B269" s="8" t="s">
        <v>10597</v>
      </c>
      <c r="C269" s="8" t="s">
        <v>10598</v>
      </c>
      <c r="D269" s="8" t="s">
        <v>10599</v>
      </c>
      <c r="E269" s="8" t="s">
        <v>311</v>
      </c>
      <c r="F269" s="8" t="s">
        <v>10600</v>
      </c>
    </row>
    <row r="270" customHeight="1" spans="1:6">
      <c r="A270" s="6">
        <v>269</v>
      </c>
      <c r="B270" s="8" t="s">
        <v>10601</v>
      </c>
      <c r="C270" s="8" t="s">
        <v>10602</v>
      </c>
      <c r="D270" s="8" t="s">
        <v>10603</v>
      </c>
      <c r="E270" s="8" t="s">
        <v>10153</v>
      </c>
      <c r="F270" s="8" t="s">
        <v>10604</v>
      </c>
    </row>
    <row r="271" customHeight="1" spans="1:6">
      <c r="A271" s="6">
        <v>270</v>
      </c>
      <c r="B271" s="8" t="s">
        <v>10605</v>
      </c>
      <c r="C271" s="8" t="s">
        <v>10606</v>
      </c>
      <c r="D271" s="8" t="s">
        <v>10607</v>
      </c>
      <c r="E271" s="8" t="s">
        <v>216</v>
      </c>
      <c r="F271" s="8" t="s">
        <v>10608</v>
      </c>
    </row>
    <row r="272" customHeight="1" spans="1:6">
      <c r="A272" s="6">
        <v>271</v>
      </c>
      <c r="B272" s="8" t="s">
        <v>10605</v>
      </c>
      <c r="C272" s="8" t="s">
        <v>10606</v>
      </c>
      <c r="D272" s="8" t="s">
        <v>10607</v>
      </c>
      <c r="E272" s="8" t="s">
        <v>216</v>
      </c>
      <c r="F272" s="8" t="s">
        <v>10608</v>
      </c>
    </row>
    <row r="273" customHeight="1" spans="1:6">
      <c r="A273" s="6">
        <v>272</v>
      </c>
      <c r="B273" s="8" t="s">
        <v>10609</v>
      </c>
      <c r="C273" s="8" t="s">
        <v>10610</v>
      </c>
      <c r="D273" s="8" t="s">
        <v>10611</v>
      </c>
      <c r="E273" s="8" t="s">
        <v>3146</v>
      </c>
      <c r="F273" s="8" t="s">
        <v>10612</v>
      </c>
    </row>
    <row r="274" customHeight="1" spans="1:6">
      <c r="A274" s="6">
        <v>273</v>
      </c>
      <c r="B274" s="8" t="s">
        <v>10609</v>
      </c>
      <c r="C274" s="8" t="s">
        <v>10610</v>
      </c>
      <c r="D274" s="8" t="s">
        <v>10611</v>
      </c>
      <c r="E274" s="8" t="s">
        <v>3146</v>
      </c>
      <c r="F274" s="8" t="s">
        <v>10612</v>
      </c>
    </row>
    <row r="275" customHeight="1" spans="1:6">
      <c r="A275" s="6">
        <v>274</v>
      </c>
      <c r="B275" s="8" t="s">
        <v>10613</v>
      </c>
      <c r="C275" s="8" t="s">
        <v>10614</v>
      </c>
      <c r="D275" s="8" t="s">
        <v>10615</v>
      </c>
      <c r="E275" s="8" t="s">
        <v>10500</v>
      </c>
      <c r="F275" s="8" t="s">
        <v>10616</v>
      </c>
    </row>
    <row r="276" customHeight="1" spans="1:6">
      <c r="A276" s="6">
        <v>275</v>
      </c>
      <c r="B276" s="8" t="s">
        <v>10613</v>
      </c>
      <c r="C276" s="8" t="s">
        <v>10614</v>
      </c>
      <c r="D276" s="8" t="s">
        <v>10615</v>
      </c>
      <c r="E276" s="8" t="s">
        <v>10500</v>
      </c>
      <c r="F276" s="8" t="s">
        <v>10616</v>
      </c>
    </row>
    <row r="277" customHeight="1" spans="1:6">
      <c r="A277" s="6">
        <v>276</v>
      </c>
      <c r="B277" s="8" t="s">
        <v>10617</v>
      </c>
      <c r="C277" s="8" t="s">
        <v>10618</v>
      </c>
      <c r="D277" s="8" t="s">
        <v>10619</v>
      </c>
      <c r="E277" s="8" t="s">
        <v>530</v>
      </c>
      <c r="F277" s="8" t="s">
        <v>10620</v>
      </c>
    </row>
    <row r="278" customHeight="1" spans="1:6">
      <c r="A278" s="6">
        <v>277</v>
      </c>
      <c r="B278" s="8" t="s">
        <v>10617</v>
      </c>
      <c r="C278" s="8" t="s">
        <v>10618</v>
      </c>
      <c r="D278" s="8" t="s">
        <v>10619</v>
      </c>
      <c r="E278" s="8" t="s">
        <v>530</v>
      </c>
      <c r="F278" s="8" t="s">
        <v>10620</v>
      </c>
    </row>
    <row r="279" customHeight="1" spans="1:6">
      <c r="A279" s="6">
        <v>278</v>
      </c>
      <c r="B279" s="8" t="s">
        <v>10621</v>
      </c>
      <c r="C279" s="8" t="s">
        <v>10622</v>
      </c>
      <c r="D279" s="8" t="s">
        <v>10623</v>
      </c>
      <c r="E279" s="8" t="s">
        <v>5955</v>
      </c>
      <c r="F279" s="8" t="s">
        <v>10624</v>
      </c>
    </row>
    <row r="280" customHeight="1" spans="1:6">
      <c r="A280" s="6">
        <v>279</v>
      </c>
      <c r="B280" s="8" t="s">
        <v>10621</v>
      </c>
      <c r="C280" s="8" t="s">
        <v>10622</v>
      </c>
      <c r="D280" s="8" t="s">
        <v>10623</v>
      </c>
      <c r="E280" s="8" t="s">
        <v>5955</v>
      </c>
      <c r="F280" s="8" t="s">
        <v>10624</v>
      </c>
    </row>
    <row r="281" customHeight="1" spans="1:6">
      <c r="A281" s="6">
        <v>280</v>
      </c>
      <c r="B281" s="8" t="s">
        <v>10625</v>
      </c>
      <c r="C281" s="8" t="s">
        <v>10626</v>
      </c>
      <c r="D281" s="8" t="s">
        <v>10627</v>
      </c>
      <c r="E281" s="8" t="s">
        <v>3146</v>
      </c>
      <c r="F281" s="8" t="s">
        <v>10628</v>
      </c>
    </row>
    <row r="282" customHeight="1" spans="1:6">
      <c r="A282" s="6">
        <v>281</v>
      </c>
      <c r="B282" s="8" t="s">
        <v>10625</v>
      </c>
      <c r="C282" s="8" t="s">
        <v>10626</v>
      </c>
      <c r="D282" s="8" t="s">
        <v>10627</v>
      </c>
      <c r="E282" s="8" t="s">
        <v>3146</v>
      </c>
      <c r="F282" s="8" t="s">
        <v>10628</v>
      </c>
    </row>
    <row r="283" customHeight="1" spans="1:6">
      <c r="A283" s="6">
        <v>282</v>
      </c>
      <c r="B283" s="8" t="s">
        <v>10629</v>
      </c>
      <c r="C283" s="8" t="s">
        <v>10630</v>
      </c>
      <c r="D283" s="8" t="s">
        <v>10631</v>
      </c>
      <c r="E283" s="8" t="s">
        <v>5955</v>
      </c>
      <c r="F283" s="8" t="s">
        <v>10632</v>
      </c>
    </row>
    <row r="284" customHeight="1" spans="1:6">
      <c r="A284" s="6">
        <v>283</v>
      </c>
      <c r="B284" s="8" t="s">
        <v>10629</v>
      </c>
      <c r="C284" s="8" t="s">
        <v>10630</v>
      </c>
      <c r="D284" s="8" t="s">
        <v>10631</v>
      </c>
      <c r="E284" s="8" t="s">
        <v>5955</v>
      </c>
      <c r="F284" s="8" t="s">
        <v>10632</v>
      </c>
    </row>
    <row r="285" customHeight="1" spans="1:6">
      <c r="A285" s="6">
        <v>284</v>
      </c>
      <c r="B285" s="8" t="s">
        <v>10633</v>
      </c>
      <c r="C285" s="8" t="s">
        <v>10634</v>
      </c>
      <c r="D285" s="8" t="s">
        <v>10635</v>
      </c>
      <c r="E285" s="8" t="s">
        <v>10636</v>
      </c>
      <c r="F285" s="8" t="s">
        <v>10637</v>
      </c>
    </row>
    <row r="286" customHeight="1" spans="1:6">
      <c r="A286" s="6">
        <v>285</v>
      </c>
      <c r="B286" s="8" t="s">
        <v>10633</v>
      </c>
      <c r="C286" s="8" t="s">
        <v>10634</v>
      </c>
      <c r="D286" s="8" t="s">
        <v>10635</v>
      </c>
      <c r="E286" s="8" t="s">
        <v>10636</v>
      </c>
      <c r="F286" s="8" t="s">
        <v>10637</v>
      </c>
    </row>
    <row r="287" customHeight="1" spans="1:6">
      <c r="A287" s="6">
        <v>286</v>
      </c>
      <c r="B287" s="7" t="str">
        <f>"978-7-115-37524-7"</f>
        <v>978-7-115-37524-7</v>
      </c>
      <c r="C287" s="7" t="str">
        <f>"世界动漫经典教程．理解漫画"</f>
        <v>世界动漫经典教程．理解漫画</v>
      </c>
      <c r="D287" s="7" t="str">
        <f>"(美) 斯科特·麦克劳德著；万旻译"</f>
        <v>(美) 斯科特·麦克劳德著；万旻译</v>
      </c>
      <c r="E287" s="7" t="str">
        <f t="shared" ref="E287:E290" si="2">"人民邮电出版社"</f>
        <v>人民邮电出版社</v>
      </c>
      <c r="F287" s="7" t="str">
        <f>"J218.7/399=3D/1"</f>
        <v>J218.7/399=3D/1</v>
      </c>
    </row>
    <row r="288" customHeight="1" spans="1:6">
      <c r="A288" s="6">
        <v>287</v>
      </c>
      <c r="B288" s="7" t="str">
        <f>"978-7-115-37524-7"</f>
        <v>978-7-115-37524-7</v>
      </c>
      <c r="C288" s="7" t="str">
        <f>"世界动漫经典教程．理解漫画"</f>
        <v>世界动漫经典教程．理解漫画</v>
      </c>
      <c r="D288" s="7" t="str">
        <f>"(美) 斯科特·麦克劳德著；万旻译"</f>
        <v>(美) 斯科特·麦克劳德著；万旻译</v>
      </c>
      <c r="E288" s="7" t="str">
        <f t="shared" si="2"/>
        <v>人民邮电出版社</v>
      </c>
      <c r="F288" s="7" t="str">
        <f>"J218.7/399=3D/1"</f>
        <v>J218.7/399=3D/1</v>
      </c>
    </row>
    <row r="289" customHeight="1" spans="1:6">
      <c r="A289" s="6">
        <v>288</v>
      </c>
      <c r="B289" s="7" t="str">
        <f>"978-7-115-37628-2"</f>
        <v>978-7-115-37628-2</v>
      </c>
      <c r="C289" s="7" t="str">
        <f>"世界动漫经典教程．重构漫画"</f>
        <v>世界动漫经典教程．重构漫画</v>
      </c>
      <c r="D289" s="7" t="str">
        <f>"(美) 斯科特·麦克劳德著；王莉莉， 张明译"</f>
        <v>(美) 斯科特·麦克劳德著；王莉莉， 张明译</v>
      </c>
      <c r="E289" s="7" t="str">
        <f t="shared" si="2"/>
        <v>人民邮电出版社</v>
      </c>
      <c r="F289" s="7" t="str">
        <f>"J218.7/399=3D/2"</f>
        <v>J218.7/399=3D/2</v>
      </c>
    </row>
    <row r="290" customHeight="1" spans="1:6">
      <c r="A290" s="6">
        <v>289</v>
      </c>
      <c r="B290" s="7" t="str">
        <f>"978-7-115-37628-2"</f>
        <v>978-7-115-37628-2</v>
      </c>
      <c r="C290" s="7" t="str">
        <f>"世界动漫经典教程．重构漫画"</f>
        <v>世界动漫经典教程．重构漫画</v>
      </c>
      <c r="D290" s="7" t="str">
        <f>"(美) 斯科特·麦克劳德著；王莉莉， 张明译"</f>
        <v>(美) 斯科特·麦克劳德著；王莉莉， 张明译</v>
      </c>
      <c r="E290" s="7" t="str">
        <f t="shared" si="2"/>
        <v>人民邮电出版社</v>
      </c>
      <c r="F290" s="7" t="str">
        <f>"J218.7/399=3D/2"</f>
        <v>J218.7/399=3D/2</v>
      </c>
    </row>
    <row r="291" customHeight="1" spans="1:6">
      <c r="A291" s="6">
        <v>290</v>
      </c>
      <c r="B291" s="8" t="s">
        <v>10638</v>
      </c>
      <c r="C291" s="8" t="s">
        <v>10639</v>
      </c>
      <c r="D291" s="8" t="s">
        <v>10640</v>
      </c>
      <c r="E291" s="8" t="s">
        <v>1189</v>
      </c>
      <c r="F291" s="8" t="s">
        <v>10641</v>
      </c>
    </row>
    <row r="292" customHeight="1" spans="1:6">
      <c r="A292" s="6">
        <v>291</v>
      </c>
      <c r="B292" s="8" t="s">
        <v>10638</v>
      </c>
      <c r="C292" s="8" t="s">
        <v>10639</v>
      </c>
      <c r="D292" s="8" t="s">
        <v>10640</v>
      </c>
      <c r="E292" s="8" t="s">
        <v>1189</v>
      </c>
      <c r="F292" s="8" t="s">
        <v>10641</v>
      </c>
    </row>
    <row r="293" customHeight="1" spans="1:6">
      <c r="A293" s="6">
        <v>292</v>
      </c>
      <c r="B293" s="8" t="s">
        <v>10642</v>
      </c>
      <c r="C293" s="8" t="s">
        <v>10643</v>
      </c>
      <c r="D293" s="8" t="s">
        <v>8403</v>
      </c>
      <c r="E293" s="8" t="s">
        <v>899</v>
      </c>
      <c r="F293" s="8" t="s">
        <v>10644</v>
      </c>
    </row>
    <row r="294" customHeight="1" spans="1:6">
      <c r="A294" s="6">
        <v>293</v>
      </c>
      <c r="B294" s="8" t="s">
        <v>10642</v>
      </c>
      <c r="C294" s="8" t="s">
        <v>10643</v>
      </c>
      <c r="D294" s="8" t="s">
        <v>8403</v>
      </c>
      <c r="E294" s="8" t="s">
        <v>899</v>
      </c>
      <c r="F294" s="8" t="s">
        <v>10644</v>
      </c>
    </row>
    <row r="295" customHeight="1" spans="1:6">
      <c r="A295" s="6">
        <v>294</v>
      </c>
      <c r="B295" s="8" t="s">
        <v>10645</v>
      </c>
      <c r="C295" s="8" t="s">
        <v>10646</v>
      </c>
      <c r="D295" s="8" t="s">
        <v>10647</v>
      </c>
      <c r="E295" s="8" t="s">
        <v>10196</v>
      </c>
      <c r="F295" s="8" t="s">
        <v>10648</v>
      </c>
    </row>
    <row r="296" customHeight="1" spans="1:6">
      <c r="A296" s="6">
        <v>295</v>
      </c>
      <c r="B296" s="8" t="s">
        <v>10645</v>
      </c>
      <c r="C296" s="8" t="s">
        <v>10646</v>
      </c>
      <c r="D296" s="8" t="s">
        <v>10647</v>
      </c>
      <c r="E296" s="8" t="s">
        <v>10196</v>
      </c>
      <c r="F296" s="8" t="s">
        <v>10648</v>
      </c>
    </row>
    <row r="297" customHeight="1" spans="1:6">
      <c r="A297" s="6">
        <v>296</v>
      </c>
      <c r="B297" s="8" t="s">
        <v>10649</v>
      </c>
      <c r="C297" s="8" t="s">
        <v>10650</v>
      </c>
      <c r="D297" s="8" t="s">
        <v>10651</v>
      </c>
      <c r="E297" s="8" t="s">
        <v>10235</v>
      </c>
      <c r="F297" s="8" t="s">
        <v>10652</v>
      </c>
    </row>
    <row r="298" customHeight="1" spans="1:6">
      <c r="A298" s="6">
        <v>297</v>
      </c>
      <c r="B298" s="8" t="s">
        <v>10649</v>
      </c>
      <c r="C298" s="8" t="s">
        <v>10650</v>
      </c>
      <c r="D298" s="8" t="s">
        <v>10651</v>
      </c>
      <c r="E298" s="8" t="s">
        <v>10235</v>
      </c>
      <c r="F298" s="8" t="s">
        <v>10652</v>
      </c>
    </row>
    <row r="299" customHeight="1" spans="1:6">
      <c r="A299" s="6">
        <v>298</v>
      </c>
      <c r="B299" s="8" t="s">
        <v>10653</v>
      </c>
      <c r="C299" s="8" t="s">
        <v>10654</v>
      </c>
      <c r="D299" s="8" t="s">
        <v>10655</v>
      </c>
      <c r="E299" s="8" t="s">
        <v>571</v>
      </c>
      <c r="F299" s="8" t="s">
        <v>10656</v>
      </c>
    </row>
    <row r="300" customHeight="1" spans="1:6">
      <c r="A300" s="6">
        <v>299</v>
      </c>
      <c r="B300" s="8" t="s">
        <v>10653</v>
      </c>
      <c r="C300" s="8" t="s">
        <v>10654</v>
      </c>
      <c r="D300" s="8" t="s">
        <v>10655</v>
      </c>
      <c r="E300" s="8" t="s">
        <v>571</v>
      </c>
      <c r="F300" s="8" t="s">
        <v>10656</v>
      </c>
    </row>
    <row r="301" customHeight="1" spans="1:6">
      <c r="A301" s="6">
        <v>300</v>
      </c>
      <c r="B301" s="8" t="s">
        <v>10657</v>
      </c>
      <c r="C301" s="8" t="s">
        <v>10658</v>
      </c>
      <c r="D301" s="8" t="s">
        <v>10659</v>
      </c>
      <c r="E301" s="8" t="s">
        <v>1645</v>
      </c>
      <c r="F301" s="8" t="s">
        <v>10660</v>
      </c>
    </row>
    <row r="302" customHeight="1" spans="1:6">
      <c r="A302" s="6">
        <v>301</v>
      </c>
      <c r="B302" s="8" t="s">
        <v>10657</v>
      </c>
      <c r="C302" s="8" t="s">
        <v>10658</v>
      </c>
      <c r="D302" s="8" t="s">
        <v>10659</v>
      </c>
      <c r="E302" s="8" t="s">
        <v>1645</v>
      </c>
      <c r="F302" s="8" t="s">
        <v>10660</v>
      </c>
    </row>
    <row r="303" customHeight="1" spans="1:6">
      <c r="A303" s="6">
        <v>302</v>
      </c>
      <c r="B303" s="8" t="s">
        <v>10661</v>
      </c>
      <c r="C303" s="8" t="s">
        <v>10662</v>
      </c>
      <c r="D303" s="8" t="s">
        <v>10663</v>
      </c>
      <c r="E303" s="8" t="s">
        <v>10196</v>
      </c>
      <c r="F303" s="8" t="s">
        <v>10664</v>
      </c>
    </row>
    <row r="304" customHeight="1" spans="1:6">
      <c r="A304" s="6">
        <v>303</v>
      </c>
      <c r="B304" s="8" t="s">
        <v>10661</v>
      </c>
      <c r="C304" s="8" t="s">
        <v>10662</v>
      </c>
      <c r="D304" s="8" t="s">
        <v>10663</v>
      </c>
      <c r="E304" s="8" t="s">
        <v>10196</v>
      </c>
      <c r="F304" s="8" t="s">
        <v>10664</v>
      </c>
    </row>
    <row r="305" customHeight="1" spans="1:6">
      <c r="A305" s="6">
        <v>304</v>
      </c>
      <c r="B305" s="8" t="s">
        <v>10665</v>
      </c>
      <c r="C305" s="8" t="s">
        <v>10666</v>
      </c>
      <c r="D305" s="8" t="s">
        <v>5938</v>
      </c>
      <c r="E305" s="8" t="s">
        <v>485</v>
      </c>
      <c r="F305" s="8" t="s">
        <v>10667</v>
      </c>
    </row>
    <row r="306" customHeight="1" spans="1:6">
      <c r="A306" s="6">
        <v>305</v>
      </c>
      <c r="B306" s="8" t="s">
        <v>10665</v>
      </c>
      <c r="C306" s="8" t="s">
        <v>10666</v>
      </c>
      <c r="D306" s="8" t="s">
        <v>5938</v>
      </c>
      <c r="E306" s="8" t="s">
        <v>485</v>
      </c>
      <c r="F306" s="8" t="s">
        <v>10667</v>
      </c>
    </row>
    <row r="307" customHeight="1" spans="1:6">
      <c r="A307" s="6">
        <v>306</v>
      </c>
      <c r="B307" s="8" t="s">
        <v>10668</v>
      </c>
      <c r="C307" s="8" t="s">
        <v>10669</v>
      </c>
      <c r="D307" s="8" t="s">
        <v>10670</v>
      </c>
      <c r="E307" s="8" t="s">
        <v>330</v>
      </c>
      <c r="F307" s="8" t="s">
        <v>10671</v>
      </c>
    </row>
    <row r="308" customHeight="1" spans="1:6">
      <c r="A308" s="6">
        <v>307</v>
      </c>
      <c r="B308" s="8" t="s">
        <v>10668</v>
      </c>
      <c r="C308" s="8" t="s">
        <v>10669</v>
      </c>
      <c r="D308" s="8" t="s">
        <v>10670</v>
      </c>
      <c r="E308" s="8" t="s">
        <v>330</v>
      </c>
      <c r="F308" s="8" t="s">
        <v>10671</v>
      </c>
    </row>
    <row r="309" customHeight="1" spans="1:6">
      <c r="A309" s="6">
        <v>308</v>
      </c>
      <c r="B309" s="8" t="s">
        <v>10672</v>
      </c>
      <c r="C309" s="8" t="s">
        <v>10673</v>
      </c>
      <c r="D309" s="8" t="s">
        <v>10670</v>
      </c>
      <c r="E309" s="8" t="s">
        <v>330</v>
      </c>
      <c r="F309" s="8" t="s">
        <v>10674</v>
      </c>
    </row>
    <row r="310" customHeight="1" spans="1:6">
      <c r="A310" s="6">
        <v>309</v>
      </c>
      <c r="B310" s="8" t="s">
        <v>10672</v>
      </c>
      <c r="C310" s="8" t="s">
        <v>10673</v>
      </c>
      <c r="D310" s="8" t="s">
        <v>10670</v>
      </c>
      <c r="E310" s="8" t="s">
        <v>330</v>
      </c>
      <c r="F310" s="8" t="s">
        <v>10674</v>
      </c>
    </row>
    <row r="311" customHeight="1" spans="1:6">
      <c r="A311" s="6">
        <v>310</v>
      </c>
      <c r="B311" s="8" t="s">
        <v>10675</v>
      </c>
      <c r="C311" s="8" t="s">
        <v>10676</v>
      </c>
      <c r="D311" s="8" t="s">
        <v>10670</v>
      </c>
      <c r="E311" s="8" t="s">
        <v>330</v>
      </c>
      <c r="F311" s="8" t="s">
        <v>10677</v>
      </c>
    </row>
    <row r="312" customHeight="1" spans="1:6">
      <c r="A312" s="6">
        <v>311</v>
      </c>
      <c r="B312" s="8" t="s">
        <v>10675</v>
      </c>
      <c r="C312" s="8" t="s">
        <v>10676</v>
      </c>
      <c r="D312" s="8" t="s">
        <v>10670</v>
      </c>
      <c r="E312" s="8" t="s">
        <v>330</v>
      </c>
      <c r="F312" s="8" t="s">
        <v>10677</v>
      </c>
    </row>
    <row r="313" customHeight="1" spans="1:6">
      <c r="A313" s="6">
        <v>312</v>
      </c>
      <c r="B313" s="8" t="s">
        <v>10678</v>
      </c>
      <c r="C313" s="8" t="s">
        <v>10679</v>
      </c>
      <c r="D313" s="8" t="s">
        <v>10670</v>
      </c>
      <c r="E313" s="8" t="s">
        <v>330</v>
      </c>
      <c r="F313" s="8" t="s">
        <v>10680</v>
      </c>
    </row>
    <row r="314" customHeight="1" spans="1:6">
      <c r="A314" s="6">
        <v>313</v>
      </c>
      <c r="B314" s="8" t="s">
        <v>10678</v>
      </c>
      <c r="C314" s="8" t="s">
        <v>10679</v>
      </c>
      <c r="D314" s="8" t="s">
        <v>10670</v>
      </c>
      <c r="E314" s="8" t="s">
        <v>330</v>
      </c>
      <c r="F314" s="8" t="s">
        <v>10680</v>
      </c>
    </row>
    <row r="315" customHeight="1" spans="1:6">
      <c r="A315" s="6">
        <v>314</v>
      </c>
      <c r="B315" s="8" t="s">
        <v>10681</v>
      </c>
      <c r="C315" s="8" t="s">
        <v>10682</v>
      </c>
      <c r="D315" s="8" t="s">
        <v>10670</v>
      </c>
      <c r="E315" s="8" t="s">
        <v>330</v>
      </c>
      <c r="F315" s="8" t="s">
        <v>10683</v>
      </c>
    </row>
    <row r="316" customHeight="1" spans="1:6">
      <c r="A316" s="6">
        <v>315</v>
      </c>
      <c r="B316" s="8" t="s">
        <v>10681</v>
      </c>
      <c r="C316" s="8" t="s">
        <v>10682</v>
      </c>
      <c r="D316" s="8" t="s">
        <v>10670</v>
      </c>
      <c r="E316" s="8" t="s">
        <v>330</v>
      </c>
      <c r="F316" s="8" t="s">
        <v>10683</v>
      </c>
    </row>
    <row r="317" customHeight="1" spans="1:6">
      <c r="A317" s="6">
        <v>316</v>
      </c>
      <c r="B317" s="8" t="s">
        <v>10684</v>
      </c>
      <c r="C317" s="8" t="s">
        <v>10685</v>
      </c>
      <c r="D317" s="8" t="s">
        <v>10670</v>
      </c>
      <c r="E317" s="8" t="s">
        <v>330</v>
      </c>
      <c r="F317" s="8" t="s">
        <v>10686</v>
      </c>
    </row>
    <row r="318" customHeight="1" spans="1:6">
      <c r="A318" s="6">
        <v>317</v>
      </c>
      <c r="B318" s="8" t="s">
        <v>10684</v>
      </c>
      <c r="C318" s="8" t="s">
        <v>10685</v>
      </c>
      <c r="D318" s="8" t="s">
        <v>10670</v>
      </c>
      <c r="E318" s="8" t="s">
        <v>330</v>
      </c>
      <c r="F318" s="8" t="s">
        <v>10686</v>
      </c>
    </row>
    <row r="319" customHeight="1" spans="1:6">
      <c r="A319" s="6">
        <v>318</v>
      </c>
      <c r="B319" s="7" t="str">
        <f>"978-7-5180-8572-9"</f>
        <v>978-7-5180-8572-9</v>
      </c>
      <c r="C319" s="7" t="str">
        <f>"新世界：秩序之书"</f>
        <v>新世界：秩序之书</v>
      </c>
      <c r="D319" s="7" t="str">
        <f>"(英) 克里斯·雷诺兹著；(加) 赛斯编；幸绍菲译"</f>
        <v>(英) 克里斯·雷诺兹著；(加) 赛斯编；幸绍菲译</v>
      </c>
      <c r="E319" s="7" t="str">
        <f>"中国纺织出版社有限公司"</f>
        <v>中国纺织出版社有限公司</v>
      </c>
      <c r="F319" s="7" t="str">
        <f>"J238.2/257"</f>
        <v>J238.2/257</v>
      </c>
    </row>
    <row r="320" customHeight="1" spans="1:6">
      <c r="A320" s="6">
        <v>319</v>
      </c>
      <c r="B320" s="7" t="str">
        <f>"978-7-5180-8572-9"</f>
        <v>978-7-5180-8572-9</v>
      </c>
      <c r="C320" s="7" t="str">
        <f>"新世界：秩序之书"</f>
        <v>新世界：秩序之书</v>
      </c>
      <c r="D320" s="7" t="str">
        <f>"(英) 克里斯·雷诺兹著；(加) 赛斯编；幸绍菲译"</f>
        <v>(英) 克里斯·雷诺兹著；(加) 赛斯编；幸绍菲译</v>
      </c>
      <c r="E320" s="7" t="str">
        <f>"中国纺织出版社有限公司"</f>
        <v>中国纺织出版社有限公司</v>
      </c>
      <c r="F320" s="7" t="str">
        <f>"J238.2/257"</f>
        <v>J238.2/257</v>
      </c>
    </row>
    <row r="321" customHeight="1" spans="1:6">
      <c r="A321" s="6">
        <v>320</v>
      </c>
      <c r="B321" s="7" t="str">
        <f t="shared" ref="B321:B330" si="3">"978-7-213-09990-8"</f>
        <v>978-7-213-09990-8</v>
      </c>
      <c r="C321" s="7" t="str">
        <f>"工作细胞．01"</f>
        <v>工作细胞．01</v>
      </c>
      <c r="D321" s="7" t="str">
        <f t="shared" ref="D321:D330" si="4">"(日) 清水茜著；《工作细胞》翻译小组译"</f>
        <v>(日) 清水茜著；《工作细胞》翻译小组译</v>
      </c>
      <c r="E321" s="7" t="str">
        <f t="shared" ref="E321:E330" si="5">"浙江人民出版社"</f>
        <v>浙江人民出版社</v>
      </c>
      <c r="F321" s="7" t="str">
        <f>"J238.2/258/1"</f>
        <v>J238.2/258/1</v>
      </c>
    </row>
    <row r="322" customHeight="1" spans="1:6">
      <c r="A322" s="6">
        <v>321</v>
      </c>
      <c r="B322" s="7" t="str">
        <f t="shared" si="3"/>
        <v>978-7-213-09990-8</v>
      </c>
      <c r="C322" s="7" t="str">
        <f>"工作细胞．01"</f>
        <v>工作细胞．01</v>
      </c>
      <c r="D322" s="7" t="str">
        <f t="shared" si="4"/>
        <v>(日) 清水茜著；《工作细胞》翻译小组译</v>
      </c>
      <c r="E322" s="7" t="str">
        <f t="shared" si="5"/>
        <v>浙江人民出版社</v>
      </c>
      <c r="F322" s="7" t="str">
        <f>"J238.2/258/1"</f>
        <v>J238.2/258/1</v>
      </c>
    </row>
    <row r="323" customHeight="1" spans="1:6">
      <c r="A323" s="6">
        <v>322</v>
      </c>
      <c r="B323" s="7" t="str">
        <f t="shared" si="3"/>
        <v>978-7-213-09990-8</v>
      </c>
      <c r="C323" s="7" t="str">
        <f>"工作细胞．02"</f>
        <v>工作细胞．02</v>
      </c>
      <c r="D323" s="7" t="str">
        <f t="shared" si="4"/>
        <v>(日) 清水茜著；《工作细胞》翻译小组译</v>
      </c>
      <c r="E323" s="7" t="str">
        <f t="shared" si="5"/>
        <v>浙江人民出版社</v>
      </c>
      <c r="F323" s="7" t="str">
        <f>"J238.2/258/2"</f>
        <v>J238.2/258/2</v>
      </c>
    </row>
    <row r="324" customHeight="1" spans="1:6">
      <c r="A324" s="6">
        <v>323</v>
      </c>
      <c r="B324" s="7" t="str">
        <f t="shared" si="3"/>
        <v>978-7-213-09990-8</v>
      </c>
      <c r="C324" s="7" t="str">
        <f>"工作细胞．02"</f>
        <v>工作细胞．02</v>
      </c>
      <c r="D324" s="7" t="str">
        <f t="shared" si="4"/>
        <v>(日) 清水茜著；《工作细胞》翻译小组译</v>
      </c>
      <c r="E324" s="7" t="str">
        <f t="shared" si="5"/>
        <v>浙江人民出版社</v>
      </c>
      <c r="F324" s="7" t="str">
        <f>"J238.2/258/2"</f>
        <v>J238.2/258/2</v>
      </c>
    </row>
    <row r="325" customHeight="1" spans="1:6">
      <c r="A325" s="6">
        <v>324</v>
      </c>
      <c r="B325" s="7" t="str">
        <f t="shared" si="3"/>
        <v>978-7-213-09990-8</v>
      </c>
      <c r="C325" s="7" t="str">
        <f>"工作细胞．03"</f>
        <v>工作细胞．03</v>
      </c>
      <c r="D325" s="7" t="str">
        <f t="shared" si="4"/>
        <v>(日) 清水茜著；《工作细胞》翻译小组译</v>
      </c>
      <c r="E325" s="7" t="str">
        <f t="shared" si="5"/>
        <v>浙江人民出版社</v>
      </c>
      <c r="F325" s="7" t="str">
        <f>"J238.2/258/3"</f>
        <v>J238.2/258/3</v>
      </c>
    </row>
    <row r="326" customHeight="1" spans="1:6">
      <c r="A326" s="6">
        <v>325</v>
      </c>
      <c r="B326" s="7" t="str">
        <f t="shared" si="3"/>
        <v>978-7-213-09990-8</v>
      </c>
      <c r="C326" s="7" t="str">
        <f>"工作细胞．03"</f>
        <v>工作细胞．03</v>
      </c>
      <c r="D326" s="7" t="str">
        <f t="shared" si="4"/>
        <v>(日) 清水茜著；《工作细胞》翻译小组译</v>
      </c>
      <c r="E326" s="7" t="str">
        <f t="shared" si="5"/>
        <v>浙江人民出版社</v>
      </c>
      <c r="F326" s="7" t="str">
        <f>"J238.2/258/3"</f>
        <v>J238.2/258/3</v>
      </c>
    </row>
    <row r="327" customHeight="1" spans="1:6">
      <c r="A327" s="6">
        <v>326</v>
      </c>
      <c r="B327" s="7" t="str">
        <f t="shared" si="3"/>
        <v>978-7-213-09990-8</v>
      </c>
      <c r="C327" s="7" t="str">
        <f>"工作细胞．04"</f>
        <v>工作细胞．04</v>
      </c>
      <c r="D327" s="7" t="str">
        <f t="shared" si="4"/>
        <v>(日) 清水茜著；《工作细胞》翻译小组译</v>
      </c>
      <c r="E327" s="7" t="str">
        <f t="shared" si="5"/>
        <v>浙江人民出版社</v>
      </c>
      <c r="F327" s="7" t="str">
        <f>"J238.2/258/4"</f>
        <v>J238.2/258/4</v>
      </c>
    </row>
    <row r="328" customHeight="1" spans="1:6">
      <c r="A328" s="6">
        <v>327</v>
      </c>
      <c r="B328" s="7" t="str">
        <f t="shared" si="3"/>
        <v>978-7-213-09990-8</v>
      </c>
      <c r="C328" s="7" t="str">
        <f>"工作细胞．04"</f>
        <v>工作细胞．04</v>
      </c>
      <c r="D328" s="7" t="str">
        <f t="shared" si="4"/>
        <v>(日) 清水茜著；《工作细胞》翻译小组译</v>
      </c>
      <c r="E328" s="7" t="str">
        <f t="shared" si="5"/>
        <v>浙江人民出版社</v>
      </c>
      <c r="F328" s="7" t="str">
        <f>"J238.2/258/4"</f>
        <v>J238.2/258/4</v>
      </c>
    </row>
    <row r="329" customHeight="1" spans="1:6">
      <c r="A329" s="6">
        <v>328</v>
      </c>
      <c r="B329" s="7" t="str">
        <f t="shared" si="3"/>
        <v>978-7-213-09990-8</v>
      </c>
      <c r="C329" s="7" t="str">
        <f>"工作细胞．05"</f>
        <v>工作细胞．05</v>
      </c>
      <c r="D329" s="7" t="str">
        <f t="shared" si="4"/>
        <v>(日) 清水茜著；《工作细胞》翻译小组译</v>
      </c>
      <c r="E329" s="7" t="str">
        <f t="shared" si="5"/>
        <v>浙江人民出版社</v>
      </c>
      <c r="F329" s="7" t="str">
        <f>"J238.2/258/5"</f>
        <v>J238.2/258/5</v>
      </c>
    </row>
    <row r="330" customHeight="1" spans="1:6">
      <c r="A330" s="6">
        <v>329</v>
      </c>
      <c r="B330" s="7" t="str">
        <f t="shared" si="3"/>
        <v>978-7-213-09990-8</v>
      </c>
      <c r="C330" s="7" t="str">
        <f>"工作细胞．05"</f>
        <v>工作细胞．05</v>
      </c>
      <c r="D330" s="7" t="str">
        <f t="shared" si="4"/>
        <v>(日) 清水茜著；《工作细胞》翻译小组译</v>
      </c>
      <c r="E330" s="7" t="str">
        <f t="shared" si="5"/>
        <v>浙江人民出版社</v>
      </c>
      <c r="F330" s="7" t="str">
        <f>"J238.2/258/5"</f>
        <v>J238.2/258/5</v>
      </c>
    </row>
    <row r="331" customHeight="1" spans="1:6">
      <c r="A331" s="6">
        <v>330</v>
      </c>
      <c r="B331" s="8" t="s">
        <v>10687</v>
      </c>
      <c r="C331" s="8" t="s">
        <v>10688</v>
      </c>
      <c r="D331" s="8" t="s">
        <v>10689</v>
      </c>
      <c r="E331" s="8" t="s">
        <v>261</v>
      </c>
      <c r="F331" s="8" t="s">
        <v>10690</v>
      </c>
    </row>
    <row r="332" customHeight="1" spans="1:6">
      <c r="A332" s="6">
        <v>331</v>
      </c>
      <c r="B332" s="8" t="s">
        <v>10687</v>
      </c>
      <c r="C332" s="8" t="s">
        <v>10688</v>
      </c>
      <c r="D332" s="8" t="s">
        <v>10689</v>
      </c>
      <c r="E332" s="8" t="s">
        <v>261</v>
      </c>
      <c r="F332" s="8" t="s">
        <v>10690</v>
      </c>
    </row>
    <row r="333" customHeight="1" spans="1:6">
      <c r="A333" s="6">
        <v>332</v>
      </c>
      <c r="B333" s="8" t="s">
        <v>10687</v>
      </c>
      <c r="C333" s="8" t="s">
        <v>10688</v>
      </c>
      <c r="D333" s="8" t="s">
        <v>10689</v>
      </c>
      <c r="E333" s="8" t="s">
        <v>261</v>
      </c>
      <c r="F333" s="8" t="s">
        <v>10690</v>
      </c>
    </row>
    <row r="334" customHeight="1" spans="1:6">
      <c r="A334" s="6">
        <v>333</v>
      </c>
      <c r="B334" s="7" t="str">
        <f>"978-7-5166-5266-4"</f>
        <v>978-7-5166-5266-4</v>
      </c>
      <c r="C334" s="7" t="str">
        <f>"视觉传达中的文字与版式创意设计"</f>
        <v>视觉传达中的文字与版式创意设计</v>
      </c>
      <c r="D334" s="7" t="str">
        <f>"刘键著"</f>
        <v>刘键著</v>
      </c>
      <c r="E334" s="7" t="str">
        <f>"新华出版社"</f>
        <v>新华出版社</v>
      </c>
      <c r="F334" s="7" t="str">
        <f>"J292.13/123"</f>
        <v>J292.13/123</v>
      </c>
    </row>
    <row r="335" customHeight="1" spans="1:6">
      <c r="A335" s="6">
        <v>334</v>
      </c>
      <c r="B335" s="7" t="str">
        <f>"978-7-5166-5266-4"</f>
        <v>978-7-5166-5266-4</v>
      </c>
      <c r="C335" s="7" t="str">
        <f>"视觉传达中的文字与版式创意设计"</f>
        <v>视觉传达中的文字与版式创意设计</v>
      </c>
      <c r="D335" s="7" t="str">
        <f>"刘键著"</f>
        <v>刘键著</v>
      </c>
      <c r="E335" s="7" t="str">
        <f>"新华出版社"</f>
        <v>新华出版社</v>
      </c>
      <c r="F335" s="7" t="str">
        <f>"J292.13/123"</f>
        <v>J292.13/123</v>
      </c>
    </row>
    <row r="336" customHeight="1" spans="1:6">
      <c r="A336" s="6">
        <v>335</v>
      </c>
      <c r="B336" s="8" t="s">
        <v>10691</v>
      </c>
      <c r="C336" s="8" t="s">
        <v>10692</v>
      </c>
      <c r="D336" s="8" t="s">
        <v>10693</v>
      </c>
      <c r="E336" s="8" t="s">
        <v>3180</v>
      </c>
      <c r="F336" s="8" t="s">
        <v>10694</v>
      </c>
    </row>
    <row r="337" customHeight="1" spans="1:6">
      <c r="A337" s="6">
        <v>336</v>
      </c>
      <c r="B337" s="8" t="s">
        <v>10691</v>
      </c>
      <c r="C337" s="8" t="s">
        <v>10692</v>
      </c>
      <c r="D337" s="8" t="s">
        <v>10693</v>
      </c>
      <c r="E337" s="8" t="s">
        <v>3180</v>
      </c>
      <c r="F337" s="8" t="s">
        <v>10694</v>
      </c>
    </row>
    <row r="338" customHeight="1" spans="1:6">
      <c r="A338" s="6">
        <v>337</v>
      </c>
      <c r="B338" s="8" t="s">
        <v>10695</v>
      </c>
      <c r="C338" s="8" t="s">
        <v>10696</v>
      </c>
      <c r="D338" s="8" t="s">
        <v>10697</v>
      </c>
      <c r="E338" s="8" t="s">
        <v>10023</v>
      </c>
      <c r="F338" s="8" t="s">
        <v>10698</v>
      </c>
    </row>
    <row r="339" customHeight="1" spans="1:6">
      <c r="A339" s="6">
        <v>338</v>
      </c>
      <c r="B339" s="8" t="s">
        <v>10695</v>
      </c>
      <c r="C339" s="8" t="s">
        <v>10696</v>
      </c>
      <c r="D339" s="8" t="s">
        <v>10697</v>
      </c>
      <c r="E339" s="8" t="s">
        <v>10023</v>
      </c>
      <c r="F339" s="8" t="s">
        <v>10698</v>
      </c>
    </row>
    <row r="340" customHeight="1" spans="1:6">
      <c r="A340" s="6">
        <v>339</v>
      </c>
      <c r="B340" s="7" t="str">
        <f>"978-7-115-53860-4"</f>
        <v>978-7-115-53860-4</v>
      </c>
      <c r="C340" s="7" t="str">
        <f>"数码摄影经典技法入门与提高"</f>
        <v>数码摄影经典技法入门与提高</v>
      </c>
      <c r="D340" s="7" t="str">
        <f>"雷依里， 郑毅编著"</f>
        <v>雷依里， 郑毅编著</v>
      </c>
      <c r="E340" s="7" t="str">
        <f>"人民邮电出版社"</f>
        <v>人民邮电出版社</v>
      </c>
      <c r="F340" s="7" t="str">
        <f>"J41/526"</f>
        <v>J41/526</v>
      </c>
    </row>
    <row r="341" customHeight="1" spans="1:6">
      <c r="A341" s="6">
        <v>340</v>
      </c>
      <c r="B341" s="7" t="str">
        <f>"978-7-115-53860-4"</f>
        <v>978-7-115-53860-4</v>
      </c>
      <c r="C341" s="7" t="str">
        <f>"数码摄影经典技法入门与提高"</f>
        <v>数码摄影经典技法入门与提高</v>
      </c>
      <c r="D341" s="7" t="str">
        <f>"雷依里， 郑毅编著"</f>
        <v>雷依里， 郑毅编著</v>
      </c>
      <c r="E341" s="7" t="str">
        <f>"人民邮电出版社"</f>
        <v>人民邮电出版社</v>
      </c>
      <c r="F341" s="7" t="str">
        <f>"J41/526"</f>
        <v>J41/526</v>
      </c>
    </row>
    <row r="342" customHeight="1" spans="1:6">
      <c r="A342" s="6">
        <v>341</v>
      </c>
      <c r="B342" s="7" t="str">
        <f>"978-7-5208-1515-4"</f>
        <v>978-7-5208-1515-4</v>
      </c>
      <c r="C342" s="7" t="str">
        <f>"手机短视频拍摄与创意剪辑实战"</f>
        <v>手机短视频拍摄与创意剪辑实战</v>
      </c>
      <c r="D342" s="7" t="str">
        <f>"云飞编著"</f>
        <v>云飞编著</v>
      </c>
      <c r="E342" s="7" t="str">
        <f>"中国商业出版社"</f>
        <v>中国商业出版社</v>
      </c>
      <c r="F342" s="7" t="str">
        <f>"J41/527"</f>
        <v>J41/527</v>
      </c>
    </row>
    <row r="343" customHeight="1" spans="1:6">
      <c r="A343" s="6">
        <v>342</v>
      </c>
      <c r="B343" s="7" t="str">
        <f>"978-7-5208-1515-4"</f>
        <v>978-7-5208-1515-4</v>
      </c>
      <c r="C343" s="7" t="str">
        <f>"手机短视频拍摄与创意剪辑实战"</f>
        <v>手机短视频拍摄与创意剪辑实战</v>
      </c>
      <c r="D343" s="7" t="str">
        <f>"云飞编著"</f>
        <v>云飞编著</v>
      </c>
      <c r="E343" s="7" t="str">
        <f>"中国商业出版社"</f>
        <v>中国商业出版社</v>
      </c>
      <c r="F343" s="7" t="str">
        <f>"J41/527"</f>
        <v>J41/527</v>
      </c>
    </row>
    <row r="344" customHeight="1" spans="1:6">
      <c r="A344" s="6">
        <v>343</v>
      </c>
      <c r="B344" s="8" t="s">
        <v>10699</v>
      </c>
      <c r="C344" s="8" t="s">
        <v>10700</v>
      </c>
      <c r="D344" s="8" t="s">
        <v>10701</v>
      </c>
      <c r="E344" s="8" t="s">
        <v>216</v>
      </c>
      <c r="F344" s="8" t="s">
        <v>10702</v>
      </c>
    </row>
    <row r="345" customHeight="1" spans="1:6">
      <c r="A345" s="6">
        <v>344</v>
      </c>
      <c r="B345" s="8" t="s">
        <v>10699</v>
      </c>
      <c r="C345" s="8" t="s">
        <v>10700</v>
      </c>
      <c r="D345" s="8" t="s">
        <v>10701</v>
      </c>
      <c r="E345" s="8" t="s">
        <v>216</v>
      </c>
      <c r="F345" s="8" t="s">
        <v>10702</v>
      </c>
    </row>
    <row r="346" customHeight="1" spans="1:6">
      <c r="A346" s="6">
        <v>345</v>
      </c>
      <c r="B346" s="7" t="str">
        <f>"978-7-115-57205-9"</f>
        <v>978-7-115-57205-9</v>
      </c>
      <c r="C346" s="7" t="str">
        <f>"商业广告摄影"</f>
        <v>商业广告摄影</v>
      </c>
      <c r="D346" s="7" t="str">
        <f>"曹博， 陈建强编著"</f>
        <v>曹博， 陈建强编著</v>
      </c>
      <c r="E346" s="7" t="str">
        <f>"人民邮电出版社"</f>
        <v>人民邮电出版社</v>
      </c>
      <c r="F346" s="7" t="str">
        <f>"J412.9/54"</f>
        <v>J412.9/54</v>
      </c>
    </row>
    <row r="347" customHeight="1" spans="1:6">
      <c r="A347" s="6">
        <v>346</v>
      </c>
      <c r="B347" s="7" t="str">
        <f>"978-7-115-57205-9"</f>
        <v>978-7-115-57205-9</v>
      </c>
      <c r="C347" s="7" t="str">
        <f>"商业广告摄影"</f>
        <v>商业广告摄影</v>
      </c>
      <c r="D347" s="7" t="str">
        <f>"曹博， 陈建强编著"</f>
        <v>曹博， 陈建强编著</v>
      </c>
      <c r="E347" s="7" t="str">
        <f>"人民邮电出版社"</f>
        <v>人民邮电出版社</v>
      </c>
      <c r="F347" s="7" t="str">
        <f>"J412.9/54"</f>
        <v>J412.9/54</v>
      </c>
    </row>
    <row r="348" customHeight="1" spans="1:6">
      <c r="A348" s="6">
        <v>347</v>
      </c>
      <c r="B348" s="8" t="s">
        <v>10703</v>
      </c>
      <c r="C348" s="8" t="s">
        <v>10704</v>
      </c>
      <c r="D348" s="8" t="s">
        <v>10705</v>
      </c>
      <c r="E348" s="8" t="s">
        <v>216</v>
      </c>
      <c r="F348" s="8" t="s">
        <v>10706</v>
      </c>
    </row>
    <row r="349" customHeight="1" spans="1:6">
      <c r="A349" s="6">
        <v>348</v>
      </c>
      <c r="B349" s="8" t="s">
        <v>10703</v>
      </c>
      <c r="C349" s="8" t="s">
        <v>10704</v>
      </c>
      <c r="D349" s="8" t="s">
        <v>10705</v>
      </c>
      <c r="E349" s="8" t="s">
        <v>216</v>
      </c>
      <c r="F349" s="8" t="s">
        <v>10706</v>
      </c>
    </row>
    <row r="350" customHeight="1" spans="1:6">
      <c r="A350" s="6">
        <v>349</v>
      </c>
      <c r="B350" s="8" t="s">
        <v>10707</v>
      </c>
      <c r="C350" s="8" t="s">
        <v>10708</v>
      </c>
      <c r="D350" s="8" t="s">
        <v>10709</v>
      </c>
      <c r="E350" s="8" t="s">
        <v>10710</v>
      </c>
      <c r="F350" s="8" t="s">
        <v>10711</v>
      </c>
    </row>
    <row r="351" customHeight="1" spans="1:6">
      <c r="A351" s="6">
        <v>350</v>
      </c>
      <c r="B351" s="8" t="s">
        <v>10707</v>
      </c>
      <c r="C351" s="8" t="s">
        <v>10708</v>
      </c>
      <c r="D351" s="8" t="s">
        <v>10709</v>
      </c>
      <c r="E351" s="8" t="s">
        <v>10710</v>
      </c>
      <c r="F351" s="8" t="s">
        <v>10711</v>
      </c>
    </row>
    <row r="352" customHeight="1" spans="1:6">
      <c r="A352" s="6">
        <v>351</v>
      </c>
      <c r="B352" s="7" t="str">
        <f>"978-7-5179-0484-7"</f>
        <v>978-7-5179-0484-7</v>
      </c>
      <c r="C352" s="7" t="str">
        <f>"大地回春：中国中原农村的变革 (1978-1988年)：张培林摄影作品：the reform of rural central plains in China from 1978 to 1988：Zhang Peilin's photography works"</f>
        <v>大地回春：中国中原农村的变革 (1978-1988年)：张培林摄影作品：the reform of rural central plains in China from 1978 to 1988：Zhang Peilin's photography works</v>
      </c>
      <c r="D352" s="7" t="str">
        <f>" "</f>
        <v> </v>
      </c>
      <c r="E352" s="7" t="str">
        <f>"中国摄影出版社"</f>
        <v>中国摄影出版社</v>
      </c>
      <c r="F352" s="7" t="str">
        <f>"J421.8/54"</f>
        <v>J421.8/54</v>
      </c>
    </row>
    <row r="353" customHeight="1" spans="1:6">
      <c r="A353" s="6">
        <v>352</v>
      </c>
      <c r="B353" s="8" t="s">
        <v>10712</v>
      </c>
      <c r="C353" s="8" t="s">
        <v>10713</v>
      </c>
      <c r="D353" s="8" t="s">
        <v>10714</v>
      </c>
      <c r="E353" s="8" t="s">
        <v>10196</v>
      </c>
      <c r="F353" s="8" t="s">
        <v>10715</v>
      </c>
    </row>
    <row r="354" customHeight="1" spans="1:6">
      <c r="A354" s="6">
        <v>353</v>
      </c>
      <c r="B354" s="8" t="s">
        <v>10712</v>
      </c>
      <c r="C354" s="8" t="s">
        <v>10713</v>
      </c>
      <c r="D354" s="8" t="s">
        <v>10714</v>
      </c>
      <c r="E354" s="8" t="s">
        <v>10196</v>
      </c>
      <c r="F354" s="8" t="s">
        <v>10715</v>
      </c>
    </row>
    <row r="355" customHeight="1" spans="1:6">
      <c r="A355" s="6">
        <v>354</v>
      </c>
      <c r="B355" s="8" t="s">
        <v>10716</v>
      </c>
      <c r="C355" s="8" t="s">
        <v>10717</v>
      </c>
      <c r="D355" s="8" t="s">
        <v>10718</v>
      </c>
      <c r="E355" s="8" t="s">
        <v>10235</v>
      </c>
      <c r="F355" s="8" t="s">
        <v>10719</v>
      </c>
    </row>
    <row r="356" customHeight="1" spans="1:6">
      <c r="A356" s="6">
        <v>355</v>
      </c>
      <c r="B356" s="8" t="s">
        <v>10716</v>
      </c>
      <c r="C356" s="8" t="s">
        <v>10717</v>
      </c>
      <c r="D356" s="8" t="s">
        <v>10718</v>
      </c>
      <c r="E356" s="8" t="s">
        <v>10235</v>
      </c>
      <c r="F356" s="8" t="s">
        <v>10719</v>
      </c>
    </row>
    <row r="357" customHeight="1" spans="1:6">
      <c r="A357" s="6">
        <v>356</v>
      </c>
      <c r="B357" s="8" t="s">
        <v>10720</v>
      </c>
      <c r="C357" s="8" t="s">
        <v>10721</v>
      </c>
      <c r="D357" s="8" t="s">
        <v>10722</v>
      </c>
      <c r="E357" s="8" t="s">
        <v>38</v>
      </c>
      <c r="F357" s="8" t="s">
        <v>10723</v>
      </c>
    </row>
    <row r="358" customHeight="1" spans="1:6">
      <c r="A358" s="6">
        <v>357</v>
      </c>
      <c r="B358" s="8" t="s">
        <v>10720</v>
      </c>
      <c r="C358" s="8" t="s">
        <v>10721</v>
      </c>
      <c r="D358" s="8" t="s">
        <v>10722</v>
      </c>
      <c r="E358" s="8" t="s">
        <v>38</v>
      </c>
      <c r="F358" s="8" t="s">
        <v>10723</v>
      </c>
    </row>
    <row r="359" customHeight="1" spans="1:6">
      <c r="A359" s="6">
        <v>358</v>
      </c>
      <c r="B359" s="7" t="str">
        <f>"978-7-5179-0620-9"</f>
        <v>978-7-5179-0620-9</v>
      </c>
      <c r="C359" s="7" t="str">
        <f>"中华图像文化史．图像论"</f>
        <v>中华图像文化史．图像论</v>
      </c>
      <c r="D359" s="7" t="str">
        <f>"韩丛耀主编；韩丛耀著"</f>
        <v>韩丛耀主编；韩丛耀著</v>
      </c>
      <c r="E359" s="7" t="str">
        <f t="shared" ref="E359:E361" si="6">"中国摄影出版社"</f>
        <v>中国摄影出版社</v>
      </c>
      <c r="F359" s="7" t="str">
        <f>"J51/117/20"</f>
        <v>J51/117/20</v>
      </c>
    </row>
    <row r="360" customHeight="1" spans="1:6">
      <c r="A360" s="6">
        <v>359</v>
      </c>
      <c r="B360" s="7" t="str">
        <f>"978-7-5179-0720-6"</f>
        <v>978-7-5179-0720-6</v>
      </c>
      <c r="C360" s="7" t="str">
        <f>"中华图像文化史．儒学图像卷"</f>
        <v>中华图像文化史．儒学图像卷</v>
      </c>
      <c r="D360" s="7" t="str">
        <f>"韩丛耀主编周赟著"</f>
        <v>韩丛耀主编周赟著</v>
      </c>
      <c r="E360" s="7" t="str">
        <f t="shared" si="6"/>
        <v>中国摄影出版社</v>
      </c>
      <c r="F360" s="7" t="str">
        <f>"J51/117/21"</f>
        <v>J51/117/21</v>
      </c>
    </row>
    <row r="361" customHeight="1" spans="1:6">
      <c r="A361" s="6">
        <v>360</v>
      </c>
      <c r="B361" s="7" t="str">
        <f>"978-7-5179-0493-9"</f>
        <v>978-7-5179-0493-9</v>
      </c>
      <c r="C361" s="7" t="str">
        <f>"中华图像文化史．佛教图像卷．上"</f>
        <v>中华图像文化史．佛教图像卷．上</v>
      </c>
      <c r="D361" s="7" t="str">
        <f>"韩丛耀主编于向东著"</f>
        <v>韩丛耀主编于向东著</v>
      </c>
      <c r="E361" s="7" t="str">
        <f t="shared" si="6"/>
        <v>中国摄影出版社</v>
      </c>
      <c r="F361" s="7" t="str">
        <f>"J51/117/5:1"</f>
        <v>J51/117/5:1</v>
      </c>
    </row>
    <row r="362" customHeight="1" spans="1:6">
      <c r="A362" s="6">
        <v>361</v>
      </c>
      <c r="B362" s="8" t="s">
        <v>10724</v>
      </c>
      <c r="C362" s="8" t="s">
        <v>10725</v>
      </c>
      <c r="D362" s="8" t="s">
        <v>10726</v>
      </c>
      <c r="E362" s="8" t="s">
        <v>216</v>
      </c>
      <c r="F362" s="8" t="s">
        <v>10727</v>
      </c>
    </row>
    <row r="363" customHeight="1" spans="1:6">
      <c r="A363" s="6">
        <v>362</v>
      </c>
      <c r="B363" s="8" t="s">
        <v>10724</v>
      </c>
      <c r="C363" s="8" t="s">
        <v>10725</v>
      </c>
      <c r="D363" s="8" t="s">
        <v>10726</v>
      </c>
      <c r="E363" s="8" t="s">
        <v>216</v>
      </c>
      <c r="F363" s="8" t="s">
        <v>10727</v>
      </c>
    </row>
    <row r="364" customHeight="1" spans="1:6">
      <c r="A364" s="6">
        <v>363</v>
      </c>
      <c r="B364" s="8" t="s">
        <v>10728</v>
      </c>
      <c r="C364" s="8" t="s">
        <v>10729</v>
      </c>
      <c r="D364" s="8" t="s">
        <v>10730</v>
      </c>
      <c r="E364" s="8" t="s">
        <v>744</v>
      </c>
      <c r="F364" s="8" t="s">
        <v>10731</v>
      </c>
    </row>
    <row r="365" customHeight="1" spans="1:6">
      <c r="A365" s="6">
        <v>364</v>
      </c>
      <c r="B365" s="8" t="s">
        <v>10728</v>
      </c>
      <c r="C365" s="8" t="s">
        <v>10729</v>
      </c>
      <c r="D365" s="8" t="s">
        <v>10730</v>
      </c>
      <c r="E365" s="8" t="s">
        <v>744</v>
      </c>
      <c r="F365" s="8" t="s">
        <v>10731</v>
      </c>
    </row>
    <row r="366" customHeight="1" spans="1:6">
      <c r="A366" s="6">
        <v>365</v>
      </c>
      <c r="B366" s="8" t="s">
        <v>10732</v>
      </c>
      <c r="C366" s="8" t="s">
        <v>10733</v>
      </c>
      <c r="D366" s="8" t="s">
        <v>10734</v>
      </c>
      <c r="E366" s="8" t="s">
        <v>3180</v>
      </c>
      <c r="F366" s="8" t="s">
        <v>10735</v>
      </c>
    </row>
    <row r="367" customHeight="1" spans="1:6">
      <c r="A367" s="6">
        <v>366</v>
      </c>
      <c r="B367" s="8" t="s">
        <v>10732</v>
      </c>
      <c r="C367" s="8" t="s">
        <v>10733</v>
      </c>
      <c r="D367" s="8" t="s">
        <v>10734</v>
      </c>
      <c r="E367" s="8" t="s">
        <v>3180</v>
      </c>
      <c r="F367" s="8" t="s">
        <v>10735</v>
      </c>
    </row>
    <row r="368" customHeight="1" spans="1:6">
      <c r="A368" s="6">
        <v>367</v>
      </c>
      <c r="B368" s="8" t="s">
        <v>10736</v>
      </c>
      <c r="C368" s="8" t="s">
        <v>10737</v>
      </c>
      <c r="D368" s="8" t="s">
        <v>10738</v>
      </c>
      <c r="E368" s="8" t="s">
        <v>701</v>
      </c>
      <c r="F368" s="8" t="s">
        <v>10739</v>
      </c>
    </row>
    <row r="369" customHeight="1" spans="1:6">
      <c r="A369" s="6">
        <v>368</v>
      </c>
      <c r="B369" s="8" t="s">
        <v>10736</v>
      </c>
      <c r="C369" s="8" t="s">
        <v>10737</v>
      </c>
      <c r="D369" s="8" t="s">
        <v>10738</v>
      </c>
      <c r="E369" s="8" t="s">
        <v>701</v>
      </c>
      <c r="F369" s="8" t="s">
        <v>10739</v>
      </c>
    </row>
    <row r="370" customHeight="1" spans="1:6">
      <c r="A370" s="6">
        <v>369</v>
      </c>
      <c r="B370" s="8" t="s">
        <v>10740</v>
      </c>
      <c r="C370" s="8" t="s">
        <v>10741</v>
      </c>
      <c r="D370" s="8" t="s">
        <v>10742</v>
      </c>
      <c r="E370" s="8" t="s">
        <v>675</v>
      </c>
      <c r="F370" s="8" t="s">
        <v>10743</v>
      </c>
    </row>
    <row r="371" customHeight="1" spans="1:6">
      <c r="A371" s="6">
        <v>370</v>
      </c>
      <c r="B371" s="8" t="s">
        <v>10740</v>
      </c>
      <c r="C371" s="8" t="s">
        <v>10741</v>
      </c>
      <c r="D371" s="8" t="s">
        <v>10742</v>
      </c>
      <c r="E371" s="8" t="s">
        <v>675</v>
      </c>
      <c r="F371" s="8" t="s">
        <v>10743</v>
      </c>
    </row>
    <row r="372" customHeight="1" spans="1:6">
      <c r="A372" s="6">
        <v>371</v>
      </c>
      <c r="B372" s="8" t="s">
        <v>10744</v>
      </c>
      <c r="C372" s="8" t="s">
        <v>10745</v>
      </c>
      <c r="D372" s="8" t="s">
        <v>10234</v>
      </c>
      <c r="E372" s="8" t="s">
        <v>10235</v>
      </c>
      <c r="F372" s="8" t="s">
        <v>10746</v>
      </c>
    </row>
    <row r="373" customHeight="1" spans="1:6">
      <c r="A373" s="6">
        <v>372</v>
      </c>
      <c r="B373" s="8" t="s">
        <v>10744</v>
      </c>
      <c r="C373" s="8" t="s">
        <v>10745</v>
      </c>
      <c r="D373" s="8" t="s">
        <v>10234</v>
      </c>
      <c r="E373" s="8" t="s">
        <v>10235</v>
      </c>
      <c r="F373" s="8" t="s">
        <v>10746</v>
      </c>
    </row>
    <row r="374" customHeight="1" spans="1:6">
      <c r="A374" s="6">
        <v>373</v>
      </c>
      <c r="B374" s="7" t="str">
        <f>"978-7-5464-2738-6"</f>
        <v>978-7-5464-2738-6</v>
      </c>
      <c r="C374" s="7" t="str">
        <f>"视觉手札：平面设计中的视觉要素传达"</f>
        <v>视觉手札：平面设计中的视觉要素传达</v>
      </c>
      <c r="D374" s="7" t="str">
        <f>"孟宪航著"</f>
        <v>孟宪航著</v>
      </c>
      <c r="E374" s="7" t="str">
        <f>"成都时代出版社"</f>
        <v>成都时代出版社</v>
      </c>
      <c r="F374" s="7" t="str">
        <f>"J511/57"</f>
        <v>J511/57</v>
      </c>
    </row>
    <row r="375" customHeight="1" spans="1:6">
      <c r="A375" s="6">
        <v>374</v>
      </c>
      <c r="B375" s="7" t="str">
        <f>"978-7-5464-2738-6"</f>
        <v>978-7-5464-2738-6</v>
      </c>
      <c r="C375" s="7" t="str">
        <f>"视觉手札：平面设计中的视觉要素传达"</f>
        <v>视觉手札：平面设计中的视觉要素传达</v>
      </c>
      <c r="D375" s="7" t="str">
        <f>"孟宪航著"</f>
        <v>孟宪航著</v>
      </c>
      <c r="E375" s="7" t="str">
        <f>"成都时代出版社"</f>
        <v>成都时代出版社</v>
      </c>
      <c r="F375" s="7" t="str">
        <f>"J511/57"</f>
        <v>J511/57</v>
      </c>
    </row>
    <row r="376" customHeight="1" spans="1:6">
      <c r="A376" s="6">
        <v>375</v>
      </c>
      <c r="B376" s="7" t="str">
        <f>"978-7-121-42051-1"</f>
        <v>978-7-121-42051-1</v>
      </c>
      <c r="C376" s="7" t="str">
        <f>"平面设计"</f>
        <v>平面设计</v>
      </c>
      <c r="D376" s="7" t="str">
        <f>"陈根编著"</f>
        <v>陈根编著</v>
      </c>
      <c r="E376" s="7" t="str">
        <f>"电子工业出版社"</f>
        <v>电子工业出版社</v>
      </c>
      <c r="F376" s="7" t="str">
        <f>"J511/58"</f>
        <v>J511/58</v>
      </c>
    </row>
    <row r="377" customHeight="1" spans="1:6">
      <c r="A377" s="6">
        <v>376</v>
      </c>
      <c r="B377" s="7" t="str">
        <f>"978-7-121-42051-1"</f>
        <v>978-7-121-42051-1</v>
      </c>
      <c r="C377" s="7" t="str">
        <f>"平面设计"</f>
        <v>平面设计</v>
      </c>
      <c r="D377" s="7" t="str">
        <f>"陈根编著"</f>
        <v>陈根编著</v>
      </c>
      <c r="E377" s="7" t="str">
        <f>"电子工业出版社"</f>
        <v>电子工业出版社</v>
      </c>
      <c r="F377" s="7" t="str">
        <f>"J511/58"</f>
        <v>J511/58</v>
      </c>
    </row>
    <row r="378" customHeight="1" spans="1:6">
      <c r="A378" s="6">
        <v>377</v>
      </c>
      <c r="B378" s="7" t="str">
        <f>"978-7-5680-7219-9"</f>
        <v>978-7-5680-7219-9</v>
      </c>
      <c r="C378" s="7" t="str">
        <f>"欧洲平面设计新浪潮"</f>
        <v>欧洲平面设计新浪潮</v>
      </c>
      <c r="D378" s="7" t="str">
        <f>"gaatii光体编著"</f>
        <v>gaatii光体编著</v>
      </c>
      <c r="E378" s="7" t="str">
        <f>"华中科技大学出版社"</f>
        <v>华中科技大学出版社</v>
      </c>
      <c r="F378" s="7" t="str">
        <f>"J511/59"</f>
        <v>J511/59</v>
      </c>
    </row>
    <row r="379" customHeight="1" spans="1:6">
      <c r="A379" s="6">
        <v>378</v>
      </c>
      <c r="B379" s="8" t="s">
        <v>10747</v>
      </c>
      <c r="C379" s="8" t="s">
        <v>10748</v>
      </c>
      <c r="D379" s="8" t="s">
        <v>10749</v>
      </c>
      <c r="E379" s="8" t="s">
        <v>10196</v>
      </c>
      <c r="F379" s="8" t="s">
        <v>10750</v>
      </c>
    </row>
    <row r="380" customHeight="1" spans="1:6">
      <c r="A380" s="6">
        <v>379</v>
      </c>
      <c r="B380" s="8" t="s">
        <v>10747</v>
      </c>
      <c r="C380" s="8" t="s">
        <v>10748</v>
      </c>
      <c r="D380" s="8" t="s">
        <v>10749</v>
      </c>
      <c r="E380" s="8" t="s">
        <v>10196</v>
      </c>
      <c r="F380" s="8" t="s">
        <v>10750</v>
      </c>
    </row>
    <row r="381" customHeight="1" spans="1:6">
      <c r="A381" s="6">
        <v>380</v>
      </c>
      <c r="B381" s="8" t="s">
        <v>10751</v>
      </c>
      <c r="C381" s="8" t="s">
        <v>10752</v>
      </c>
      <c r="D381" s="8" t="s">
        <v>10753</v>
      </c>
      <c r="E381" s="8" t="s">
        <v>420</v>
      </c>
      <c r="F381" s="8" t="s">
        <v>10754</v>
      </c>
    </row>
    <row r="382" customHeight="1" spans="1:6">
      <c r="A382" s="6">
        <v>381</v>
      </c>
      <c r="B382" s="8" t="s">
        <v>10751</v>
      </c>
      <c r="C382" s="8" t="s">
        <v>10752</v>
      </c>
      <c r="D382" s="8" t="s">
        <v>10753</v>
      </c>
      <c r="E382" s="8" t="s">
        <v>420</v>
      </c>
      <c r="F382" s="8" t="s">
        <v>10754</v>
      </c>
    </row>
    <row r="383" customHeight="1" spans="1:6">
      <c r="A383" s="6">
        <v>382</v>
      </c>
      <c r="B383" s="8" t="s">
        <v>10755</v>
      </c>
      <c r="C383" s="8" t="s">
        <v>10756</v>
      </c>
      <c r="D383" s="8" t="s">
        <v>10757</v>
      </c>
      <c r="E383" s="8" t="s">
        <v>3180</v>
      </c>
      <c r="F383" s="8" t="s">
        <v>10758</v>
      </c>
    </row>
    <row r="384" customHeight="1" spans="1:6">
      <c r="A384" s="6">
        <v>383</v>
      </c>
      <c r="B384" s="8" t="s">
        <v>10755</v>
      </c>
      <c r="C384" s="8" t="s">
        <v>10756</v>
      </c>
      <c r="D384" s="8" t="s">
        <v>10757</v>
      </c>
      <c r="E384" s="8" t="s">
        <v>3180</v>
      </c>
      <c r="F384" s="8" t="s">
        <v>10758</v>
      </c>
    </row>
    <row r="385" customHeight="1" spans="1:6">
      <c r="A385" s="6">
        <v>384</v>
      </c>
      <c r="B385" s="8" t="s">
        <v>10759</v>
      </c>
      <c r="C385" s="8" t="s">
        <v>10760</v>
      </c>
      <c r="D385" s="8" t="s">
        <v>10761</v>
      </c>
      <c r="E385" s="8" t="s">
        <v>420</v>
      </c>
      <c r="F385" s="8" t="s">
        <v>10762</v>
      </c>
    </row>
    <row r="386" customHeight="1" spans="1:6">
      <c r="A386" s="6">
        <v>385</v>
      </c>
      <c r="B386" s="8" t="s">
        <v>10759</v>
      </c>
      <c r="C386" s="8" t="s">
        <v>10760</v>
      </c>
      <c r="D386" s="8" t="s">
        <v>10761</v>
      </c>
      <c r="E386" s="8" t="s">
        <v>420</v>
      </c>
      <c r="F386" s="8" t="s">
        <v>10762</v>
      </c>
    </row>
    <row r="387" customHeight="1" spans="1:6">
      <c r="A387" s="6">
        <v>386</v>
      </c>
      <c r="B387" s="8" t="s">
        <v>10763</v>
      </c>
      <c r="C387" s="8" t="s">
        <v>10764</v>
      </c>
      <c r="D387" s="8" t="s">
        <v>10765</v>
      </c>
      <c r="E387" s="8" t="s">
        <v>549</v>
      </c>
      <c r="F387" s="8" t="s">
        <v>10766</v>
      </c>
    </row>
    <row r="388" customHeight="1" spans="1:6">
      <c r="A388" s="6">
        <v>387</v>
      </c>
      <c r="B388" s="8" t="s">
        <v>10763</v>
      </c>
      <c r="C388" s="8" t="s">
        <v>10764</v>
      </c>
      <c r="D388" s="8" t="s">
        <v>10765</v>
      </c>
      <c r="E388" s="8" t="s">
        <v>549</v>
      </c>
      <c r="F388" s="8" t="s">
        <v>10766</v>
      </c>
    </row>
    <row r="389" customHeight="1" spans="1:6">
      <c r="A389" s="6">
        <v>388</v>
      </c>
      <c r="B389" s="8" t="s">
        <v>10767</v>
      </c>
      <c r="C389" s="8" t="s">
        <v>10768</v>
      </c>
      <c r="D389" s="8" t="s">
        <v>10769</v>
      </c>
      <c r="E389" s="8" t="s">
        <v>571</v>
      </c>
      <c r="F389" s="8" t="s">
        <v>10770</v>
      </c>
    </row>
    <row r="390" customHeight="1" spans="1:6">
      <c r="A390" s="6">
        <v>389</v>
      </c>
      <c r="B390" s="8" t="s">
        <v>10767</v>
      </c>
      <c r="C390" s="8" t="s">
        <v>10768</v>
      </c>
      <c r="D390" s="8" t="s">
        <v>10769</v>
      </c>
      <c r="E390" s="8" t="s">
        <v>571</v>
      </c>
      <c r="F390" s="8" t="s">
        <v>10770</v>
      </c>
    </row>
    <row r="391" customHeight="1" spans="1:6">
      <c r="A391" s="6">
        <v>390</v>
      </c>
      <c r="B391" s="8" t="s">
        <v>10771</v>
      </c>
      <c r="C391" s="8" t="s">
        <v>10772</v>
      </c>
      <c r="D391" s="8" t="s">
        <v>10773</v>
      </c>
      <c r="E391" s="8" t="s">
        <v>5127</v>
      </c>
      <c r="F391" s="8" t="s">
        <v>10774</v>
      </c>
    </row>
    <row r="392" customHeight="1" spans="1:6">
      <c r="A392" s="6">
        <v>391</v>
      </c>
      <c r="B392" s="8" t="s">
        <v>10771</v>
      </c>
      <c r="C392" s="8" t="s">
        <v>10772</v>
      </c>
      <c r="D392" s="8" t="s">
        <v>10773</v>
      </c>
      <c r="E392" s="8" t="s">
        <v>5127</v>
      </c>
      <c r="F392" s="8" t="s">
        <v>10774</v>
      </c>
    </row>
    <row r="393" customHeight="1" spans="1:6">
      <c r="A393" s="6">
        <v>392</v>
      </c>
      <c r="B393" s="7" t="str">
        <f>"978-7-121-42050-4"</f>
        <v>978-7-121-42050-4</v>
      </c>
      <c r="C393" s="7" t="str">
        <f>"VI设计"</f>
        <v>VI设计</v>
      </c>
      <c r="D393" s="7" t="str">
        <f>"陈根编著"</f>
        <v>陈根编著</v>
      </c>
      <c r="E393" s="7" t="str">
        <f>"电子工业出版社"</f>
        <v>电子工业出版社</v>
      </c>
      <c r="F393" s="7" t="str">
        <f>"J524.4/129"</f>
        <v>J524.4/129</v>
      </c>
    </row>
    <row r="394" customHeight="1" spans="1:6">
      <c r="A394" s="6">
        <v>393</v>
      </c>
      <c r="B394" s="7" t="str">
        <f>"978-7-121-42050-4"</f>
        <v>978-7-121-42050-4</v>
      </c>
      <c r="C394" s="7" t="str">
        <f>"VI设计"</f>
        <v>VI设计</v>
      </c>
      <c r="D394" s="7" t="str">
        <f>"陈根编著"</f>
        <v>陈根编著</v>
      </c>
      <c r="E394" s="7" t="str">
        <f>"电子工业出版社"</f>
        <v>电子工业出版社</v>
      </c>
      <c r="F394" s="7" t="str">
        <f>"J524.4/129"</f>
        <v>J524.4/129</v>
      </c>
    </row>
    <row r="395" customHeight="1" spans="1:6">
      <c r="A395" s="6">
        <v>394</v>
      </c>
      <c r="B395" s="7" t="str">
        <f>"978-7-5591-2104-2"</f>
        <v>978-7-5591-2104-2</v>
      </c>
      <c r="C395" s="7" t="str">
        <f>"设计中国·空间生活艺术：2021"</f>
        <v>设计中国·空间生活艺术：2021</v>
      </c>
      <c r="D395" s="7" t="str">
        <f>"王中主编"</f>
        <v>王中主编</v>
      </c>
      <c r="E395" s="7" t="str">
        <f>"辽宁科学技术出版社"</f>
        <v>辽宁科学技术出版社</v>
      </c>
      <c r="F395" s="7" t="str">
        <f>"J525.1/108"</f>
        <v>J525.1/108</v>
      </c>
    </row>
    <row r="396" customHeight="1" spans="1:6">
      <c r="A396" s="6">
        <v>395</v>
      </c>
      <c r="B396" s="7" t="str">
        <f>"978-7-5591-2104-2"</f>
        <v>978-7-5591-2104-2</v>
      </c>
      <c r="C396" s="7" t="str">
        <f>"设计中国·空间生活艺术：2021"</f>
        <v>设计中国·空间生活艺术：2021</v>
      </c>
      <c r="D396" s="7" t="str">
        <f>"王中主编"</f>
        <v>王中主编</v>
      </c>
      <c r="E396" s="7" t="str">
        <f>"辽宁科学技术出版社"</f>
        <v>辽宁科学技术出版社</v>
      </c>
      <c r="F396" s="7" t="str">
        <f>"J525.1/108"</f>
        <v>J525.1/108</v>
      </c>
    </row>
    <row r="397" customHeight="1" spans="1:6">
      <c r="A397" s="6">
        <v>396</v>
      </c>
      <c r="B397" s="8" t="s">
        <v>10775</v>
      </c>
      <c r="C397" s="8" t="s">
        <v>10776</v>
      </c>
      <c r="D397" s="8" t="s">
        <v>10777</v>
      </c>
      <c r="E397" s="8" t="s">
        <v>216</v>
      </c>
      <c r="F397" s="8" t="s">
        <v>10778</v>
      </c>
    </row>
    <row r="398" customHeight="1" spans="1:6">
      <c r="A398" s="6">
        <v>397</v>
      </c>
      <c r="B398" s="8" t="s">
        <v>10775</v>
      </c>
      <c r="C398" s="8" t="s">
        <v>10776</v>
      </c>
      <c r="D398" s="8" t="s">
        <v>10777</v>
      </c>
      <c r="E398" s="8" t="s">
        <v>216</v>
      </c>
      <c r="F398" s="8" t="s">
        <v>10778</v>
      </c>
    </row>
    <row r="399" customHeight="1" spans="1:6">
      <c r="A399" s="6">
        <v>398</v>
      </c>
      <c r="B399" s="8" t="s">
        <v>10779</v>
      </c>
      <c r="C399" s="8" t="s">
        <v>10780</v>
      </c>
      <c r="D399" s="8" t="s">
        <v>10781</v>
      </c>
      <c r="E399" s="8" t="s">
        <v>3180</v>
      </c>
      <c r="F399" s="8" t="s">
        <v>10782</v>
      </c>
    </row>
    <row r="400" customHeight="1" spans="1:6">
      <c r="A400" s="6">
        <v>399</v>
      </c>
      <c r="B400" s="8" t="s">
        <v>10779</v>
      </c>
      <c r="C400" s="8" t="s">
        <v>10780</v>
      </c>
      <c r="D400" s="8" t="s">
        <v>10781</v>
      </c>
      <c r="E400" s="8" t="s">
        <v>3180</v>
      </c>
      <c r="F400" s="8" t="s">
        <v>10782</v>
      </c>
    </row>
    <row r="401" customHeight="1" spans="1:6">
      <c r="A401" s="6">
        <v>400</v>
      </c>
      <c r="B401" s="7" t="str">
        <f>"978-7-5426-7466-1"</f>
        <v>978-7-5426-7466-1</v>
      </c>
      <c r="C401" s="7" t="str">
        <f>"中国匠艺审美的人类学研究"</f>
        <v>中国匠艺审美的人类学研究</v>
      </c>
      <c r="D401" s="7" t="str">
        <f>"李清华著"</f>
        <v>李清华著</v>
      </c>
      <c r="E401" s="7" t="str">
        <f>"上海三联书店"</f>
        <v>上海三联书店</v>
      </c>
      <c r="F401" s="7" t="str">
        <f>"J528/78"</f>
        <v>J528/78</v>
      </c>
    </row>
    <row r="402" customHeight="1" spans="1:6">
      <c r="A402" s="6">
        <v>401</v>
      </c>
      <c r="B402" s="7" t="str">
        <f>"978-7-5426-7466-1"</f>
        <v>978-7-5426-7466-1</v>
      </c>
      <c r="C402" s="7" t="str">
        <f>"中国匠艺审美的人类学研究"</f>
        <v>中国匠艺审美的人类学研究</v>
      </c>
      <c r="D402" s="7" t="str">
        <f>"李清华著"</f>
        <v>李清华著</v>
      </c>
      <c r="E402" s="7" t="str">
        <f>"上海三联书店"</f>
        <v>上海三联书店</v>
      </c>
      <c r="F402" s="7" t="str">
        <f>"J528/78"</f>
        <v>J528/78</v>
      </c>
    </row>
    <row r="403" customHeight="1" spans="1:6">
      <c r="A403" s="6">
        <v>402</v>
      </c>
      <c r="B403" s="8" t="s">
        <v>10783</v>
      </c>
      <c r="C403" s="8" t="s">
        <v>10784</v>
      </c>
      <c r="D403" s="8" t="s">
        <v>10785</v>
      </c>
      <c r="E403" s="8" t="s">
        <v>3180</v>
      </c>
      <c r="F403" s="8" t="s">
        <v>10786</v>
      </c>
    </row>
    <row r="404" customHeight="1" spans="1:6">
      <c r="A404" s="6">
        <v>403</v>
      </c>
      <c r="B404" s="8" t="s">
        <v>10783</v>
      </c>
      <c r="C404" s="8" t="s">
        <v>10784</v>
      </c>
      <c r="D404" s="8" t="s">
        <v>10785</v>
      </c>
      <c r="E404" s="8" t="s">
        <v>3180</v>
      </c>
      <c r="F404" s="8" t="s">
        <v>10786</v>
      </c>
    </row>
    <row r="405" customHeight="1" spans="1:6">
      <c r="A405" s="6">
        <v>404</v>
      </c>
      <c r="B405" s="8" t="s">
        <v>10787</v>
      </c>
      <c r="C405" s="8" t="s">
        <v>10788</v>
      </c>
      <c r="D405" s="8" t="s">
        <v>10789</v>
      </c>
      <c r="E405" s="8" t="s">
        <v>5998</v>
      </c>
      <c r="F405" s="8" t="s">
        <v>10790</v>
      </c>
    </row>
    <row r="406" customHeight="1" spans="1:6">
      <c r="A406" s="6">
        <v>405</v>
      </c>
      <c r="B406" s="8" t="s">
        <v>10787</v>
      </c>
      <c r="C406" s="8" t="s">
        <v>10788</v>
      </c>
      <c r="D406" s="8" t="s">
        <v>10789</v>
      </c>
      <c r="E406" s="8" t="s">
        <v>5998</v>
      </c>
      <c r="F406" s="8" t="s">
        <v>10790</v>
      </c>
    </row>
    <row r="407" customHeight="1" spans="1:6">
      <c r="A407" s="6">
        <v>406</v>
      </c>
      <c r="B407" s="8" t="s">
        <v>10791</v>
      </c>
      <c r="C407" s="8" t="s">
        <v>10792</v>
      </c>
      <c r="D407" s="8" t="s">
        <v>10793</v>
      </c>
      <c r="E407" s="8" t="s">
        <v>10196</v>
      </c>
      <c r="F407" s="8" t="s">
        <v>10794</v>
      </c>
    </row>
    <row r="408" customHeight="1" spans="1:6">
      <c r="A408" s="6">
        <v>407</v>
      </c>
      <c r="B408" s="8" t="s">
        <v>10791</v>
      </c>
      <c r="C408" s="8" t="s">
        <v>10792</v>
      </c>
      <c r="D408" s="8" t="s">
        <v>10793</v>
      </c>
      <c r="E408" s="8" t="s">
        <v>10196</v>
      </c>
      <c r="F408" s="8" t="s">
        <v>10794</v>
      </c>
    </row>
    <row r="409" customHeight="1" spans="1:6">
      <c r="A409" s="6">
        <v>408</v>
      </c>
      <c r="B409" s="8" t="s">
        <v>10795</v>
      </c>
      <c r="C409" s="8" t="s">
        <v>10796</v>
      </c>
      <c r="D409" s="8" t="s">
        <v>10797</v>
      </c>
      <c r="E409" s="8" t="s">
        <v>9842</v>
      </c>
      <c r="F409" s="8" t="s">
        <v>10798</v>
      </c>
    </row>
    <row r="410" customHeight="1" spans="1:6">
      <c r="A410" s="6">
        <v>409</v>
      </c>
      <c r="B410" s="8" t="s">
        <v>10795</v>
      </c>
      <c r="C410" s="8" t="s">
        <v>10796</v>
      </c>
      <c r="D410" s="8" t="s">
        <v>10797</v>
      </c>
      <c r="E410" s="8" t="s">
        <v>9842</v>
      </c>
      <c r="F410" s="8" t="s">
        <v>10798</v>
      </c>
    </row>
    <row r="411" customHeight="1" spans="1:6">
      <c r="A411" s="6">
        <v>410</v>
      </c>
      <c r="B411" s="8" t="s">
        <v>10799</v>
      </c>
      <c r="C411" s="8" t="s">
        <v>10800</v>
      </c>
      <c r="D411" s="8" t="s">
        <v>10801</v>
      </c>
      <c r="E411" s="8" t="s">
        <v>544</v>
      </c>
      <c r="F411" s="8" t="s">
        <v>10802</v>
      </c>
    </row>
    <row r="412" customHeight="1" spans="1:6">
      <c r="A412" s="6">
        <v>411</v>
      </c>
      <c r="B412" s="8" t="s">
        <v>10799</v>
      </c>
      <c r="C412" s="8" t="s">
        <v>10800</v>
      </c>
      <c r="D412" s="8" t="s">
        <v>10801</v>
      </c>
      <c r="E412" s="8" t="s">
        <v>544</v>
      </c>
      <c r="F412" s="8" t="s">
        <v>10802</v>
      </c>
    </row>
    <row r="413" customHeight="1" spans="1:6">
      <c r="A413" s="6">
        <v>412</v>
      </c>
      <c r="B413" s="8" t="s">
        <v>10803</v>
      </c>
      <c r="C413" s="8" t="s">
        <v>10804</v>
      </c>
      <c r="D413" s="8" t="s">
        <v>10805</v>
      </c>
      <c r="E413" s="8" t="s">
        <v>4495</v>
      </c>
      <c r="F413" s="8" t="s">
        <v>10806</v>
      </c>
    </row>
    <row r="414" customHeight="1" spans="1:6">
      <c r="A414" s="6">
        <v>413</v>
      </c>
      <c r="B414" s="8" t="s">
        <v>10803</v>
      </c>
      <c r="C414" s="8" t="s">
        <v>10804</v>
      </c>
      <c r="D414" s="8" t="s">
        <v>10805</v>
      </c>
      <c r="E414" s="8" t="s">
        <v>4495</v>
      </c>
      <c r="F414" s="8" t="s">
        <v>10806</v>
      </c>
    </row>
    <row r="415" customHeight="1" spans="1:6">
      <c r="A415" s="6">
        <v>414</v>
      </c>
      <c r="B415" s="8" t="s">
        <v>10807</v>
      </c>
      <c r="C415" s="8" t="s">
        <v>10808</v>
      </c>
      <c r="D415" s="8" t="s">
        <v>10809</v>
      </c>
      <c r="E415" s="8" t="s">
        <v>425</v>
      </c>
      <c r="F415" s="8" t="s">
        <v>10810</v>
      </c>
    </row>
    <row r="416" customHeight="1" spans="1:6">
      <c r="A416" s="6">
        <v>415</v>
      </c>
      <c r="B416" s="8" t="s">
        <v>10807</v>
      </c>
      <c r="C416" s="8" t="s">
        <v>10808</v>
      </c>
      <c r="D416" s="8" t="s">
        <v>10809</v>
      </c>
      <c r="E416" s="8" t="s">
        <v>425</v>
      </c>
      <c r="F416" s="8" t="s">
        <v>10810</v>
      </c>
    </row>
    <row r="417" customHeight="1" spans="1:6">
      <c r="A417" s="6">
        <v>416</v>
      </c>
      <c r="B417" s="8" t="s">
        <v>10811</v>
      </c>
      <c r="C417" s="8" t="s">
        <v>10812</v>
      </c>
      <c r="D417" s="8" t="s">
        <v>10813</v>
      </c>
      <c r="E417" s="8" t="s">
        <v>10814</v>
      </c>
      <c r="F417" s="8" t="s">
        <v>10815</v>
      </c>
    </row>
    <row r="418" customHeight="1" spans="1:6">
      <c r="A418" s="6">
        <v>417</v>
      </c>
      <c r="B418" s="8" t="s">
        <v>10811</v>
      </c>
      <c r="C418" s="8" t="s">
        <v>10812</v>
      </c>
      <c r="D418" s="8" t="s">
        <v>10813</v>
      </c>
      <c r="E418" s="8" t="s">
        <v>10814</v>
      </c>
      <c r="F418" s="8" t="s">
        <v>10815</v>
      </c>
    </row>
    <row r="419" customHeight="1" spans="1:6">
      <c r="A419" s="6">
        <v>418</v>
      </c>
      <c r="B419" s="8" t="s">
        <v>10816</v>
      </c>
      <c r="C419" s="8" t="s">
        <v>10817</v>
      </c>
      <c r="D419" s="8" t="s">
        <v>10818</v>
      </c>
      <c r="E419" s="8" t="s">
        <v>10819</v>
      </c>
      <c r="F419" s="8" t="s">
        <v>10820</v>
      </c>
    </row>
    <row r="420" customHeight="1" spans="1:6">
      <c r="A420" s="6">
        <v>419</v>
      </c>
      <c r="B420" s="8" t="s">
        <v>10816</v>
      </c>
      <c r="C420" s="8" t="s">
        <v>10821</v>
      </c>
      <c r="D420" s="8" t="s">
        <v>10818</v>
      </c>
      <c r="E420" s="8" t="s">
        <v>10819</v>
      </c>
      <c r="F420" s="8" t="s">
        <v>10822</v>
      </c>
    </row>
    <row r="421" customHeight="1" spans="1:6">
      <c r="A421" s="6">
        <v>420</v>
      </c>
      <c r="B421" s="8" t="s">
        <v>10823</v>
      </c>
      <c r="C421" s="8" t="s">
        <v>10824</v>
      </c>
      <c r="D421" s="8" t="s">
        <v>10825</v>
      </c>
      <c r="E421" s="8" t="s">
        <v>28</v>
      </c>
      <c r="F421" s="8" t="s">
        <v>10826</v>
      </c>
    </row>
    <row r="422" customHeight="1" spans="1:6">
      <c r="A422" s="6">
        <v>421</v>
      </c>
      <c r="B422" s="8" t="s">
        <v>10823</v>
      </c>
      <c r="C422" s="8" t="s">
        <v>10824</v>
      </c>
      <c r="D422" s="8" t="s">
        <v>10825</v>
      </c>
      <c r="E422" s="8" t="s">
        <v>28</v>
      </c>
      <c r="F422" s="8" t="s">
        <v>10826</v>
      </c>
    </row>
    <row r="423" customHeight="1" spans="1:6">
      <c r="A423" s="6">
        <v>422</v>
      </c>
      <c r="B423" s="8" t="s">
        <v>10827</v>
      </c>
      <c r="C423" s="8" t="s">
        <v>10828</v>
      </c>
      <c r="D423" s="8" t="s">
        <v>10829</v>
      </c>
      <c r="E423" s="8" t="s">
        <v>10221</v>
      </c>
      <c r="F423" s="8" t="s">
        <v>10830</v>
      </c>
    </row>
    <row r="424" customHeight="1" spans="1:6">
      <c r="A424" s="6">
        <v>423</v>
      </c>
      <c r="B424" s="8" t="s">
        <v>10827</v>
      </c>
      <c r="C424" s="8" t="s">
        <v>10828</v>
      </c>
      <c r="D424" s="8" t="s">
        <v>10829</v>
      </c>
      <c r="E424" s="8" t="s">
        <v>10221</v>
      </c>
      <c r="F424" s="8" t="s">
        <v>10830</v>
      </c>
    </row>
    <row r="425" customHeight="1" spans="1:6">
      <c r="A425" s="6">
        <v>424</v>
      </c>
      <c r="B425" s="8" t="s">
        <v>10831</v>
      </c>
      <c r="C425" s="8" t="s">
        <v>10832</v>
      </c>
      <c r="D425" s="8" t="s">
        <v>10833</v>
      </c>
      <c r="E425" s="8" t="s">
        <v>10196</v>
      </c>
      <c r="F425" s="8" t="s">
        <v>10834</v>
      </c>
    </row>
    <row r="426" customHeight="1" spans="1:6">
      <c r="A426" s="6">
        <v>425</v>
      </c>
      <c r="B426" s="8" t="s">
        <v>10831</v>
      </c>
      <c r="C426" s="8" t="s">
        <v>10832</v>
      </c>
      <c r="D426" s="8" t="s">
        <v>10833</v>
      </c>
      <c r="E426" s="8" t="s">
        <v>10196</v>
      </c>
      <c r="F426" s="8" t="s">
        <v>10834</v>
      </c>
    </row>
    <row r="427" customHeight="1" spans="1:6">
      <c r="A427" s="6">
        <v>426</v>
      </c>
      <c r="B427" s="8" t="s">
        <v>10835</v>
      </c>
      <c r="C427" s="8" t="s">
        <v>10836</v>
      </c>
      <c r="D427" s="13"/>
      <c r="E427" s="8" t="s">
        <v>1734</v>
      </c>
      <c r="F427" s="8" t="s">
        <v>10837</v>
      </c>
    </row>
    <row r="428" customHeight="1" spans="1:6">
      <c r="A428" s="6">
        <v>427</v>
      </c>
      <c r="B428" s="8" t="s">
        <v>10835</v>
      </c>
      <c r="C428" s="8" t="s">
        <v>10836</v>
      </c>
      <c r="D428" s="13"/>
      <c r="E428" s="8" t="s">
        <v>1734</v>
      </c>
      <c r="F428" s="8" t="s">
        <v>10837</v>
      </c>
    </row>
    <row r="429" customHeight="1" spans="1:6">
      <c r="A429" s="6">
        <v>428</v>
      </c>
      <c r="B429" s="8" t="s">
        <v>10838</v>
      </c>
      <c r="C429" s="8" t="s">
        <v>10839</v>
      </c>
      <c r="D429" s="8" t="s">
        <v>10840</v>
      </c>
      <c r="E429" s="8" t="s">
        <v>10841</v>
      </c>
      <c r="F429" s="8" t="s">
        <v>10842</v>
      </c>
    </row>
    <row r="430" customHeight="1" spans="1:6">
      <c r="A430" s="6">
        <v>429</v>
      </c>
      <c r="B430" s="8" t="s">
        <v>10838</v>
      </c>
      <c r="C430" s="8" t="s">
        <v>10839</v>
      </c>
      <c r="D430" s="8" t="s">
        <v>10840</v>
      </c>
      <c r="E430" s="8" t="s">
        <v>10841</v>
      </c>
      <c r="F430" s="8" t="s">
        <v>10842</v>
      </c>
    </row>
    <row r="431" customHeight="1" spans="1:6">
      <c r="A431" s="6">
        <v>430</v>
      </c>
      <c r="B431" s="7" t="str">
        <f>"978-7-5068-8441-9"</f>
        <v>978-7-5068-8441-9</v>
      </c>
      <c r="C431" s="7" t="str">
        <f>"音乐教学法理论研究与当代教学实践"</f>
        <v>音乐教学法理论研究与当代教学实践</v>
      </c>
      <c r="D431" s="7" t="str">
        <f>"孙玉阳著"</f>
        <v>孙玉阳著</v>
      </c>
      <c r="E431" s="7" t="str">
        <f>"中国书籍出版社"</f>
        <v>中国书籍出版社</v>
      </c>
      <c r="F431" s="7" t="str">
        <f>"J60-059/12"</f>
        <v>J60-059/12</v>
      </c>
    </row>
    <row r="432" customHeight="1" spans="1:6">
      <c r="A432" s="6">
        <v>431</v>
      </c>
      <c r="B432" s="7" t="str">
        <f>"978-7-5068-8441-9"</f>
        <v>978-7-5068-8441-9</v>
      </c>
      <c r="C432" s="7" t="str">
        <f>"音乐教学法理论研究与当代教学实践"</f>
        <v>音乐教学法理论研究与当代教学实践</v>
      </c>
      <c r="D432" s="7" t="str">
        <f>"孙玉阳著"</f>
        <v>孙玉阳著</v>
      </c>
      <c r="E432" s="7" t="str">
        <f>"中国书籍出版社"</f>
        <v>中国书籍出版社</v>
      </c>
      <c r="F432" s="7" t="str">
        <f>"J60-059/12"</f>
        <v>J60-059/12</v>
      </c>
    </row>
    <row r="433" customHeight="1" spans="1:6">
      <c r="A433" s="6">
        <v>432</v>
      </c>
      <c r="B433" s="8" t="s">
        <v>10843</v>
      </c>
      <c r="C433" s="8" t="s">
        <v>10844</v>
      </c>
      <c r="D433" s="8" t="s">
        <v>10845</v>
      </c>
      <c r="E433" s="8" t="s">
        <v>1189</v>
      </c>
      <c r="F433" s="8" t="s">
        <v>10846</v>
      </c>
    </row>
    <row r="434" customHeight="1" spans="1:6">
      <c r="A434" s="6">
        <v>433</v>
      </c>
      <c r="B434" s="8" t="s">
        <v>10843</v>
      </c>
      <c r="C434" s="8" t="s">
        <v>10844</v>
      </c>
      <c r="D434" s="8" t="s">
        <v>10845</v>
      </c>
      <c r="E434" s="8" t="s">
        <v>1189</v>
      </c>
      <c r="F434" s="8" t="s">
        <v>10846</v>
      </c>
    </row>
    <row r="435" customHeight="1" spans="1:6">
      <c r="A435" s="6">
        <v>434</v>
      </c>
      <c r="B435" s="8" t="s">
        <v>10847</v>
      </c>
      <c r="C435" s="8" t="s">
        <v>10848</v>
      </c>
      <c r="D435" s="8" t="s">
        <v>10849</v>
      </c>
      <c r="E435" s="8" t="s">
        <v>571</v>
      </c>
      <c r="F435" s="8" t="s">
        <v>10850</v>
      </c>
    </row>
    <row r="436" customHeight="1" spans="1:6">
      <c r="A436" s="6">
        <v>435</v>
      </c>
      <c r="B436" s="8" t="s">
        <v>10847</v>
      </c>
      <c r="C436" s="8" t="s">
        <v>10848</v>
      </c>
      <c r="D436" s="8" t="s">
        <v>10849</v>
      </c>
      <c r="E436" s="8" t="s">
        <v>571</v>
      </c>
      <c r="F436" s="8" t="s">
        <v>10850</v>
      </c>
    </row>
    <row r="437" customHeight="1" spans="1:6">
      <c r="A437" s="6">
        <v>436</v>
      </c>
      <c r="B437" s="8" t="s">
        <v>10851</v>
      </c>
      <c r="C437" s="8" t="s">
        <v>10852</v>
      </c>
      <c r="D437" s="8" t="s">
        <v>10853</v>
      </c>
      <c r="E437" s="8" t="s">
        <v>2267</v>
      </c>
      <c r="F437" s="8" t="s">
        <v>10854</v>
      </c>
    </row>
    <row r="438" customHeight="1" spans="1:6">
      <c r="A438" s="6">
        <v>437</v>
      </c>
      <c r="B438" s="8" t="s">
        <v>10851</v>
      </c>
      <c r="C438" s="8" t="s">
        <v>10852</v>
      </c>
      <c r="D438" s="8" t="s">
        <v>10853</v>
      </c>
      <c r="E438" s="8" t="s">
        <v>2267</v>
      </c>
      <c r="F438" s="8" t="s">
        <v>10854</v>
      </c>
    </row>
    <row r="439" customHeight="1" spans="1:6">
      <c r="A439" s="6">
        <v>438</v>
      </c>
      <c r="B439" s="8" t="s">
        <v>10855</v>
      </c>
      <c r="C439" s="8" t="s">
        <v>10856</v>
      </c>
      <c r="D439" s="8" t="s">
        <v>10857</v>
      </c>
      <c r="E439" s="8" t="s">
        <v>28</v>
      </c>
      <c r="F439" s="8" t="s">
        <v>10858</v>
      </c>
    </row>
    <row r="440" customHeight="1" spans="1:6">
      <c r="A440" s="6">
        <v>439</v>
      </c>
      <c r="B440" s="8" t="s">
        <v>10855</v>
      </c>
      <c r="C440" s="8" t="s">
        <v>10856</v>
      </c>
      <c r="D440" s="8" t="s">
        <v>10857</v>
      </c>
      <c r="E440" s="8" t="s">
        <v>28</v>
      </c>
      <c r="F440" s="8" t="s">
        <v>10858</v>
      </c>
    </row>
    <row r="441" customHeight="1" spans="1:6">
      <c r="A441" s="6">
        <v>440</v>
      </c>
      <c r="B441" s="8" t="s">
        <v>10859</v>
      </c>
      <c r="C441" s="8" t="s">
        <v>10860</v>
      </c>
      <c r="D441" s="8" t="s">
        <v>10861</v>
      </c>
      <c r="E441" s="8" t="s">
        <v>239</v>
      </c>
      <c r="F441" s="8" t="s">
        <v>10862</v>
      </c>
    </row>
    <row r="442" customHeight="1" spans="1:6">
      <c r="A442" s="6">
        <v>441</v>
      </c>
      <c r="B442" s="8" t="s">
        <v>10859</v>
      </c>
      <c r="C442" s="8" t="s">
        <v>10860</v>
      </c>
      <c r="D442" s="8" t="s">
        <v>10861</v>
      </c>
      <c r="E442" s="8" t="s">
        <v>239</v>
      </c>
      <c r="F442" s="8" t="s">
        <v>10862</v>
      </c>
    </row>
    <row r="443" customHeight="1" spans="1:6">
      <c r="A443" s="6">
        <v>442</v>
      </c>
      <c r="B443" s="8" t="s">
        <v>10863</v>
      </c>
      <c r="C443" s="8" t="s">
        <v>10864</v>
      </c>
      <c r="D443" s="8" t="s">
        <v>10865</v>
      </c>
      <c r="E443" s="8" t="s">
        <v>239</v>
      </c>
      <c r="F443" s="8" t="s">
        <v>10866</v>
      </c>
    </row>
    <row r="444" customHeight="1" spans="1:6">
      <c r="A444" s="6">
        <v>443</v>
      </c>
      <c r="B444" s="8" t="s">
        <v>10863</v>
      </c>
      <c r="C444" s="8" t="s">
        <v>10864</v>
      </c>
      <c r="D444" s="8" t="s">
        <v>10865</v>
      </c>
      <c r="E444" s="8" t="s">
        <v>239</v>
      </c>
      <c r="F444" s="8" t="s">
        <v>10866</v>
      </c>
    </row>
    <row r="445" customHeight="1" spans="1:6">
      <c r="A445" s="6">
        <v>444</v>
      </c>
      <c r="B445" s="8" t="s">
        <v>10867</v>
      </c>
      <c r="C445" s="8" t="s">
        <v>10868</v>
      </c>
      <c r="D445" s="8" t="s">
        <v>10869</v>
      </c>
      <c r="E445" s="8" t="s">
        <v>10196</v>
      </c>
      <c r="F445" s="8" t="s">
        <v>10870</v>
      </c>
    </row>
    <row r="446" customHeight="1" spans="1:6">
      <c r="A446" s="6">
        <v>445</v>
      </c>
      <c r="B446" s="8" t="s">
        <v>10867</v>
      </c>
      <c r="C446" s="8" t="s">
        <v>10868</v>
      </c>
      <c r="D446" s="8" t="s">
        <v>10869</v>
      </c>
      <c r="E446" s="8" t="s">
        <v>10196</v>
      </c>
      <c r="F446" s="8" t="s">
        <v>10870</v>
      </c>
    </row>
    <row r="447" customHeight="1" spans="1:6">
      <c r="A447" s="6">
        <v>446</v>
      </c>
      <c r="B447" s="8" t="s">
        <v>10871</v>
      </c>
      <c r="C447" s="8" t="s">
        <v>10872</v>
      </c>
      <c r="D447" s="8" t="s">
        <v>10873</v>
      </c>
      <c r="E447" s="8" t="s">
        <v>239</v>
      </c>
      <c r="F447" s="8" t="s">
        <v>10874</v>
      </c>
    </row>
    <row r="448" customHeight="1" spans="1:6">
      <c r="A448" s="6">
        <v>447</v>
      </c>
      <c r="B448" s="8" t="s">
        <v>10871</v>
      </c>
      <c r="C448" s="8" t="s">
        <v>10872</v>
      </c>
      <c r="D448" s="8" t="s">
        <v>10873</v>
      </c>
      <c r="E448" s="8" t="s">
        <v>239</v>
      </c>
      <c r="F448" s="8" t="s">
        <v>10874</v>
      </c>
    </row>
    <row r="449" customHeight="1" spans="1:6">
      <c r="A449" s="6">
        <v>448</v>
      </c>
      <c r="B449" s="8" t="s">
        <v>10875</v>
      </c>
      <c r="C449" s="8" t="s">
        <v>10876</v>
      </c>
      <c r="D449" s="8" t="s">
        <v>10877</v>
      </c>
      <c r="E449" s="8" t="s">
        <v>571</v>
      </c>
      <c r="F449" s="8" t="s">
        <v>10878</v>
      </c>
    </row>
    <row r="450" customHeight="1" spans="1:6">
      <c r="A450" s="6">
        <v>449</v>
      </c>
      <c r="B450" s="8" t="s">
        <v>10875</v>
      </c>
      <c r="C450" s="8" t="s">
        <v>10876</v>
      </c>
      <c r="D450" s="8" t="s">
        <v>10877</v>
      </c>
      <c r="E450" s="8" t="s">
        <v>571</v>
      </c>
      <c r="F450" s="8" t="s">
        <v>10878</v>
      </c>
    </row>
    <row r="451" customHeight="1" spans="1:6">
      <c r="A451" s="6">
        <v>450</v>
      </c>
      <c r="B451" s="8" t="s">
        <v>10879</v>
      </c>
      <c r="C451" s="8" t="s">
        <v>10880</v>
      </c>
      <c r="D451" s="8" t="s">
        <v>10881</v>
      </c>
      <c r="E451" s="8" t="s">
        <v>6087</v>
      </c>
      <c r="F451" s="8" t="s">
        <v>10882</v>
      </c>
    </row>
    <row r="452" customHeight="1" spans="1:6">
      <c r="A452" s="6">
        <v>451</v>
      </c>
      <c r="B452" s="8" t="s">
        <v>10879</v>
      </c>
      <c r="C452" s="8" t="s">
        <v>10880</v>
      </c>
      <c r="D452" s="8" t="s">
        <v>10881</v>
      </c>
      <c r="E452" s="8" t="s">
        <v>6087</v>
      </c>
      <c r="F452" s="8" t="s">
        <v>10882</v>
      </c>
    </row>
    <row r="453" customHeight="1" spans="1:6">
      <c r="A453" s="6">
        <v>452</v>
      </c>
      <c r="B453" s="8" t="s">
        <v>10883</v>
      </c>
      <c r="C453" s="8" t="s">
        <v>10884</v>
      </c>
      <c r="D453" s="8" t="s">
        <v>10885</v>
      </c>
      <c r="E453" s="8" t="s">
        <v>1189</v>
      </c>
      <c r="F453" s="8" t="s">
        <v>10886</v>
      </c>
    </row>
    <row r="454" customHeight="1" spans="1:6">
      <c r="A454" s="6">
        <v>453</v>
      </c>
      <c r="B454" s="8" t="s">
        <v>10883</v>
      </c>
      <c r="C454" s="8" t="s">
        <v>10884</v>
      </c>
      <c r="D454" s="8" t="s">
        <v>10885</v>
      </c>
      <c r="E454" s="8" t="s">
        <v>1189</v>
      </c>
      <c r="F454" s="8" t="s">
        <v>10886</v>
      </c>
    </row>
    <row r="455" customHeight="1" spans="1:6">
      <c r="A455" s="6">
        <v>454</v>
      </c>
      <c r="B455" s="8" t="s">
        <v>10887</v>
      </c>
      <c r="C455" s="8" t="s">
        <v>10888</v>
      </c>
      <c r="D455" s="8" t="s">
        <v>10889</v>
      </c>
      <c r="E455" s="8" t="s">
        <v>10337</v>
      </c>
      <c r="F455" s="8" t="s">
        <v>10890</v>
      </c>
    </row>
    <row r="456" customHeight="1" spans="1:6">
      <c r="A456" s="6">
        <v>455</v>
      </c>
      <c r="B456" s="8" t="s">
        <v>10887</v>
      </c>
      <c r="C456" s="8" t="s">
        <v>10888</v>
      </c>
      <c r="D456" s="8" t="s">
        <v>10889</v>
      </c>
      <c r="E456" s="8" t="s">
        <v>10337</v>
      </c>
      <c r="F456" s="8" t="s">
        <v>10890</v>
      </c>
    </row>
    <row r="457" customHeight="1" spans="1:6">
      <c r="A457" s="6">
        <v>456</v>
      </c>
      <c r="B457" s="8" t="s">
        <v>10891</v>
      </c>
      <c r="C457" s="8" t="s">
        <v>10892</v>
      </c>
      <c r="D457" s="8" t="s">
        <v>10893</v>
      </c>
      <c r="E457" s="8" t="s">
        <v>1189</v>
      </c>
      <c r="F457" s="8" t="s">
        <v>10894</v>
      </c>
    </row>
    <row r="458" customHeight="1" spans="1:6">
      <c r="A458" s="6">
        <v>457</v>
      </c>
      <c r="B458" s="8" t="s">
        <v>10891</v>
      </c>
      <c r="C458" s="8" t="s">
        <v>10892</v>
      </c>
      <c r="D458" s="8" t="s">
        <v>10893</v>
      </c>
      <c r="E458" s="8" t="s">
        <v>1189</v>
      </c>
      <c r="F458" s="8" t="s">
        <v>10894</v>
      </c>
    </row>
    <row r="459" customHeight="1" spans="1:6">
      <c r="A459" s="6">
        <v>458</v>
      </c>
      <c r="B459" s="8" t="s">
        <v>10895</v>
      </c>
      <c r="C459" s="8" t="s">
        <v>10896</v>
      </c>
      <c r="D459" s="8" t="s">
        <v>10897</v>
      </c>
      <c r="E459" s="8" t="s">
        <v>1189</v>
      </c>
      <c r="F459" s="8" t="s">
        <v>10898</v>
      </c>
    </row>
    <row r="460" customHeight="1" spans="1:6">
      <c r="A460" s="6">
        <v>459</v>
      </c>
      <c r="B460" s="8" t="s">
        <v>10895</v>
      </c>
      <c r="C460" s="8" t="s">
        <v>10896</v>
      </c>
      <c r="D460" s="8" t="s">
        <v>10897</v>
      </c>
      <c r="E460" s="8" t="s">
        <v>1189</v>
      </c>
      <c r="F460" s="8" t="s">
        <v>10898</v>
      </c>
    </row>
    <row r="461" customHeight="1" spans="1:6">
      <c r="A461" s="6">
        <v>460</v>
      </c>
      <c r="B461" s="8" t="s">
        <v>10899</v>
      </c>
      <c r="C461" s="8" t="s">
        <v>10900</v>
      </c>
      <c r="D461" s="8" t="s">
        <v>10901</v>
      </c>
      <c r="E461" s="8" t="s">
        <v>571</v>
      </c>
      <c r="F461" s="8" t="s">
        <v>10902</v>
      </c>
    </row>
    <row r="462" customHeight="1" spans="1:6">
      <c r="A462" s="6">
        <v>461</v>
      </c>
      <c r="B462" s="8" t="s">
        <v>10899</v>
      </c>
      <c r="C462" s="8" t="s">
        <v>10900</v>
      </c>
      <c r="D462" s="8" t="s">
        <v>10901</v>
      </c>
      <c r="E462" s="8" t="s">
        <v>571</v>
      </c>
      <c r="F462" s="8" t="s">
        <v>10902</v>
      </c>
    </row>
    <row r="463" customHeight="1" spans="1:6">
      <c r="A463" s="6">
        <v>462</v>
      </c>
      <c r="B463" s="8" t="s">
        <v>10899</v>
      </c>
      <c r="C463" s="8" t="s">
        <v>10900</v>
      </c>
      <c r="D463" s="8" t="s">
        <v>10901</v>
      </c>
      <c r="E463" s="8" t="s">
        <v>571</v>
      </c>
      <c r="F463" s="8" t="s">
        <v>10902</v>
      </c>
    </row>
    <row r="464" customHeight="1" spans="1:6">
      <c r="A464" s="6">
        <v>463</v>
      </c>
      <c r="B464" s="8" t="s">
        <v>10903</v>
      </c>
      <c r="C464" s="8" t="s">
        <v>10904</v>
      </c>
      <c r="D464" s="8" t="s">
        <v>10905</v>
      </c>
      <c r="E464" s="8" t="s">
        <v>28</v>
      </c>
      <c r="F464" s="8" t="s">
        <v>10906</v>
      </c>
    </row>
    <row r="465" customHeight="1" spans="1:6">
      <c r="A465" s="6">
        <v>464</v>
      </c>
      <c r="B465" s="8" t="s">
        <v>10903</v>
      </c>
      <c r="C465" s="8" t="s">
        <v>10904</v>
      </c>
      <c r="D465" s="8" t="s">
        <v>10905</v>
      </c>
      <c r="E465" s="8" t="s">
        <v>28</v>
      </c>
      <c r="F465" s="8" t="s">
        <v>10906</v>
      </c>
    </row>
    <row r="466" customHeight="1" spans="1:6">
      <c r="A466" s="6">
        <v>465</v>
      </c>
      <c r="B466" s="8" t="s">
        <v>10907</v>
      </c>
      <c r="C466" s="8" t="s">
        <v>10908</v>
      </c>
      <c r="D466" s="8" t="s">
        <v>10909</v>
      </c>
      <c r="E466" s="8" t="s">
        <v>571</v>
      </c>
      <c r="F466" s="8" t="s">
        <v>10910</v>
      </c>
    </row>
    <row r="467" customHeight="1" spans="1:6">
      <c r="A467" s="6">
        <v>466</v>
      </c>
      <c r="B467" s="8" t="s">
        <v>10907</v>
      </c>
      <c r="C467" s="8" t="s">
        <v>10908</v>
      </c>
      <c r="D467" s="8" t="s">
        <v>10909</v>
      </c>
      <c r="E467" s="8" t="s">
        <v>571</v>
      </c>
      <c r="F467" s="8" t="s">
        <v>10910</v>
      </c>
    </row>
    <row r="468" customHeight="1" spans="1:6">
      <c r="A468" s="6">
        <v>467</v>
      </c>
      <c r="B468" s="8" t="s">
        <v>10911</v>
      </c>
      <c r="C468" s="8" t="s">
        <v>10912</v>
      </c>
      <c r="D468" s="8" t="s">
        <v>10913</v>
      </c>
      <c r="E468" s="8" t="s">
        <v>1189</v>
      </c>
      <c r="F468" s="8" t="s">
        <v>10914</v>
      </c>
    </row>
    <row r="469" customHeight="1" spans="1:6">
      <c r="A469" s="6">
        <v>468</v>
      </c>
      <c r="B469" s="8" t="s">
        <v>10911</v>
      </c>
      <c r="C469" s="8" t="s">
        <v>10912</v>
      </c>
      <c r="D469" s="8" t="s">
        <v>10913</v>
      </c>
      <c r="E469" s="8" t="s">
        <v>1189</v>
      </c>
      <c r="F469" s="8" t="s">
        <v>10914</v>
      </c>
    </row>
    <row r="470" customHeight="1" spans="1:6">
      <c r="A470" s="6">
        <v>469</v>
      </c>
      <c r="B470" s="8" t="s">
        <v>10915</v>
      </c>
      <c r="C470" s="8" t="s">
        <v>10916</v>
      </c>
      <c r="D470" s="8" t="s">
        <v>10917</v>
      </c>
      <c r="E470" s="8" t="s">
        <v>28</v>
      </c>
      <c r="F470" s="8" t="s">
        <v>10918</v>
      </c>
    </row>
    <row r="471" customHeight="1" spans="1:6">
      <c r="A471" s="6">
        <v>470</v>
      </c>
      <c r="B471" s="8" t="s">
        <v>10915</v>
      </c>
      <c r="C471" s="8" t="s">
        <v>10916</v>
      </c>
      <c r="D471" s="8" t="s">
        <v>10917</v>
      </c>
      <c r="E471" s="8" t="s">
        <v>28</v>
      </c>
      <c r="F471" s="8" t="s">
        <v>10918</v>
      </c>
    </row>
    <row r="472" customHeight="1" spans="1:6">
      <c r="A472" s="6">
        <v>471</v>
      </c>
      <c r="B472" s="8" t="s">
        <v>10919</v>
      </c>
      <c r="C472" s="8" t="s">
        <v>10920</v>
      </c>
      <c r="D472" s="8" t="s">
        <v>10921</v>
      </c>
      <c r="E472" s="8" t="s">
        <v>1189</v>
      </c>
      <c r="F472" s="8" t="s">
        <v>10922</v>
      </c>
    </row>
    <row r="473" customHeight="1" spans="1:6">
      <c r="A473" s="6">
        <v>472</v>
      </c>
      <c r="B473" s="8" t="s">
        <v>10919</v>
      </c>
      <c r="C473" s="8" t="s">
        <v>10920</v>
      </c>
      <c r="D473" s="8" t="s">
        <v>10921</v>
      </c>
      <c r="E473" s="8" t="s">
        <v>1189</v>
      </c>
      <c r="F473" s="8" t="s">
        <v>10922</v>
      </c>
    </row>
    <row r="474" customHeight="1" spans="1:6">
      <c r="A474" s="6">
        <v>473</v>
      </c>
      <c r="B474" s="8" t="s">
        <v>10923</v>
      </c>
      <c r="C474" s="8" t="s">
        <v>10924</v>
      </c>
      <c r="D474" s="8" t="s">
        <v>10925</v>
      </c>
      <c r="E474" s="8" t="s">
        <v>28</v>
      </c>
      <c r="F474" s="8" t="s">
        <v>10926</v>
      </c>
    </row>
    <row r="475" customHeight="1" spans="1:6">
      <c r="A475" s="6">
        <v>474</v>
      </c>
      <c r="B475" s="8" t="s">
        <v>10923</v>
      </c>
      <c r="C475" s="8" t="s">
        <v>10924</v>
      </c>
      <c r="D475" s="8" t="s">
        <v>10925</v>
      </c>
      <c r="E475" s="8" t="s">
        <v>28</v>
      </c>
      <c r="F475" s="8" t="s">
        <v>10926</v>
      </c>
    </row>
    <row r="476" customHeight="1" spans="1:6">
      <c r="A476" s="6">
        <v>475</v>
      </c>
      <c r="B476" s="8" t="s">
        <v>10927</v>
      </c>
      <c r="C476" s="8" t="s">
        <v>10928</v>
      </c>
      <c r="D476" s="8" t="s">
        <v>10929</v>
      </c>
      <c r="E476" s="8" t="s">
        <v>355</v>
      </c>
      <c r="F476" s="8" t="s">
        <v>10930</v>
      </c>
    </row>
    <row r="477" customHeight="1" spans="1:6">
      <c r="A477" s="6">
        <v>476</v>
      </c>
      <c r="B477" s="8" t="s">
        <v>10927</v>
      </c>
      <c r="C477" s="8" t="s">
        <v>10928</v>
      </c>
      <c r="D477" s="8" t="s">
        <v>10929</v>
      </c>
      <c r="E477" s="8" t="s">
        <v>355</v>
      </c>
      <c r="F477" s="8" t="s">
        <v>10930</v>
      </c>
    </row>
    <row r="478" customHeight="1" spans="1:6">
      <c r="A478" s="6">
        <v>477</v>
      </c>
      <c r="B478" s="8" t="s">
        <v>10931</v>
      </c>
      <c r="C478" s="8" t="s">
        <v>10932</v>
      </c>
      <c r="D478" s="8" t="s">
        <v>10933</v>
      </c>
      <c r="E478" s="8" t="s">
        <v>2267</v>
      </c>
      <c r="F478" s="8" t="s">
        <v>10934</v>
      </c>
    </row>
    <row r="479" customHeight="1" spans="1:6">
      <c r="A479" s="6">
        <v>478</v>
      </c>
      <c r="B479" s="8" t="s">
        <v>10931</v>
      </c>
      <c r="C479" s="8" t="s">
        <v>10932</v>
      </c>
      <c r="D479" s="8" t="s">
        <v>10933</v>
      </c>
      <c r="E479" s="8" t="s">
        <v>2267</v>
      </c>
      <c r="F479" s="8" t="s">
        <v>10934</v>
      </c>
    </row>
    <row r="480" customHeight="1" spans="1:6">
      <c r="A480" s="6">
        <v>479</v>
      </c>
      <c r="B480" s="8" t="s">
        <v>10935</v>
      </c>
      <c r="C480" s="8" t="s">
        <v>10936</v>
      </c>
      <c r="D480" s="8" t="s">
        <v>10937</v>
      </c>
      <c r="E480" s="8" t="s">
        <v>571</v>
      </c>
      <c r="F480" s="8" t="s">
        <v>10938</v>
      </c>
    </row>
    <row r="481" customHeight="1" spans="1:6">
      <c r="A481" s="6">
        <v>480</v>
      </c>
      <c r="B481" s="8" t="s">
        <v>10935</v>
      </c>
      <c r="C481" s="8" t="s">
        <v>10936</v>
      </c>
      <c r="D481" s="8" t="s">
        <v>10937</v>
      </c>
      <c r="E481" s="8" t="s">
        <v>571</v>
      </c>
      <c r="F481" s="8" t="s">
        <v>10938</v>
      </c>
    </row>
    <row r="482" customHeight="1" spans="1:6">
      <c r="A482" s="6">
        <v>481</v>
      </c>
      <c r="B482" s="8" t="s">
        <v>10939</v>
      </c>
      <c r="C482" s="8" t="s">
        <v>10940</v>
      </c>
      <c r="D482" s="8" t="s">
        <v>10941</v>
      </c>
      <c r="E482" s="8" t="s">
        <v>28</v>
      </c>
      <c r="F482" s="8" t="s">
        <v>10942</v>
      </c>
    </row>
    <row r="483" customHeight="1" spans="1:6">
      <c r="A483" s="6">
        <v>482</v>
      </c>
      <c r="B483" s="8" t="s">
        <v>10939</v>
      </c>
      <c r="C483" s="8" t="s">
        <v>10940</v>
      </c>
      <c r="D483" s="8" t="s">
        <v>10941</v>
      </c>
      <c r="E483" s="8" t="s">
        <v>28</v>
      </c>
      <c r="F483" s="8" t="s">
        <v>10942</v>
      </c>
    </row>
    <row r="484" customHeight="1" spans="1:6">
      <c r="A484" s="6">
        <v>483</v>
      </c>
      <c r="B484" s="8" t="s">
        <v>10943</v>
      </c>
      <c r="C484" s="8" t="s">
        <v>10944</v>
      </c>
      <c r="D484" s="13"/>
      <c r="E484" s="8" t="s">
        <v>10814</v>
      </c>
      <c r="F484" s="8" t="s">
        <v>10945</v>
      </c>
    </row>
    <row r="485" customHeight="1" spans="1:6">
      <c r="A485" s="6">
        <v>484</v>
      </c>
      <c r="B485" s="8" t="s">
        <v>10943</v>
      </c>
      <c r="C485" s="8" t="s">
        <v>10944</v>
      </c>
      <c r="D485" s="13"/>
      <c r="E485" s="8" t="s">
        <v>10814</v>
      </c>
      <c r="F485" s="8" t="s">
        <v>10945</v>
      </c>
    </row>
    <row r="486" customHeight="1" spans="1:6">
      <c r="A486" s="6">
        <v>485</v>
      </c>
      <c r="B486" s="8" t="s">
        <v>10946</v>
      </c>
      <c r="C486" s="8" t="s">
        <v>10947</v>
      </c>
      <c r="D486" s="8" t="s">
        <v>7249</v>
      </c>
      <c r="E486" s="8" t="s">
        <v>890</v>
      </c>
      <c r="F486" s="8" t="s">
        <v>10948</v>
      </c>
    </row>
    <row r="487" customHeight="1" spans="1:6">
      <c r="A487" s="6">
        <v>486</v>
      </c>
      <c r="B487" s="8" t="s">
        <v>10946</v>
      </c>
      <c r="C487" s="8" t="s">
        <v>10947</v>
      </c>
      <c r="D487" s="8" t="s">
        <v>7249</v>
      </c>
      <c r="E487" s="8" t="s">
        <v>890</v>
      </c>
      <c r="F487" s="8" t="s">
        <v>10948</v>
      </c>
    </row>
    <row r="488" customHeight="1" spans="1:6">
      <c r="A488" s="6">
        <v>487</v>
      </c>
      <c r="B488" s="8" t="s">
        <v>10949</v>
      </c>
      <c r="C488" s="8" t="s">
        <v>10950</v>
      </c>
      <c r="D488" s="8" t="s">
        <v>10951</v>
      </c>
      <c r="E488" s="8" t="s">
        <v>6053</v>
      </c>
      <c r="F488" s="8" t="s">
        <v>10952</v>
      </c>
    </row>
    <row r="489" customHeight="1" spans="1:6">
      <c r="A489" s="6">
        <v>488</v>
      </c>
      <c r="B489" s="8" t="s">
        <v>10949</v>
      </c>
      <c r="C489" s="8" t="s">
        <v>10950</v>
      </c>
      <c r="D489" s="8" t="s">
        <v>10951</v>
      </c>
      <c r="E489" s="8" t="s">
        <v>6053</v>
      </c>
      <c r="F489" s="8" t="s">
        <v>10952</v>
      </c>
    </row>
    <row r="490" customHeight="1" spans="1:6">
      <c r="A490" s="6">
        <v>489</v>
      </c>
      <c r="B490" s="8" t="s">
        <v>10953</v>
      </c>
      <c r="C490" s="8" t="s">
        <v>10954</v>
      </c>
      <c r="D490" s="8" t="s">
        <v>10955</v>
      </c>
      <c r="E490" s="8" t="s">
        <v>10956</v>
      </c>
      <c r="F490" s="8" t="s">
        <v>10957</v>
      </c>
    </row>
    <row r="491" customHeight="1" spans="1:6">
      <c r="A491" s="6">
        <v>490</v>
      </c>
      <c r="B491" s="8" t="s">
        <v>10953</v>
      </c>
      <c r="C491" s="8" t="s">
        <v>10954</v>
      </c>
      <c r="D491" s="8" t="s">
        <v>10955</v>
      </c>
      <c r="E491" s="8" t="s">
        <v>10956</v>
      </c>
      <c r="F491" s="8" t="s">
        <v>10957</v>
      </c>
    </row>
    <row r="492" customHeight="1" spans="1:6">
      <c r="A492" s="6">
        <v>491</v>
      </c>
      <c r="B492" s="7" t="str">
        <f>"978-7-5068-7637-7"</f>
        <v>978-7-5068-7637-7</v>
      </c>
      <c r="C492" s="7" t="str">
        <f>"流行音乐发展与演唱实践研究"</f>
        <v>流行音乐发展与演唱实践研究</v>
      </c>
      <c r="D492" s="7" t="str">
        <f>"马恒辉著"</f>
        <v>马恒辉著</v>
      </c>
      <c r="E492" s="7" t="str">
        <f>"中国书籍出版社"</f>
        <v>中国书籍出版社</v>
      </c>
      <c r="F492" s="7" t="str">
        <f>"J605.2/55"</f>
        <v>J605.2/55</v>
      </c>
    </row>
    <row r="493" customHeight="1" spans="1:6">
      <c r="A493" s="6">
        <v>492</v>
      </c>
      <c r="B493" s="7" t="str">
        <f>"978-7-5068-7637-7"</f>
        <v>978-7-5068-7637-7</v>
      </c>
      <c r="C493" s="7" t="str">
        <f>"流行音乐发展与演唱实践研究"</f>
        <v>流行音乐发展与演唱实践研究</v>
      </c>
      <c r="D493" s="7" t="str">
        <f>"马恒辉著"</f>
        <v>马恒辉著</v>
      </c>
      <c r="E493" s="7" t="str">
        <f>"中国书籍出版社"</f>
        <v>中国书籍出版社</v>
      </c>
      <c r="F493" s="7" t="str">
        <f>"J605.2/55"</f>
        <v>J605.2/55</v>
      </c>
    </row>
    <row r="494" customHeight="1" spans="1:6">
      <c r="A494" s="6">
        <v>493</v>
      </c>
      <c r="B494" s="8" t="s">
        <v>10958</v>
      </c>
      <c r="C494" s="8" t="s">
        <v>10959</v>
      </c>
      <c r="D494" s="8" t="s">
        <v>10960</v>
      </c>
      <c r="E494" s="8" t="s">
        <v>10221</v>
      </c>
      <c r="F494" s="8" t="s">
        <v>10961</v>
      </c>
    </row>
    <row r="495" customHeight="1" spans="1:6">
      <c r="A495" s="6">
        <v>494</v>
      </c>
      <c r="B495" s="8" t="s">
        <v>10958</v>
      </c>
      <c r="C495" s="8" t="s">
        <v>10959</v>
      </c>
      <c r="D495" s="8" t="s">
        <v>10960</v>
      </c>
      <c r="E495" s="8" t="s">
        <v>10221</v>
      </c>
      <c r="F495" s="8" t="s">
        <v>10961</v>
      </c>
    </row>
    <row r="496" customHeight="1" spans="1:6">
      <c r="A496" s="6">
        <v>495</v>
      </c>
      <c r="B496" s="8" t="s">
        <v>10962</v>
      </c>
      <c r="C496" s="8" t="s">
        <v>10963</v>
      </c>
      <c r="D496" s="8" t="s">
        <v>10964</v>
      </c>
      <c r="E496" s="8" t="s">
        <v>10221</v>
      </c>
      <c r="F496" s="8" t="s">
        <v>10965</v>
      </c>
    </row>
    <row r="497" customHeight="1" spans="1:6">
      <c r="A497" s="6">
        <v>496</v>
      </c>
      <c r="B497" s="8" t="s">
        <v>10962</v>
      </c>
      <c r="C497" s="8" t="s">
        <v>10963</v>
      </c>
      <c r="D497" s="8" t="s">
        <v>10964</v>
      </c>
      <c r="E497" s="8" t="s">
        <v>10221</v>
      </c>
      <c r="F497" s="8" t="s">
        <v>10965</v>
      </c>
    </row>
    <row r="498" customHeight="1" spans="1:6">
      <c r="A498" s="6">
        <v>497</v>
      </c>
      <c r="B498" s="8" t="s">
        <v>10966</v>
      </c>
      <c r="C498" s="8" t="s">
        <v>10967</v>
      </c>
      <c r="D498" s="8" t="s">
        <v>10968</v>
      </c>
      <c r="E498" s="8" t="s">
        <v>1189</v>
      </c>
      <c r="F498" s="8" t="s">
        <v>10969</v>
      </c>
    </row>
    <row r="499" customHeight="1" spans="1:6">
      <c r="A499" s="6">
        <v>498</v>
      </c>
      <c r="B499" s="8" t="s">
        <v>10966</v>
      </c>
      <c r="C499" s="8" t="s">
        <v>10967</v>
      </c>
      <c r="D499" s="8" t="s">
        <v>10968</v>
      </c>
      <c r="E499" s="8" t="s">
        <v>1189</v>
      </c>
      <c r="F499" s="8" t="s">
        <v>10969</v>
      </c>
    </row>
    <row r="500" customHeight="1" spans="1:6">
      <c r="A500" s="6">
        <v>499</v>
      </c>
      <c r="B500" s="8" t="s">
        <v>10970</v>
      </c>
      <c r="C500" s="8" t="s">
        <v>10971</v>
      </c>
      <c r="D500" s="8" t="s">
        <v>10972</v>
      </c>
      <c r="E500" s="8" t="s">
        <v>744</v>
      </c>
      <c r="F500" s="8" t="s">
        <v>10973</v>
      </c>
    </row>
    <row r="501" customHeight="1" spans="1:6">
      <c r="A501" s="6">
        <v>500</v>
      </c>
      <c r="B501" s="8" t="s">
        <v>10970</v>
      </c>
      <c r="C501" s="8" t="s">
        <v>10971</v>
      </c>
      <c r="D501" s="8" t="s">
        <v>10972</v>
      </c>
      <c r="E501" s="8" t="s">
        <v>744</v>
      </c>
      <c r="F501" s="8" t="s">
        <v>10973</v>
      </c>
    </row>
    <row r="502" customHeight="1" spans="1:6">
      <c r="A502" s="6">
        <v>501</v>
      </c>
      <c r="B502" s="8" t="s">
        <v>10974</v>
      </c>
      <c r="C502" s="8" t="s">
        <v>10975</v>
      </c>
      <c r="D502" s="8" t="s">
        <v>10976</v>
      </c>
      <c r="E502" s="8" t="s">
        <v>1189</v>
      </c>
      <c r="F502" s="8" t="s">
        <v>10977</v>
      </c>
    </row>
    <row r="503" customHeight="1" spans="1:6">
      <c r="A503" s="6">
        <v>502</v>
      </c>
      <c r="B503" s="8" t="s">
        <v>10974</v>
      </c>
      <c r="C503" s="8" t="s">
        <v>10975</v>
      </c>
      <c r="D503" s="8" t="s">
        <v>10976</v>
      </c>
      <c r="E503" s="8" t="s">
        <v>1189</v>
      </c>
      <c r="F503" s="8" t="s">
        <v>10977</v>
      </c>
    </row>
    <row r="504" customHeight="1" spans="1:6">
      <c r="A504" s="6">
        <v>503</v>
      </c>
      <c r="B504" s="8" t="s">
        <v>10978</v>
      </c>
      <c r="C504" s="8" t="s">
        <v>10979</v>
      </c>
      <c r="D504" s="8" t="s">
        <v>10980</v>
      </c>
      <c r="E504" s="8" t="s">
        <v>665</v>
      </c>
      <c r="F504" s="8" t="s">
        <v>10981</v>
      </c>
    </row>
    <row r="505" customHeight="1" spans="1:6">
      <c r="A505" s="6">
        <v>504</v>
      </c>
      <c r="B505" s="8" t="s">
        <v>10978</v>
      </c>
      <c r="C505" s="8" t="s">
        <v>10979</v>
      </c>
      <c r="D505" s="8" t="s">
        <v>10980</v>
      </c>
      <c r="E505" s="8" t="s">
        <v>665</v>
      </c>
      <c r="F505" s="8" t="s">
        <v>10981</v>
      </c>
    </row>
    <row r="506" customHeight="1" spans="1:6">
      <c r="A506" s="6">
        <v>505</v>
      </c>
      <c r="B506" s="8" t="s">
        <v>10982</v>
      </c>
      <c r="C506" s="8" t="s">
        <v>10983</v>
      </c>
      <c r="D506" s="8" t="s">
        <v>10984</v>
      </c>
      <c r="E506" s="8" t="s">
        <v>10985</v>
      </c>
      <c r="F506" s="8" t="s">
        <v>10986</v>
      </c>
    </row>
    <row r="507" customHeight="1" spans="1:6">
      <c r="A507" s="6">
        <v>506</v>
      </c>
      <c r="B507" s="8" t="s">
        <v>10982</v>
      </c>
      <c r="C507" s="8" t="s">
        <v>10983</v>
      </c>
      <c r="D507" s="8" t="s">
        <v>10984</v>
      </c>
      <c r="E507" s="8" t="s">
        <v>10985</v>
      </c>
      <c r="F507" s="8" t="s">
        <v>10986</v>
      </c>
    </row>
    <row r="508" customHeight="1" spans="1:6">
      <c r="A508" s="6">
        <v>507</v>
      </c>
      <c r="B508" s="8" t="s">
        <v>10987</v>
      </c>
      <c r="C508" s="8" t="s">
        <v>10988</v>
      </c>
      <c r="D508" s="8" t="s">
        <v>10989</v>
      </c>
      <c r="E508" s="8" t="s">
        <v>10221</v>
      </c>
      <c r="F508" s="8" t="s">
        <v>10990</v>
      </c>
    </row>
    <row r="509" customHeight="1" spans="1:6">
      <c r="A509" s="6">
        <v>508</v>
      </c>
      <c r="B509" s="8" t="s">
        <v>10987</v>
      </c>
      <c r="C509" s="8" t="s">
        <v>10988</v>
      </c>
      <c r="D509" s="8" t="s">
        <v>10989</v>
      </c>
      <c r="E509" s="8" t="s">
        <v>10221</v>
      </c>
      <c r="F509" s="8" t="s">
        <v>10990</v>
      </c>
    </row>
    <row r="510" customHeight="1" spans="1:6">
      <c r="A510" s="6">
        <v>509</v>
      </c>
      <c r="B510" s="8" t="s">
        <v>10991</v>
      </c>
      <c r="C510" s="8" t="s">
        <v>10992</v>
      </c>
      <c r="D510" s="8" t="s">
        <v>10993</v>
      </c>
      <c r="E510" s="8" t="s">
        <v>360</v>
      </c>
      <c r="F510" s="8" t="s">
        <v>10994</v>
      </c>
    </row>
    <row r="511" customHeight="1" spans="1:6">
      <c r="A511" s="6">
        <v>510</v>
      </c>
      <c r="B511" s="8" t="s">
        <v>10991</v>
      </c>
      <c r="C511" s="8" t="s">
        <v>10992</v>
      </c>
      <c r="D511" s="8" t="s">
        <v>10993</v>
      </c>
      <c r="E511" s="8" t="s">
        <v>360</v>
      </c>
      <c r="F511" s="8" t="s">
        <v>10994</v>
      </c>
    </row>
    <row r="512" customHeight="1" spans="1:6">
      <c r="A512" s="6">
        <v>511</v>
      </c>
      <c r="B512" s="8" t="s">
        <v>10995</v>
      </c>
      <c r="C512" s="8" t="s">
        <v>10996</v>
      </c>
      <c r="D512" s="8" t="s">
        <v>10997</v>
      </c>
      <c r="E512" s="8" t="s">
        <v>1189</v>
      </c>
      <c r="F512" s="8" t="s">
        <v>10998</v>
      </c>
    </row>
    <row r="513" customHeight="1" spans="1:6">
      <c r="A513" s="6">
        <v>512</v>
      </c>
      <c r="B513" s="8" t="s">
        <v>10995</v>
      </c>
      <c r="C513" s="8" t="s">
        <v>10996</v>
      </c>
      <c r="D513" s="8" t="s">
        <v>10997</v>
      </c>
      <c r="E513" s="8" t="s">
        <v>1189</v>
      </c>
      <c r="F513" s="8" t="s">
        <v>10998</v>
      </c>
    </row>
    <row r="514" customHeight="1" spans="1:6">
      <c r="A514" s="6">
        <v>513</v>
      </c>
      <c r="B514" s="7" t="str">
        <f>"978-7-5221-0768-4"</f>
        <v>978-7-5221-0768-4</v>
      </c>
      <c r="C514" s="7" t="str">
        <f>"高校音乐与舞蹈艺术鉴赏"</f>
        <v>高校音乐与舞蹈艺术鉴赏</v>
      </c>
      <c r="D514" s="7" t="str">
        <f>"李婷， 杜珊珊， 相快转编著"</f>
        <v>李婷， 杜珊珊， 相快转编著</v>
      </c>
      <c r="E514" s="7" t="str">
        <f>"中国原子能出版社"</f>
        <v>中国原子能出版社</v>
      </c>
      <c r="F514" s="7" t="str">
        <f>"J605/86"</f>
        <v>J605/86</v>
      </c>
    </row>
    <row r="515" customHeight="1" spans="1:6">
      <c r="A515" s="6">
        <v>514</v>
      </c>
      <c r="B515" s="7" t="str">
        <f>"978-7-5221-0768-4"</f>
        <v>978-7-5221-0768-4</v>
      </c>
      <c r="C515" s="7" t="str">
        <f>"高校音乐与舞蹈艺术鉴赏"</f>
        <v>高校音乐与舞蹈艺术鉴赏</v>
      </c>
      <c r="D515" s="7" t="str">
        <f>"李婷， 杜珊珊， 相快转编著"</f>
        <v>李婷， 杜珊珊， 相快转编著</v>
      </c>
      <c r="E515" s="7" t="str">
        <f>"中国原子能出版社"</f>
        <v>中国原子能出版社</v>
      </c>
      <c r="F515" s="7" t="str">
        <f>"J605/86"</f>
        <v>J605/86</v>
      </c>
    </row>
    <row r="516" customHeight="1" spans="1:6">
      <c r="A516" s="6">
        <v>515</v>
      </c>
      <c r="B516" s="7" t="str">
        <f>"978-7-103-06073-5"</f>
        <v>978-7-103-06073-5</v>
      </c>
      <c r="C516" s="7" t="str">
        <f>"音乐的美及其鉴赏"</f>
        <v>音乐的美及其鉴赏</v>
      </c>
      <c r="D516" s="7" t="str">
        <f>"王次炤著"</f>
        <v>王次炤著</v>
      </c>
      <c r="E516" s="7" t="str">
        <f>"人民音乐出版社"</f>
        <v>人民音乐出版社</v>
      </c>
      <c r="F516" s="7" t="str">
        <f>"J605/87"</f>
        <v>J605/87</v>
      </c>
    </row>
    <row r="517" customHeight="1" spans="1:6">
      <c r="A517" s="6">
        <v>516</v>
      </c>
      <c r="B517" s="7" t="str">
        <f>"978-7-103-06073-5"</f>
        <v>978-7-103-06073-5</v>
      </c>
      <c r="C517" s="7" t="str">
        <f>"音乐的美及其鉴赏"</f>
        <v>音乐的美及其鉴赏</v>
      </c>
      <c r="D517" s="7" t="str">
        <f>"王次炤著"</f>
        <v>王次炤著</v>
      </c>
      <c r="E517" s="7" t="str">
        <f>"人民音乐出版社"</f>
        <v>人民音乐出版社</v>
      </c>
      <c r="F517" s="7" t="str">
        <f>"J605/87"</f>
        <v>J605/87</v>
      </c>
    </row>
    <row r="518" customHeight="1" spans="1:6">
      <c r="A518" s="6">
        <v>517</v>
      </c>
      <c r="B518" s="8" t="s">
        <v>10999</v>
      </c>
      <c r="C518" s="8" t="s">
        <v>11000</v>
      </c>
      <c r="D518" s="8" t="s">
        <v>11001</v>
      </c>
      <c r="E518" s="8" t="s">
        <v>2267</v>
      </c>
      <c r="F518" s="8" t="s">
        <v>11002</v>
      </c>
    </row>
    <row r="519" customHeight="1" spans="1:6">
      <c r="A519" s="6">
        <v>518</v>
      </c>
      <c r="B519" s="8" t="s">
        <v>10999</v>
      </c>
      <c r="C519" s="8" t="s">
        <v>11000</v>
      </c>
      <c r="D519" s="8" t="s">
        <v>11001</v>
      </c>
      <c r="E519" s="8" t="s">
        <v>2267</v>
      </c>
      <c r="F519" s="8" t="s">
        <v>11002</v>
      </c>
    </row>
    <row r="520" customHeight="1" spans="1:6">
      <c r="A520" s="6">
        <v>519</v>
      </c>
      <c r="B520" s="8" t="s">
        <v>11003</v>
      </c>
      <c r="C520" s="8" t="s">
        <v>11004</v>
      </c>
      <c r="D520" s="8" t="s">
        <v>11005</v>
      </c>
      <c r="E520" s="8" t="s">
        <v>425</v>
      </c>
      <c r="F520" s="8" t="s">
        <v>11006</v>
      </c>
    </row>
    <row r="521" customHeight="1" spans="1:6">
      <c r="A521" s="6">
        <v>520</v>
      </c>
      <c r="B521" s="8" t="s">
        <v>11003</v>
      </c>
      <c r="C521" s="8" t="s">
        <v>11004</v>
      </c>
      <c r="D521" s="8" t="s">
        <v>11005</v>
      </c>
      <c r="E521" s="8" t="s">
        <v>425</v>
      </c>
      <c r="F521" s="8" t="s">
        <v>11006</v>
      </c>
    </row>
    <row r="522" customHeight="1" spans="1:6">
      <c r="A522" s="6">
        <v>521</v>
      </c>
      <c r="B522" s="8" t="s">
        <v>11007</v>
      </c>
      <c r="C522" s="8" t="s">
        <v>11008</v>
      </c>
      <c r="D522" s="8" t="s">
        <v>11009</v>
      </c>
      <c r="E522" s="8" t="s">
        <v>2040</v>
      </c>
      <c r="F522" s="8" t="s">
        <v>11010</v>
      </c>
    </row>
    <row r="523" customHeight="1" spans="1:6">
      <c r="A523" s="6">
        <v>522</v>
      </c>
      <c r="B523" s="8" t="s">
        <v>11007</v>
      </c>
      <c r="C523" s="8" t="s">
        <v>11008</v>
      </c>
      <c r="D523" s="8" t="s">
        <v>11009</v>
      </c>
      <c r="E523" s="8" t="s">
        <v>2040</v>
      </c>
      <c r="F523" s="8" t="s">
        <v>11010</v>
      </c>
    </row>
    <row r="524" customHeight="1" spans="1:6">
      <c r="A524" s="6">
        <v>523</v>
      </c>
      <c r="B524" s="8" t="s">
        <v>11011</v>
      </c>
      <c r="C524" s="8" t="s">
        <v>11012</v>
      </c>
      <c r="D524" s="8" t="s">
        <v>11013</v>
      </c>
      <c r="E524" s="8" t="s">
        <v>2212</v>
      </c>
      <c r="F524" s="8" t="s">
        <v>11014</v>
      </c>
    </row>
    <row r="525" customHeight="1" spans="1:6">
      <c r="A525" s="6">
        <v>524</v>
      </c>
      <c r="B525" s="8" t="s">
        <v>11011</v>
      </c>
      <c r="C525" s="8" t="s">
        <v>11012</v>
      </c>
      <c r="D525" s="8" t="s">
        <v>11013</v>
      </c>
      <c r="E525" s="8" t="s">
        <v>2212</v>
      </c>
      <c r="F525" s="8" t="s">
        <v>11014</v>
      </c>
    </row>
    <row r="526" customHeight="1" spans="1:6">
      <c r="A526" s="6">
        <v>525</v>
      </c>
      <c r="B526" s="7" t="str">
        <f>"978-7-5581-9298-2"</f>
        <v>978-7-5581-9298-2</v>
      </c>
      <c r="C526" s="7" t="str">
        <f>"中国民族音乐鉴赏"</f>
        <v>中国民族音乐鉴赏</v>
      </c>
      <c r="D526" s="7" t="str">
        <f>"冯彬著"</f>
        <v>冯彬著</v>
      </c>
      <c r="E526" s="7" t="str">
        <f>"吉林出版集团股份有限公司"</f>
        <v>吉林出版集团股份有限公司</v>
      </c>
      <c r="F526" s="7" t="str">
        <f>"J607.2/104"</f>
        <v>J607.2/104</v>
      </c>
    </row>
    <row r="527" customHeight="1" spans="1:6">
      <c r="A527" s="6">
        <v>526</v>
      </c>
      <c r="B527" s="7" t="str">
        <f>"978-7-5581-9298-2"</f>
        <v>978-7-5581-9298-2</v>
      </c>
      <c r="C527" s="7" t="str">
        <f>"中国民族音乐鉴赏"</f>
        <v>中国民族音乐鉴赏</v>
      </c>
      <c r="D527" s="7" t="str">
        <f>"冯彬著"</f>
        <v>冯彬著</v>
      </c>
      <c r="E527" s="7" t="str">
        <f>"吉林出版集团股份有限公司"</f>
        <v>吉林出版集团股份有限公司</v>
      </c>
      <c r="F527" s="7" t="str">
        <f>"J607.2/104"</f>
        <v>J607.2/104</v>
      </c>
    </row>
    <row r="528" customHeight="1" spans="1:6">
      <c r="A528" s="6">
        <v>527</v>
      </c>
      <c r="B528" s="8" t="s">
        <v>11015</v>
      </c>
      <c r="C528" s="8" t="s">
        <v>11016</v>
      </c>
      <c r="D528" s="8" t="s">
        <v>10438</v>
      </c>
      <c r="E528" s="8" t="s">
        <v>571</v>
      </c>
      <c r="F528" s="8" t="s">
        <v>11017</v>
      </c>
    </row>
    <row r="529" customHeight="1" spans="1:6">
      <c r="A529" s="6">
        <v>528</v>
      </c>
      <c r="B529" s="8" t="s">
        <v>11015</v>
      </c>
      <c r="C529" s="8" t="s">
        <v>11016</v>
      </c>
      <c r="D529" s="8" t="s">
        <v>10438</v>
      </c>
      <c r="E529" s="8" t="s">
        <v>571</v>
      </c>
      <c r="F529" s="8" t="s">
        <v>11017</v>
      </c>
    </row>
    <row r="530" customHeight="1" spans="1:6">
      <c r="A530" s="6">
        <v>529</v>
      </c>
      <c r="B530" s="8" t="s">
        <v>11018</v>
      </c>
      <c r="C530" s="8" t="s">
        <v>11019</v>
      </c>
      <c r="D530" s="8" t="s">
        <v>11020</v>
      </c>
      <c r="E530" s="8" t="s">
        <v>1957</v>
      </c>
      <c r="F530" s="8" t="s">
        <v>11021</v>
      </c>
    </row>
    <row r="531" customHeight="1" spans="1:6">
      <c r="A531" s="6">
        <v>530</v>
      </c>
      <c r="B531" s="8" t="s">
        <v>11018</v>
      </c>
      <c r="C531" s="8" t="s">
        <v>11019</v>
      </c>
      <c r="D531" s="8" t="s">
        <v>11020</v>
      </c>
      <c r="E531" s="8" t="s">
        <v>1957</v>
      </c>
      <c r="F531" s="8" t="s">
        <v>11021</v>
      </c>
    </row>
    <row r="532" customHeight="1" spans="1:6">
      <c r="A532" s="6">
        <v>531</v>
      </c>
      <c r="B532" s="8" t="s">
        <v>11022</v>
      </c>
      <c r="C532" s="8" t="s">
        <v>11023</v>
      </c>
      <c r="D532" s="8" t="s">
        <v>11024</v>
      </c>
      <c r="E532" s="8" t="s">
        <v>11025</v>
      </c>
      <c r="F532" s="8" t="s">
        <v>11026</v>
      </c>
    </row>
    <row r="533" customHeight="1" spans="1:6">
      <c r="A533" s="6">
        <v>532</v>
      </c>
      <c r="B533" s="8" t="s">
        <v>11022</v>
      </c>
      <c r="C533" s="8" t="s">
        <v>11023</v>
      </c>
      <c r="D533" s="8" t="s">
        <v>11024</v>
      </c>
      <c r="E533" s="8" t="s">
        <v>11025</v>
      </c>
      <c r="F533" s="8" t="s">
        <v>11026</v>
      </c>
    </row>
    <row r="534" customHeight="1" spans="1:6">
      <c r="A534" s="6">
        <v>533</v>
      </c>
      <c r="B534" s="8" t="s">
        <v>11027</v>
      </c>
      <c r="C534" s="8" t="s">
        <v>11028</v>
      </c>
      <c r="D534" s="8" t="s">
        <v>11029</v>
      </c>
      <c r="E534" s="8" t="s">
        <v>571</v>
      </c>
      <c r="F534" s="8" t="s">
        <v>11030</v>
      </c>
    </row>
    <row r="535" customHeight="1" spans="1:6">
      <c r="A535" s="6">
        <v>534</v>
      </c>
      <c r="B535" s="8" t="s">
        <v>11027</v>
      </c>
      <c r="C535" s="8" t="s">
        <v>11028</v>
      </c>
      <c r="D535" s="8" t="s">
        <v>11029</v>
      </c>
      <c r="E535" s="8" t="s">
        <v>571</v>
      </c>
      <c r="F535" s="8" t="s">
        <v>11030</v>
      </c>
    </row>
    <row r="536" customHeight="1" spans="1:6">
      <c r="A536" s="6">
        <v>535</v>
      </c>
      <c r="B536" s="8" t="s">
        <v>11031</v>
      </c>
      <c r="C536" s="8" t="s">
        <v>11032</v>
      </c>
      <c r="D536" s="8" t="s">
        <v>11033</v>
      </c>
      <c r="E536" s="8" t="s">
        <v>665</v>
      </c>
      <c r="F536" s="8" t="s">
        <v>11034</v>
      </c>
    </row>
    <row r="537" customHeight="1" spans="1:6">
      <c r="A537" s="6">
        <v>536</v>
      </c>
      <c r="B537" s="8" t="s">
        <v>11031</v>
      </c>
      <c r="C537" s="8" t="s">
        <v>11032</v>
      </c>
      <c r="D537" s="8" t="s">
        <v>11033</v>
      </c>
      <c r="E537" s="8" t="s">
        <v>665</v>
      </c>
      <c r="F537" s="8" t="s">
        <v>11034</v>
      </c>
    </row>
    <row r="538" customHeight="1" spans="1:6">
      <c r="A538" s="6">
        <v>537</v>
      </c>
      <c r="B538" s="8" t="s">
        <v>11035</v>
      </c>
      <c r="C538" s="8" t="s">
        <v>11036</v>
      </c>
      <c r="D538" s="8" t="s">
        <v>11037</v>
      </c>
      <c r="E538" s="8" t="s">
        <v>571</v>
      </c>
      <c r="F538" s="8" t="s">
        <v>11038</v>
      </c>
    </row>
    <row r="539" customHeight="1" spans="1:6">
      <c r="A539" s="6">
        <v>538</v>
      </c>
      <c r="B539" s="8" t="s">
        <v>11035</v>
      </c>
      <c r="C539" s="8" t="s">
        <v>11036</v>
      </c>
      <c r="D539" s="8" t="s">
        <v>11037</v>
      </c>
      <c r="E539" s="8" t="s">
        <v>571</v>
      </c>
      <c r="F539" s="8" t="s">
        <v>11038</v>
      </c>
    </row>
    <row r="540" customHeight="1" spans="1:6">
      <c r="A540" s="6">
        <v>539</v>
      </c>
      <c r="B540" s="8" t="s">
        <v>11039</v>
      </c>
      <c r="C540" s="8" t="s">
        <v>11040</v>
      </c>
      <c r="D540" s="8" t="s">
        <v>11041</v>
      </c>
      <c r="E540" s="8" t="s">
        <v>1957</v>
      </c>
      <c r="F540" s="8" t="s">
        <v>11042</v>
      </c>
    </row>
    <row r="541" customHeight="1" spans="1:6">
      <c r="A541" s="6">
        <v>540</v>
      </c>
      <c r="B541" s="8" t="s">
        <v>11039</v>
      </c>
      <c r="C541" s="8" t="s">
        <v>11040</v>
      </c>
      <c r="D541" s="8" t="s">
        <v>11041</v>
      </c>
      <c r="E541" s="8" t="s">
        <v>1957</v>
      </c>
      <c r="F541" s="8" t="s">
        <v>11042</v>
      </c>
    </row>
    <row r="542" customHeight="1" spans="1:6">
      <c r="A542" s="6">
        <v>541</v>
      </c>
      <c r="B542" s="8" t="s">
        <v>11043</v>
      </c>
      <c r="C542" s="8" t="s">
        <v>11044</v>
      </c>
      <c r="D542" s="8" t="s">
        <v>11045</v>
      </c>
      <c r="E542" s="8" t="s">
        <v>415</v>
      </c>
      <c r="F542" s="8" t="s">
        <v>11046</v>
      </c>
    </row>
    <row r="543" customHeight="1" spans="1:6">
      <c r="A543" s="6">
        <v>542</v>
      </c>
      <c r="B543" s="8" t="s">
        <v>11043</v>
      </c>
      <c r="C543" s="8" t="s">
        <v>11044</v>
      </c>
      <c r="D543" s="8" t="s">
        <v>11045</v>
      </c>
      <c r="E543" s="8" t="s">
        <v>415</v>
      </c>
      <c r="F543" s="8" t="s">
        <v>11046</v>
      </c>
    </row>
    <row r="544" customHeight="1" spans="1:6">
      <c r="A544" s="6">
        <v>543</v>
      </c>
      <c r="B544" s="8" t="s">
        <v>11047</v>
      </c>
      <c r="C544" s="8" t="s">
        <v>11048</v>
      </c>
      <c r="D544" s="8" t="s">
        <v>11049</v>
      </c>
      <c r="E544" s="8" t="s">
        <v>360</v>
      </c>
      <c r="F544" s="8" t="s">
        <v>11050</v>
      </c>
    </row>
    <row r="545" customHeight="1" spans="1:6">
      <c r="A545" s="6">
        <v>544</v>
      </c>
      <c r="B545" s="8" t="s">
        <v>11047</v>
      </c>
      <c r="C545" s="8" t="s">
        <v>11048</v>
      </c>
      <c r="D545" s="8" t="s">
        <v>11049</v>
      </c>
      <c r="E545" s="8" t="s">
        <v>360</v>
      </c>
      <c r="F545" s="8" t="s">
        <v>11050</v>
      </c>
    </row>
    <row r="546" customHeight="1" spans="1:6">
      <c r="A546" s="6">
        <v>545</v>
      </c>
      <c r="B546" s="7" t="str">
        <f>"978-7-5555-1337-7"</f>
        <v>978-7-5555-1337-7</v>
      </c>
      <c r="C546" s="7" t="str">
        <f>"蒙古族传统音乐的传承与创新"</f>
        <v>蒙古族传统音乐的传承与创新</v>
      </c>
      <c r="D546" s="7" t="str">
        <f>"赵燕著"</f>
        <v>赵燕著</v>
      </c>
      <c r="E546" s="7" t="str">
        <f>"远方出版社"</f>
        <v>远方出版社</v>
      </c>
      <c r="F546" s="7" t="str">
        <f>"J607.212/4"</f>
        <v>J607.212/4</v>
      </c>
    </row>
    <row r="547" customHeight="1" spans="1:6">
      <c r="A547" s="6">
        <v>546</v>
      </c>
      <c r="B547" s="7" t="str">
        <f>"978-7-5555-1337-7"</f>
        <v>978-7-5555-1337-7</v>
      </c>
      <c r="C547" s="7" t="str">
        <f>"蒙古族传统音乐的传承与创新"</f>
        <v>蒙古族传统音乐的传承与创新</v>
      </c>
      <c r="D547" s="7" t="str">
        <f>"赵燕著"</f>
        <v>赵燕著</v>
      </c>
      <c r="E547" s="7" t="str">
        <f>"远方出版社"</f>
        <v>远方出版社</v>
      </c>
      <c r="F547" s="7" t="str">
        <f>"J607.212/4"</f>
        <v>J607.212/4</v>
      </c>
    </row>
    <row r="548" customHeight="1" spans="1:6">
      <c r="A548" s="6">
        <v>547</v>
      </c>
      <c r="B548" s="7" t="str">
        <f>"978-7-5068-7520-2"</f>
        <v>978-7-5068-7520-2</v>
      </c>
      <c r="C548" s="7" t="str">
        <f>"历史语境下的西方音乐风格探究"</f>
        <v>历史语境下的西方音乐风格探究</v>
      </c>
      <c r="D548" s="7" t="str">
        <f>"曹杨著"</f>
        <v>曹杨著</v>
      </c>
      <c r="E548" s="7" t="str">
        <f>"中国书籍出版社"</f>
        <v>中国书籍出版社</v>
      </c>
      <c r="F548" s="7" t="str">
        <f>"J609.1/64"</f>
        <v>J609.1/64</v>
      </c>
    </row>
    <row r="549" customHeight="1" spans="1:6">
      <c r="A549" s="6">
        <v>548</v>
      </c>
      <c r="B549" s="7" t="str">
        <f>"978-7-5068-7520-2"</f>
        <v>978-7-5068-7520-2</v>
      </c>
      <c r="C549" s="7" t="str">
        <f>"历史语境下的西方音乐风格探究"</f>
        <v>历史语境下的西方音乐风格探究</v>
      </c>
      <c r="D549" s="7" t="str">
        <f>"曹杨著"</f>
        <v>曹杨著</v>
      </c>
      <c r="E549" s="7" t="str">
        <f>"中国书籍出版社"</f>
        <v>中国书籍出版社</v>
      </c>
      <c r="F549" s="7" t="str">
        <f>"J609.1/64"</f>
        <v>J609.1/64</v>
      </c>
    </row>
    <row r="550" customHeight="1" spans="1:6">
      <c r="A550" s="6">
        <v>549</v>
      </c>
      <c r="B550" s="8" t="s">
        <v>11051</v>
      </c>
      <c r="C550" s="8" t="s">
        <v>11052</v>
      </c>
      <c r="D550" s="8" t="s">
        <v>11053</v>
      </c>
      <c r="E550" s="8" t="s">
        <v>744</v>
      </c>
      <c r="F550" s="8" t="s">
        <v>11054</v>
      </c>
    </row>
    <row r="551" customHeight="1" spans="1:6">
      <c r="A551" s="6">
        <v>550</v>
      </c>
      <c r="B551" s="8" t="s">
        <v>11051</v>
      </c>
      <c r="C551" s="8" t="s">
        <v>11052</v>
      </c>
      <c r="D551" s="8" t="s">
        <v>11053</v>
      </c>
      <c r="E551" s="8" t="s">
        <v>744</v>
      </c>
      <c r="F551" s="8" t="s">
        <v>11054</v>
      </c>
    </row>
    <row r="552" customHeight="1" spans="1:6">
      <c r="A552" s="6">
        <v>551</v>
      </c>
      <c r="B552" s="8" t="s">
        <v>11051</v>
      </c>
      <c r="C552" s="8" t="s">
        <v>11052</v>
      </c>
      <c r="D552" s="8" t="s">
        <v>11053</v>
      </c>
      <c r="E552" s="8" t="s">
        <v>744</v>
      </c>
      <c r="F552" s="8" t="s">
        <v>11054</v>
      </c>
    </row>
    <row r="553" customHeight="1" spans="1:6">
      <c r="A553" s="6">
        <v>552</v>
      </c>
      <c r="B553" s="8" t="s">
        <v>11055</v>
      </c>
      <c r="C553" s="8" t="s">
        <v>11056</v>
      </c>
      <c r="D553" s="8" t="s">
        <v>11057</v>
      </c>
      <c r="E553" s="8" t="s">
        <v>916</v>
      </c>
      <c r="F553" s="8" t="s">
        <v>11058</v>
      </c>
    </row>
    <row r="554" customHeight="1" spans="1:6">
      <c r="A554" s="6">
        <v>553</v>
      </c>
      <c r="B554" s="8" t="s">
        <v>11055</v>
      </c>
      <c r="C554" s="8" t="s">
        <v>11056</v>
      </c>
      <c r="D554" s="8" t="s">
        <v>11057</v>
      </c>
      <c r="E554" s="8" t="s">
        <v>916</v>
      </c>
      <c r="F554" s="8" t="s">
        <v>11058</v>
      </c>
    </row>
    <row r="555" customHeight="1" spans="1:6">
      <c r="A555" s="6">
        <v>554</v>
      </c>
      <c r="B555" s="8" t="s">
        <v>11059</v>
      </c>
      <c r="C555" s="8" t="s">
        <v>11060</v>
      </c>
      <c r="D555" s="8" t="s">
        <v>11061</v>
      </c>
      <c r="E555" s="8" t="s">
        <v>1818</v>
      </c>
      <c r="F555" s="8" t="s">
        <v>11062</v>
      </c>
    </row>
    <row r="556" customHeight="1" spans="1:6">
      <c r="A556" s="6">
        <v>555</v>
      </c>
      <c r="B556" s="8" t="s">
        <v>11059</v>
      </c>
      <c r="C556" s="8" t="s">
        <v>11060</v>
      </c>
      <c r="D556" s="8" t="s">
        <v>11061</v>
      </c>
      <c r="E556" s="8" t="s">
        <v>1818</v>
      </c>
      <c r="F556" s="8" t="s">
        <v>11062</v>
      </c>
    </row>
    <row r="557" customHeight="1" spans="1:6">
      <c r="A557" s="6">
        <v>556</v>
      </c>
      <c r="B557" s="8" t="s">
        <v>11063</v>
      </c>
      <c r="C557" s="8" t="s">
        <v>11064</v>
      </c>
      <c r="D557" s="8" t="s">
        <v>11065</v>
      </c>
      <c r="E557" s="8" t="s">
        <v>10814</v>
      </c>
      <c r="F557" s="8" t="s">
        <v>11066</v>
      </c>
    </row>
    <row r="558" customHeight="1" spans="1:6">
      <c r="A558" s="6">
        <v>557</v>
      </c>
      <c r="B558" s="8" t="s">
        <v>11063</v>
      </c>
      <c r="C558" s="8" t="s">
        <v>11064</v>
      </c>
      <c r="D558" s="8" t="s">
        <v>11065</v>
      </c>
      <c r="E558" s="8" t="s">
        <v>10814</v>
      </c>
      <c r="F558" s="8" t="s">
        <v>11066</v>
      </c>
    </row>
    <row r="559" customHeight="1" spans="1:6">
      <c r="A559" s="6">
        <v>558</v>
      </c>
      <c r="B559" s="7" t="str">
        <f>"978-7-5596-3486-3"</f>
        <v>978-7-5596-3486-3</v>
      </c>
      <c r="C559" s="7" t="str">
        <f>"西方音乐史十讲"</f>
        <v>西方音乐史十讲</v>
      </c>
      <c r="D559" s="7" t="str">
        <f>"(美) 米罗·沃尔德 ... [等] 著Milo Wold；刘丹霓译"</f>
        <v>(美) 米罗·沃尔德 ... [等] 著Milo Wold；刘丹霓译</v>
      </c>
      <c r="E559" s="7" t="str">
        <f>"北京联合出版公司"</f>
        <v>北京联合出版公司</v>
      </c>
      <c r="F559" s="7" t="str">
        <f>"J609.5/26"</f>
        <v>J609.5/26</v>
      </c>
    </row>
    <row r="560" customHeight="1" spans="1:6">
      <c r="A560" s="6">
        <v>559</v>
      </c>
      <c r="B560" s="7" t="str">
        <f>"978-7-5596-3486-3"</f>
        <v>978-7-5596-3486-3</v>
      </c>
      <c r="C560" s="7" t="str">
        <f>"西方音乐史十讲"</f>
        <v>西方音乐史十讲</v>
      </c>
      <c r="D560" s="7" t="str">
        <f>"(美) 米罗·沃尔德 ... [等] 著Milo Wold；刘丹霓译"</f>
        <v>(美) 米罗·沃尔德 ... [等] 著Milo Wold；刘丹霓译</v>
      </c>
      <c r="E560" s="7" t="str">
        <f>"北京联合出版公司"</f>
        <v>北京联合出版公司</v>
      </c>
      <c r="F560" s="7" t="str">
        <f>"J609.5/26"</f>
        <v>J609.5/26</v>
      </c>
    </row>
    <row r="561" customHeight="1" spans="1:6">
      <c r="A561" s="6">
        <v>560</v>
      </c>
      <c r="B561" s="8" t="s">
        <v>11067</v>
      </c>
      <c r="C561" s="8" t="s">
        <v>11068</v>
      </c>
      <c r="D561" s="8" t="s">
        <v>11069</v>
      </c>
      <c r="E561" s="8" t="s">
        <v>202</v>
      </c>
      <c r="F561" s="8" t="s">
        <v>11070</v>
      </c>
    </row>
    <row r="562" customHeight="1" spans="1:6">
      <c r="A562" s="6">
        <v>561</v>
      </c>
      <c r="B562" s="8" t="s">
        <v>11067</v>
      </c>
      <c r="C562" s="8" t="s">
        <v>11068</v>
      </c>
      <c r="D562" s="8" t="s">
        <v>11069</v>
      </c>
      <c r="E562" s="8" t="s">
        <v>202</v>
      </c>
      <c r="F562" s="8" t="s">
        <v>11070</v>
      </c>
    </row>
    <row r="563" customHeight="1" spans="1:6">
      <c r="A563" s="6">
        <v>562</v>
      </c>
      <c r="B563" s="7" t="str">
        <f>"978-7-5146-2023-8"</f>
        <v>978-7-5146-2023-8</v>
      </c>
      <c r="C563" s="7" t="str">
        <f>"爵士乐编年史"</f>
        <v>爵士乐编年史</v>
      </c>
      <c r="D563" s="7" t="str">
        <f>"(英) 默文·库克著Mervyn Cooke；吕中一译"</f>
        <v>(英) 默文·库克著Mervyn Cooke；吕中一译</v>
      </c>
      <c r="E563" s="7" t="str">
        <f>"中国画报出版社"</f>
        <v>中国画报出版社</v>
      </c>
      <c r="F563" s="7" t="str">
        <f>"J609/11"</f>
        <v>J609/11</v>
      </c>
    </row>
    <row r="564" customHeight="1" spans="1:6">
      <c r="A564" s="6">
        <v>563</v>
      </c>
      <c r="B564" s="7" t="str">
        <f>"978-7-5146-2023-8"</f>
        <v>978-7-5146-2023-8</v>
      </c>
      <c r="C564" s="7" t="str">
        <f>"爵士乐编年史"</f>
        <v>爵士乐编年史</v>
      </c>
      <c r="D564" s="7" t="str">
        <f>"(英) 默文·库克著Mervyn Cooke；吕中一译"</f>
        <v>(英) 默文·库克著Mervyn Cooke；吕中一译</v>
      </c>
      <c r="E564" s="7" t="str">
        <f>"中国画报出版社"</f>
        <v>中国画报出版社</v>
      </c>
      <c r="F564" s="7" t="str">
        <f>"J609/11"</f>
        <v>J609/11</v>
      </c>
    </row>
    <row r="565" customHeight="1" spans="1:6">
      <c r="A565" s="6">
        <v>564</v>
      </c>
      <c r="B565" s="7" t="str">
        <f>"978-7-102-07081-0"</f>
        <v>978-7-102-07081-0</v>
      </c>
      <c r="C565" s="7" t="str">
        <f>"牛津简明艺术术语词典"</f>
        <v>牛津简明艺术术语词典</v>
      </c>
      <c r="D565" s="7" t="str">
        <f>"迈克尔·克拉克， 底波拉·克拉克"</f>
        <v>迈克尔·克拉克， 底波拉·克拉克</v>
      </c>
      <c r="E565" s="7" t="str">
        <f>"人民美术出版社"</f>
        <v>人民美术出版社</v>
      </c>
      <c r="F565" s="7" t="str">
        <f>"J-61/3"</f>
        <v>J-61/3</v>
      </c>
    </row>
    <row r="566" customHeight="1" spans="1:6">
      <c r="A566" s="6">
        <v>565</v>
      </c>
      <c r="B566" s="7" t="str">
        <f>"978-7-102-07081-0"</f>
        <v>978-7-102-07081-0</v>
      </c>
      <c r="C566" s="7" t="str">
        <f>"牛津简明艺术术语词典"</f>
        <v>牛津简明艺术术语词典</v>
      </c>
      <c r="D566" s="7" t="str">
        <f>"迈克尔·克拉克， 底波拉·克拉克"</f>
        <v>迈克尔·克拉克， 底波拉·克拉克</v>
      </c>
      <c r="E566" s="7" t="str">
        <f>"人民美术出版社"</f>
        <v>人民美术出版社</v>
      </c>
      <c r="F566" s="7" t="str">
        <f>"J-61/3"</f>
        <v>J-61/3</v>
      </c>
    </row>
    <row r="567" customHeight="1" spans="1:6">
      <c r="A567" s="6">
        <v>566</v>
      </c>
      <c r="B567" s="8" t="s">
        <v>11071</v>
      </c>
      <c r="C567" s="8" t="s">
        <v>11072</v>
      </c>
      <c r="D567" s="8" t="s">
        <v>11073</v>
      </c>
      <c r="E567" s="8" t="s">
        <v>10158</v>
      </c>
      <c r="F567" s="8" t="s">
        <v>11074</v>
      </c>
    </row>
    <row r="568" customHeight="1" spans="1:6">
      <c r="A568" s="6">
        <v>567</v>
      </c>
      <c r="B568" s="8" t="s">
        <v>11071</v>
      </c>
      <c r="C568" s="8" t="s">
        <v>11072</v>
      </c>
      <c r="D568" s="8" t="s">
        <v>11073</v>
      </c>
      <c r="E568" s="8" t="s">
        <v>10158</v>
      </c>
      <c r="F568" s="8" t="s">
        <v>11074</v>
      </c>
    </row>
    <row r="569" customHeight="1" spans="1:6">
      <c r="A569" s="6">
        <v>568</v>
      </c>
      <c r="B569" s="8" t="s">
        <v>11075</v>
      </c>
      <c r="C569" s="8" t="s">
        <v>11076</v>
      </c>
      <c r="D569" s="8" t="s">
        <v>11077</v>
      </c>
      <c r="E569" s="8" t="s">
        <v>2135</v>
      </c>
      <c r="F569" s="8" t="s">
        <v>11078</v>
      </c>
    </row>
    <row r="570" customHeight="1" spans="1:6">
      <c r="A570" s="6">
        <v>569</v>
      </c>
      <c r="B570" s="8" t="s">
        <v>11075</v>
      </c>
      <c r="C570" s="8" t="s">
        <v>11076</v>
      </c>
      <c r="D570" s="8" t="s">
        <v>11077</v>
      </c>
      <c r="E570" s="8" t="s">
        <v>2135</v>
      </c>
      <c r="F570" s="8" t="s">
        <v>11078</v>
      </c>
    </row>
    <row r="571" customHeight="1" spans="1:6">
      <c r="A571" s="6">
        <v>570</v>
      </c>
      <c r="B571" s="8" t="s">
        <v>11079</v>
      </c>
      <c r="C571" s="8" t="s">
        <v>11080</v>
      </c>
      <c r="D571" s="8" t="s">
        <v>11081</v>
      </c>
      <c r="E571" s="8" t="s">
        <v>11082</v>
      </c>
      <c r="F571" s="8" t="s">
        <v>11083</v>
      </c>
    </row>
    <row r="572" customHeight="1" spans="1:6">
      <c r="A572" s="6">
        <v>571</v>
      </c>
      <c r="B572" s="8" t="s">
        <v>11079</v>
      </c>
      <c r="C572" s="8" t="s">
        <v>11080</v>
      </c>
      <c r="D572" s="8" t="s">
        <v>11081</v>
      </c>
      <c r="E572" s="8" t="s">
        <v>11082</v>
      </c>
      <c r="F572" s="8" t="s">
        <v>11083</v>
      </c>
    </row>
    <row r="573" customHeight="1" spans="1:6">
      <c r="A573" s="6">
        <v>572</v>
      </c>
      <c r="B573" s="8" t="s">
        <v>11084</v>
      </c>
      <c r="C573" s="8" t="s">
        <v>11085</v>
      </c>
      <c r="D573" s="8" t="s">
        <v>11086</v>
      </c>
      <c r="E573" s="8" t="s">
        <v>11087</v>
      </c>
      <c r="F573" s="8" t="s">
        <v>11088</v>
      </c>
    </row>
    <row r="574" customHeight="1" spans="1:6">
      <c r="A574" s="6">
        <v>573</v>
      </c>
      <c r="B574" s="8" t="s">
        <v>11084</v>
      </c>
      <c r="C574" s="8" t="s">
        <v>11085</v>
      </c>
      <c r="D574" s="8" t="s">
        <v>11086</v>
      </c>
      <c r="E574" s="8" t="s">
        <v>11087</v>
      </c>
      <c r="F574" s="8" t="s">
        <v>11088</v>
      </c>
    </row>
    <row r="575" customHeight="1" spans="1:6">
      <c r="A575" s="6">
        <v>574</v>
      </c>
      <c r="B575" s="8" t="s">
        <v>11089</v>
      </c>
      <c r="C575" s="8" t="s">
        <v>11090</v>
      </c>
      <c r="D575" s="8" t="s">
        <v>11091</v>
      </c>
      <c r="E575" s="8" t="s">
        <v>10819</v>
      </c>
      <c r="F575" s="8" t="s">
        <v>11092</v>
      </c>
    </row>
    <row r="576" customHeight="1" spans="1:6">
      <c r="A576" s="6">
        <v>575</v>
      </c>
      <c r="B576" s="8" t="s">
        <v>11089</v>
      </c>
      <c r="C576" s="8" t="s">
        <v>11090</v>
      </c>
      <c r="D576" s="8" t="s">
        <v>11091</v>
      </c>
      <c r="E576" s="8" t="s">
        <v>10819</v>
      </c>
      <c r="F576" s="8" t="s">
        <v>11092</v>
      </c>
    </row>
    <row r="577" customHeight="1" spans="1:6">
      <c r="A577" s="6">
        <v>576</v>
      </c>
      <c r="B577" s="8" t="s">
        <v>11093</v>
      </c>
      <c r="C577" s="8" t="s">
        <v>11094</v>
      </c>
      <c r="D577" s="8" t="s">
        <v>11095</v>
      </c>
      <c r="E577" s="8" t="s">
        <v>4896</v>
      </c>
      <c r="F577" s="8" t="s">
        <v>11096</v>
      </c>
    </row>
    <row r="578" customHeight="1" spans="1:6">
      <c r="A578" s="6">
        <v>577</v>
      </c>
      <c r="B578" s="8" t="s">
        <v>11093</v>
      </c>
      <c r="C578" s="8" t="s">
        <v>11094</v>
      </c>
      <c r="D578" s="8" t="s">
        <v>11095</v>
      </c>
      <c r="E578" s="8" t="s">
        <v>4896</v>
      </c>
      <c r="F578" s="8" t="s">
        <v>11096</v>
      </c>
    </row>
    <row r="579" customHeight="1" spans="1:6">
      <c r="A579" s="6">
        <v>578</v>
      </c>
      <c r="B579" s="8" t="s">
        <v>11097</v>
      </c>
      <c r="C579" s="8" t="s">
        <v>11098</v>
      </c>
      <c r="D579" s="8" t="s">
        <v>11095</v>
      </c>
      <c r="E579" s="8" t="s">
        <v>4896</v>
      </c>
      <c r="F579" s="8" t="s">
        <v>11099</v>
      </c>
    </row>
    <row r="580" customHeight="1" spans="1:6">
      <c r="A580" s="6">
        <v>579</v>
      </c>
      <c r="B580" s="8" t="s">
        <v>11097</v>
      </c>
      <c r="C580" s="8" t="s">
        <v>11098</v>
      </c>
      <c r="D580" s="8" t="s">
        <v>11095</v>
      </c>
      <c r="E580" s="8" t="s">
        <v>4896</v>
      </c>
      <c r="F580" s="8" t="s">
        <v>11099</v>
      </c>
    </row>
    <row r="581" customHeight="1" spans="1:6">
      <c r="A581" s="6">
        <v>580</v>
      </c>
      <c r="B581" s="8" t="s">
        <v>11100</v>
      </c>
      <c r="C581" s="8" t="s">
        <v>11101</v>
      </c>
      <c r="D581" s="8" t="s">
        <v>11102</v>
      </c>
      <c r="E581" s="8" t="s">
        <v>10221</v>
      </c>
      <c r="F581" s="8" t="s">
        <v>11103</v>
      </c>
    </row>
    <row r="582" customHeight="1" spans="1:6">
      <c r="A582" s="6">
        <v>581</v>
      </c>
      <c r="B582" s="8" t="s">
        <v>11100</v>
      </c>
      <c r="C582" s="8" t="s">
        <v>11101</v>
      </c>
      <c r="D582" s="8" t="s">
        <v>11102</v>
      </c>
      <c r="E582" s="8" t="s">
        <v>10221</v>
      </c>
      <c r="F582" s="8" t="s">
        <v>11103</v>
      </c>
    </row>
    <row r="583" customHeight="1" spans="1:6">
      <c r="A583" s="6">
        <v>582</v>
      </c>
      <c r="B583" s="8" t="s">
        <v>11104</v>
      </c>
      <c r="C583" s="8" t="s">
        <v>11105</v>
      </c>
      <c r="D583" s="8" t="s">
        <v>11106</v>
      </c>
      <c r="E583" s="8" t="s">
        <v>701</v>
      </c>
      <c r="F583" s="8" t="s">
        <v>11107</v>
      </c>
    </row>
    <row r="584" customHeight="1" spans="1:6">
      <c r="A584" s="6">
        <v>583</v>
      </c>
      <c r="B584" s="8" t="s">
        <v>11104</v>
      </c>
      <c r="C584" s="8" t="s">
        <v>11105</v>
      </c>
      <c r="D584" s="8" t="s">
        <v>11106</v>
      </c>
      <c r="E584" s="8" t="s">
        <v>701</v>
      </c>
      <c r="F584" s="8" t="s">
        <v>11107</v>
      </c>
    </row>
    <row r="585" customHeight="1" spans="1:6">
      <c r="A585" s="6">
        <v>584</v>
      </c>
      <c r="B585" s="8" t="s">
        <v>11108</v>
      </c>
      <c r="C585" s="8" t="s">
        <v>11109</v>
      </c>
      <c r="D585" s="8" t="s">
        <v>11110</v>
      </c>
      <c r="E585" s="8" t="s">
        <v>7717</v>
      </c>
      <c r="F585" s="8" t="s">
        <v>11111</v>
      </c>
    </row>
    <row r="586" customHeight="1" spans="1:6">
      <c r="A586" s="6">
        <v>585</v>
      </c>
      <c r="B586" s="8" t="s">
        <v>11108</v>
      </c>
      <c r="C586" s="8" t="s">
        <v>11109</v>
      </c>
      <c r="D586" s="8" t="s">
        <v>11110</v>
      </c>
      <c r="E586" s="8" t="s">
        <v>7717</v>
      </c>
      <c r="F586" s="8" t="s">
        <v>11111</v>
      </c>
    </row>
    <row r="587" customHeight="1" spans="1:6">
      <c r="A587" s="6">
        <v>586</v>
      </c>
      <c r="B587" s="8" t="s">
        <v>11112</v>
      </c>
      <c r="C587" s="8" t="s">
        <v>11113</v>
      </c>
      <c r="D587" s="8" t="s">
        <v>7750</v>
      </c>
      <c r="E587" s="8" t="s">
        <v>1818</v>
      </c>
      <c r="F587" s="8" t="s">
        <v>11114</v>
      </c>
    </row>
    <row r="588" customHeight="1" spans="1:6">
      <c r="A588" s="6">
        <v>587</v>
      </c>
      <c r="B588" s="8" t="s">
        <v>11112</v>
      </c>
      <c r="C588" s="8" t="s">
        <v>11113</v>
      </c>
      <c r="D588" s="8" t="s">
        <v>7750</v>
      </c>
      <c r="E588" s="8" t="s">
        <v>1818</v>
      </c>
      <c r="F588" s="8" t="s">
        <v>11114</v>
      </c>
    </row>
    <row r="589" customHeight="1" spans="1:6">
      <c r="A589" s="6">
        <v>588</v>
      </c>
      <c r="B589" s="8" t="s">
        <v>11115</v>
      </c>
      <c r="C589" s="8" t="s">
        <v>11116</v>
      </c>
      <c r="D589" s="8" t="s">
        <v>11117</v>
      </c>
      <c r="E589" s="8" t="s">
        <v>544</v>
      </c>
      <c r="F589" s="8" t="s">
        <v>11118</v>
      </c>
    </row>
    <row r="590" customHeight="1" spans="1:6">
      <c r="A590" s="6">
        <v>589</v>
      </c>
      <c r="B590" s="8" t="s">
        <v>11115</v>
      </c>
      <c r="C590" s="8" t="s">
        <v>11116</v>
      </c>
      <c r="D590" s="8" t="s">
        <v>11117</v>
      </c>
      <c r="E590" s="8" t="s">
        <v>544</v>
      </c>
      <c r="F590" s="8" t="s">
        <v>11118</v>
      </c>
    </row>
    <row r="591" customHeight="1" spans="1:6">
      <c r="A591" s="6">
        <v>590</v>
      </c>
      <c r="B591" s="8" t="s">
        <v>11119</v>
      </c>
      <c r="C591" s="8" t="s">
        <v>11120</v>
      </c>
      <c r="D591" s="8" t="s">
        <v>11121</v>
      </c>
      <c r="E591" s="8" t="s">
        <v>10814</v>
      </c>
      <c r="F591" s="8" t="s">
        <v>11122</v>
      </c>
    </row>
    <row r="592" customHeight="1" spans="1:6">
      <c r="A592" s="6">
        <v>591</v>
      </c>
      <c r="B592" s="8" t="s">
        <v>11119</v>
      </c>
      <c r="C592" s="8" t="s">
        <v>11120</v>
      </c>
      <c r="D592" s="8" t="s">
        <v>11121</v>
      </c>
      <c r="E592" s="8" t="s">
        <v>10814</v>
      </c>
      <c r="F592" s="8" t="s">
        <v>11122</v>
      </c>
    </row>
    <row r="593" customHeight="1" spans="1:6">
      <c r="A593" s="6">
        <v>592</v>
      </c>
      <c r="B593" s="8" t="s">
        <v>11123</v>
      </c>
      <c r="C593" s="8" t="s">
        <v>11124</v>
      </c>
      <c r="D593" s="8" t="s">
        <v>11125</v>
      </c>
      <c r="E593" s="8" t="s">
        <v>216</v>
      </c>
      <c r="F593" s="8" t="s">
        <v>11126</v>
      </c>
    </row>
    <row r="594" customHeight="1" spans="1:6">
      <c r="A594" s="6">
        <v>593</v>
      </c>
      <c r="B594" s="8" t="s">
        <v>11123</v>
      </c>
      <c r="C594" s="8" t="s">
        <v>11124</v>
      </c>
      <c r="D594" s="8" t="s">
        <v>11125</v>
      </c>
      <c r="E594" s="8" t="s">
        <v>216</v>
      </c>
      <c r="F594" s="8" t="s">
        <v>11126</v>
      </c>
    </row>
    <row r="595" customHeight="1" spans="1:6">
      <c r="A595" s="6">
        <v>594</v>
      </c>
      <c r="B595" s="8" t="s">
        <v>11127</v>
      </c>
      <c r="C595" s="8" t="s">
        <v>11128</v>
      </c>
      <c r="D595" s="8" t="s">
        <v>11129</v>
      </c>
      <c r="E595" s="8" t="s">
        <v>10814</v>
      </c>
      <c r="F595" s="8" t="s">
        <v>11130</v>
      </c>
    </row>
    <row r="596" customHeight="1" spans="1:6">
      <c r="A596" s="6">
        <v>595</v>
      </c>
      <c r="B596" s="8" t="s">
        <v>11127</v>
      </c>
      <c r="C596" s="8" t="s">
        <v>11128</v>
      </c>
      <c r="D596" s="8" t="s">
        <v>11129</v>
      </c>
      <c r="E596" s="8" t="s">
        <v>10814</v>
      </c>
      <c r="F596" s="8" t="s">
        <v>11130</v>
      </c>
    </row>
    <row r="597" customHeight="1" spans="1:6">
      <c r="A597" s="6">
        <v>596</v>
      </c>
      <c r="B597" s="8" t="s">
        <v>11131</v>
      </c>
      <c r="C597" s="8" t="s">
        <v>11132</v>
      </c>
      <c r="D597" s="8" t="s">
        <v>11133</v>
      </c>
      <c r="E597" s="8" t="s">
        <v>28</v>
      </c>
      <c r="F597" s="8" t="s">
        <v>11134</v>
      </c>
    </row>
    <row r="598" customHeight="1" spans="1:6">
      <c r="A598" s="6">
        <v>597</v>
      </c>
      <c r="B598" s="8" t="s">
        <v>11131</v>
      </c>
      <c r="C598" s="8" t="s">
        <v>11132</v>
      </c>
      <c r="D598" s="8" t="s">
        <v>11133</v>
      </c>
      <c r="E598" s="8" t="s">
        <v>28</v>
      </c>
      <c r="F598" s="8" t="s">
        <v>11134</v>
      </c>
    </row>
    <row r="599" customHeight="1" spans="1:6">
      <c r="A599" s="6">
        <v>598</v>
      </c>
      <c r="B599" s="8" t="s">
        <v>11135</v>
      </c>
      <c r="C599" s="8" t="s">
        <v>11136</v>
      </c>
      <c r="D599" s="8" t="s">
        <v>11137</v>
      </c>
      <c r="E599" s="8" t="s">
        <v>385</v>
      </c>
      <c r="F599" s="8" t="s">
        <v>11138</v>
      </c>
    </row>
    <row r="600" customHeight="1" spans="1:6">
      <c r="A600" s="6">
        <v>599</v>
      </c>
      <c r="B600" s="8" t="s">
        <v>11135</v>
      </c>
      <c r="C600" s="8" t="s">
        <v>11136</v>
      </c>
      <c r="D600" s="8" t="s">
        <v>11137</v>
      </c>
      <c r="E600" s="8" t="s">
        <v>385</v>
      </c>
      <c r="F600" s="8" t="s">
        <v>11138</v>
      </c>
    </row>
    <row r="601" customHeight="1" spans="1:6">
      <c r="A601" s="6">
        <v>600</v>
      </c>
      <c r="B601" s="8" t="s">
        <v>11139</v>
      </c>
      <c r="C601" s="8" t="s">
        <v>11140</v>
      </c>
      <c r="D601" s="8" t="s">
        <v>9262</v>
      </c>
      <c r="E601" s="8" t="s">
        <v>1818</v>
      </c>
      <c r="F601" s="8" t="s">
        <v>11141</v>
      </c>
    </row>
    <row r="602" customHeight="1" spans="1:6">
      <c r="A602" s="6">
        <v>601</v>
      </c>
      <c r="B602" s="8" t="s">
        <v>11139</v>
      </c>
      <c r="C602" s="8" t="s">
        <v>11140</v>
      </c>
      <c r="D602" s="8" t="s">
        <v>9262</v>
      </c>
      <c r="E602" s="8" t="s">
        <v>1818</v>
      </c>
      <c r="F602" s="8" t="s">
        <v>11141</v>
      </c>
    </row>
    <row r="603" customHeight="1" spans="1:6">
      <c r="A603" s="6">
        <v>602</v>
      </c>
      <c r="B603" s="8" t="s">
        <v>11142</v>
      </c>
      <c r="C603" s="8" t="s">
        <v>11143</v>
      </c>
      <c r="D603" s="8" t="s">
        <v>11144</v>
      </c>
      <c r="E603" s="8" t="s">
        <v>1734</v>
      </c>
      <c r="F603" s="8" t="s">
        <v>11145</v>
      </c>
    </row>
    <row r="604" customHeight="1" spans="1:6">
      <c r="A604" s="6">
        <v>603</v>
      </c>
      <c r="B604" s="8" t="s">
        <v>11142</v>
      </c>
      <c r="C604" s="8" t="s">
        <v>11143</v>
      </c>
      <c r="D604" s="8" t="s">
        <v>11144</v>
      </c>
      <c r="E604" s="8" t="s">
        <v>1734</v>
      </c>
      <c r="F604" s="8" t="s">
        <v>11145</v>
      </c>
    </row>
    <row r="605" customHeight="1" spans="1:6">
      <c r="A605" s="6">
        <v>604</v>
      </c>
      <c r="B605" s="8" t="s">
        <v>11146</v>
      </c>
      <c r="C605" s="8" t="s">
        <v>11147</v>
      </c>
      <c r="D605" s="8" t="s">
        <v>11148</v>
      </c>
      <c r="E605" s="8" t="s">
        <v>5998</v>
      </c>
      <c r="F605" s="8" t="s">
        <v>11149</v>
      </c>
    </row>
    <row r="606" customHeight="1" spans="1:6">
      <c r="A606" s="6">
        <v>605</v>
      </c>
      <c r="B606" s="8" t="s">
        <v>11146</v>
      </c>
      <c r="C606" s="8" t="s">
        <v>11147</v>
      </c>
      <c r="D606" s="8" t="s">
        <v>11148</v>
      </c>
      <c r="E606" s="8" t="s">
        <v>5998</v>
      </c>
      <c r="F606" s="8" t="s">
        <v>11149</v>
      </c>
    </row>
    <row r="607" customHeight="1" spans="1:6">
      <c r="A607" s="6">
        <v>606</v>
      </c>
      <c r="B607" s="8" t="s">
        <v>11150</v>
      </c>
      <c r="C607" s="8" t="s">
        <v>11151</v>
      </c>
      <c r="D607" s="8" t="s">
        <v>11152</v>
      </c>
      <c r="E607" s="8" t="s">
        <v>8325</v>
      </c>
      <c r="F607" s="8" t="s">
        <v>11153</v>
      </c>
    </row>
    <row r="608" customHeight="1" spans="1:6">
      <c r="A608" s="6">
        <v>607</v>
      </c>
      <c r="B608" s="8" t="s">
        <v>11150</v>
      </c>
      <c r="C608" s="8" t="s">
        <v>11151</v>
      </c>
      <c r="D608" s="8" t="s">
        <v>11152</v>
      </c>
      <c r="E608" s="8" t="s">
        <v>8325</v>
      </c>
      <c r="F608" s="8" t="s">
        <v>11153</v>
      </c>
    </row>
    <row r="609" customHeight="1" spans="1:6">
      <c r="A609" s="6">
        <v>608</v>
      </c>
      <c r="B609" s="8" t="s">
        <v>11154</v>
      </c>
      <c r="C609" s="8" t="s">
        <v>11155</v>
      </c>
      <c r="D609" s="8" t="s">
        <v>11156</v>
      </c>
      <c r="E609" s="8" t="s">
        <v>7717</v>
      </c>
      <c r="F609" s="8" t="s">
        <v>11157</v>
      </c>
    </row>
    <row r="610" customHeight="1" spans="1:6">
      <c r="A610" s="6">
        <v>609</v>
      </c>
      <c r="B610" s="8" t="s">
        <v>11154</v>
      </c>
      <c r="C610" s="8" t="s">
        <v>11155</v>
      </c>
      <c r="D610" s="8" t="s">
        <v>11156</v>
      </c>
      <c r="E610" s="8" t="s">
        <v>7717</v>
      </c>
      <c r="F610" s="8" t="s">
        <v>11157</v>
      </c>
    </row>
    <row r="611" customHeight="1" spans="1:6">
      <c r="A611" s="6">
        <v>610</v>
      </c>
      <c r="B611" s="8" t="s">
        <v>11158</v>
      </c>
      <c r="C611" s="8" t="s">
        <v>11159</v>
      </c>
      <c r="D611" s="8" t="s">
        <v>11160</v>
      </c>
      <c r="E611" s="8" t="s">
        <v>10183</v>
      </c>
      <c r="F611" s="8" t="s">
        <v>11161</v>
      </c>
    </row>
    <row r="612" customHeight="1" spans="1:6">
      <c r="A612" s="6">
        <v>611</v>
      </c>
      <c r="B612" s="8" t="s">
        <v>11158</v>
      </c>
      <c r="C612" s="8" t="s">
        <v>11159</v>
      </c>
      <c r="D612" s="8" t="s">
        <v>11160</v>
      </c>
      <c r="E612" s="8" t="s">
        <v>10183</v>
      </c>
      <c r="F612" s="8" t="s">
        <v>11161</v>
      </c>
    </row>
    <row r="613" customHeight="1" spans="1:6">
      <c r="A613" s="6">
        <v>612</v>
      </c>
      <c r="B613" s="7" t="str">
        <f>"978-7-5039-7074-0"</f>
        <v>978-7-5039-7074-0</v>
      </c>
      <c r="C613" s="7" t="str">
        <f>"交响音乐的源流、浪潮与回响"</f>
        <v>交响音乐的源流、浪潮与回响</v>
      </c>
      <c r="D613" s="7" t="str">
        <f>"殷遐著"</f>
        <v>殷遐著</v>
      </c>
      <c r="E613" s="7" t="str">
        <f>"文化艺术出版社"</f>
        <v>文化艺术出版社</v>
      </c>
      <c r="F613" s="7" t="str">
        <f>"J614/16"</f>
        <v>J614/16</v>
      </c>
    </row>
    <row r="614" customHeight="1" spans="1:6">
      <c r="A614" s="6">
        <v>613</v>
      </c>
      <c r="B614" s="7" t="str">
        <f>"978-7-5039-7074-0"</f>
        <v>978-7-5039-7074-0</v>
      </c>
      <c r="C614" s="7" t="str">
        <f>"交响音乐的源流、浪潮与回响"</f>
        <v>交响音乐的源流、浪潮与回响</v>
      </c>
      <c r="D614" s="7" t="str">
        <f>"殷遐著"</f>
        <v>殷遐著</v>
      </c>
      <c r="E614" s="7" t="str">
        <f>"文化艺术出版社"</f>
        <v>文化艺术出版社</v>
      </c>
      <c r="F614" s="7" t="str">
        <f>"J614/16"</f>
        <v>J614/16</v>
      </c>
    </row>
    <row r="615" customHeight="1" spans="1:6">
      <c r="A615" s="6">
        <v>614</v>
      </c>
      <c r="B615" s="8" t="s">
        <v>11162</v>
      </c>
      <c r="C615" s="8" t="s">
        <v>11163</v>
      </c>
      <c r="D615" s="8" t="s">
        <v>11164</v>
      </c>
      <c r="E615" s="8" t="s">
        <v>76</v>
      </c>
      <c r="F615" s="8" t="s">
        <v>11165</v>
      </c>
    </row>
    <row r="616" customHeight="1" spans="1:6">
      <c r="A616" s="6">
        <v>615</v>
      </c>
      <c r="B616" s="8" t="s">
        <v>11162</v>
      </c>
      <c r="C616" s="8" t="s">
        <v>11163</v>
      </c>
      <c r="D616" s="8" t="s">
        <v>11164</v>
      </c>
      <c r="E616" s="8" t="s">
        <v>76</v>
      </c>
      <c r="F616" s="8" t="s">
        <v>11165</v>
      </c>
    </row>
    <row r="617" customHeight="1" spans="1:6">
      <c r="A617" s="6">
        <v>616</v>
      </c>
      <c r="B617" s="8" t="s">
        <v>11166</v>
      </c>
      <c r="C617" s="8" t="s">
        <v>11167</v>
      </c>
      <c r="D617" s="8" t="s">
        <v>11168</v>
      </c>
      <c r="E617" s="8" t="s">
        <v>1818</v>
      </c>
      <c r="F617" s="8" t="s">
        <v>11169</v>
      </c>
    </row>
    <row r="618" customHeight="1" spans="1:6">
      <c r="A618" s="6">
        <v>617</v>
      </c>
      <c r="B618" s="8" t="s">
        <v>11166</v>
      </c>
      <c r="C618" s="8" t="s">
        <v>11167</v>
      </c>
      <c r="D618" s="8" t="s">
        <v>11168</v>
      </c>
      <c r="E618" s="8" t="s">
        <v>1818</v>
      </c>
      <c r="F618" s="8" t="s">
        <v>11169</v>
      </c>
    </row>
    <row r="619" customHeight="1" spans="1:6">
      <c r="A619" s="6">
        <v>618</v>
      </c>
      <c r="B619" s="8" t="s">
        <v>11170</v>
      </c>
      <c r="C619" s="8" t="s">
        <v>11171</v>
      </c>
      <c r="D619" s="8" t="s">
        <v>10917</v>
      </c>
      <c r="E619" s="8" t="s">
        <v>28</v>
      </c>
      <c r="F619" s="8" t="s">
        <v>11172</v>
      </c>
    </row>
    <row r="620" customHeight="1" spans="1:6">
      <c r="A620" s="6">
        <v>619</v>
      </c>
      <c r="B620" s="8" t="s">
        <v>11170</v>
      </c>
      <c r="C620" s="8" t="s">
        <v>11171</v>
      </c>
      <c r="D620" s="8" t="s">
        <v>10917</v>
      </c>
      <c r="E620" s="8" t="s">
        <v>28</v>
      </c>
      <c r="F620" s="8" t="s">
        <v>11172</v>
      </c>
    </row>
    <row r="621" customHeight="1" spans="1:6">
      <c r="A621" s="6">
        <v>620</v>
      </c>
      <c r="B621" s="7" t="str">
        <f>"978-7-5535-1901-2"</f>
        <v>978-7-5535-1901-2</v>
      </c>
      <c r="C621" s="7" t="str">
        <f>"指挥的艺术"</f>
        <v>指挥的艺术</v>
      </c>
      <c r="D621" s="7" t="str">
        <f>"(美) 唐纳德·亨斯伯格， 罗伊·E. 厄恩斯特著Donald Hunsberger， Roy E. Ernst；蔡梦雅译"</f>
        <v>(美) 唐纳德·亨斯伯格， 罗伊·E. 厄恩斯特著Donald Hunsberger， Roy E. Ernst；蔡梦雅译</v>
      </c>
      <c r="E621" s="7" t="str">
        <f>"上海文化出版社"</f>
        <v>上海文化出版社</v>
      </c>
      <c r="F621" s="7" t="str">
        <f>"J615/5"</f>
        <v>J615/5</v>
      </c>
    </row>
    <row r="622" customHeight="1" spans="1:6">
      <c r="A622" s="6">
        <v>621</v>
      </c>
      <c r="B622" s="7" t="str">
        <f>"978-7-5535-1901-2"</f>
        <v>978-7-5535-1901-2</v>
      </c>
      <c r="C622" s="7" t="str">
        <f>"指挥的艺术"</f>
        <v>指挥的艺术</v>
      </c>
      <c r="D622" s="7" t="str">
        <f>"(美) 唐纳德·亨斯伯格， 罗伊·E. 厄恩斯特著Donald Hunsberger， Roy E. Ernst；蔡梦雅译"</f>
        <v>(美) 唐纳德·亨斯伯格， 罗伊·E. 厄恩斯特著Donald Hunsberger， Roy E. Ernst；蔡梦雅译</v>
      </c>
      <c r="E622" s="7" t="str">
        <f>"上海文化出版社"</f>
        <v>上海文化出版社</v>
      </c>
      <c r="F622" s="7" t="str">
        <f>"J615/5"</f>
        <v>J615/5</v>
      </c>
    </row>
    <row r="623" customHeight="1" spans="1:6">
      <c r="A623" s="6">
        <v>622</v>
      </c>
      <c r="B623" s="8" t="s">
        <v>11173</v>
      </c>
      <c r="C623" s="8" t="s">
        <v>11174</v>
      </c>
      <c r="D623" s="8" t="s">
        <v>11175</v>
      </c>
      <c r="E623" s="8" t="s">
        <v>1189</v>
      </c>
      <c r="F623" s="8" t="s">
        <v>11176</v>
      </c>
    </row>
    <row r="624" customHeight="1" spans="1:6">
      <c r="A624" s="6">
        <v>623</v>
      </c>
      <c r="B624" s="8" t="s">
        <v>11173</v>
      </c>
      <c r="C624" s="8" t="s">
        <v>11174</v>
      </c>
      <c r="D624" s="8" t="s">
        <v>11175</v>
      </c>
      <c r="E624" s="8" t="s">
        <v>1189</v>
      </c>
      <c r="F624" s="8" t="s">
        <v>11176</v>
      </c>
    </row>
    <row r="625" customHeight="1" spans="1:6">
      <c r="A625" s="6">
        <v>624</v>
      </c>
      <c r="B625" s="8" t="s">
        <v>11177</v>
      </c>
      <c r="C625" s="8" t="s">
        <v>11178</v>
      </c>
      <c r="D625" s="8" t="s">
        <v>11179</v>
      </c>
      <c r="E625" s="8" t="s">
        <v>1818</v>
      </c>
      <c r="F625" s="8" t="s">
        <v>11180</v>
      </c>
    </row>
    <row r="626" customHeight="1" spans="1:6">
      <c r="A626" s="6">
        <v>625</v>
      </c>
      <c r="B626" s="8" t="s">
        <v>11177</v>
      </c>
      <c r="C626" s="8" t="s">
        <v>11178</v>
      </c>
      <c r="D626" s="8" t="s">
        <v>11179</v>
      </c>
      <c r="E626" s="8" t="s">
        <v>1818</v>
      </c>
      <c r="F626" s="8" t="s">
        <v>11180</v>
      </c>
    </row>
    <row r="627" customHeight="1" spans="1:6">
      <c r="A627" s="6">
        <v>626</v>
      </c>
      <c r="B627" s="7" t="str">
        <f>"978-7-5581-8642-4"</f>
        <v>978-7-5581-8642-4</v>
      </c>
      <c r="C627" s="7" t="str">
        <f>"声乐入门与审美体验"</f>
        <v>声乐入门与审美体验</v>
      </c>
      <c r="D627" s="7" t="str">
        <f>"李宁著"</f>
        <v>李宁著</v>
      </c>
      <c r="E627" s="7" t="str">
        <f>"吉林出版集团股份有限公司"</f>
        <v>吉林出版集团股份有限公司</v>
      </c>
      <c r="F627" s="7" t="str">
        <f>"J616.2/107"</f>
        <v>J616.2/107</v>
      </c>
    </row>
    <row r="628" customHeight="1" spans="1:6">
      <c r="A628" s="6">
        <v>627</v>
      </c>
      <c r="B628" s="7" t="str">
        <f>"978-7-5581-8642-4"</f>
        <v>978-7-5581-8642-4</v>
      </c>
      <c r="C628" s="7" t="str">
        <f>"声乐入门与审美体验"</f>
        <v>声乐入门与审美体验</v>
      </c>
      <c r="D628" s="7" t="str">
        <f>"李宁著"</f>
        <v>李宁著</v>
      </c>
      <c r="E628" s="7" t="str">
        <f>"吉林出版集团股份有限公司"</f>
        <v>吉林出版集团股份有限公司</v>
      </c>
      <c r="F628" s="7" t="str">
        <f>"J616.2/107"</f>
        <v>J616.2/107</v>
      </c>
    </row>
    <row r="629" customHeight="1" spans="1:6">
      <c r="A629" s="6">
        <v>628</v>
      </c>
      <c r="B629" s="8" t="s">
        <v>11181</v>
      </c>
      <c r="C629" s="8" t="s">
        <v>11182</v>
      </c>
      <c r="D629" s="8" t="s">
        <v>11183</v>
      </c>
      <c r="E629" s="8" t="s">
        <v>571</v>
      </c>
      <c r="F629" s="8" t="s">
        <v>11184</v>
      </c>
    </row>
    <row r="630" customHeight="1" spans="1:6">
      <c r="A630" s="6">
        <v>629</v>
      </c>
      <c r="B630" s="8" t="s">
        <v>11181</v>
      </c>
      <c r="C630" s="8" t="s">
        <v>11182</v>
      </c>
      <c r="D630" s="8" t="s">
        <v>11183</v>
      </c>
      <c r="E630" s="8" t="s">
        <v>571</v>
      </c>
      <c r="F630" s="8" t="s">
        <v>11184</v>
      </c>
    </row>
    <row r="631" customHeight="1" spans="1:6">
      <c r="A631" s="6">
        <v>630</v>
      </c>
      <c r="B631" s="8" t="s">
        <v>11185</v>
      </c>
      <c r="C631" s="8" t="s">
        <v>11186</v>
      </c>
      <c r="D631" s="8" t="s">
        <v>11187</v>
      </c>
      <c r="E631" s="8" t="s">
        <v>3180</v>
      </c>
      <c r="F631" s="8" t="s">
        <v>11188</v>
      </c>
    </row>
    <row r="632" customHeight="1" spans="1:6">
      <c r="A632" s="6">
        <v>631</v>
      </c>
      <c r="B632" s="8" t="s">
        <v>11185</v>
      </c>
      <c r="C632" s="8" t="s">
        <v>11186</v>
      </c>
      <c r="D632" s="8" t="s">
        <v>11187</v>
      </c>
      <c r="E632" s="8" t="s">
        <v>3180</v>
      </c>
      <c r="F632" s="8" t="s">
        <v>11188</v>
      </c>
    </row>
    <row r="633" customHeight="1" spans="1:6">
      <c r="A633" s="6">
        <v>632</v>
      </c>
      <c r="B633" s="8" t="s">
        <v>11189</v>
      </c>
      <c r="C633" s="8" t="s">
        <v>11190</v>
      </c>
      <c r="D633" s="8" t="s">
        <v>11191</v>
      </c>
      <c r="E633" s="8" t="s">
        <v>10221</v>
      </c>
      <c r="F633" s="8" t="s">
        <v>11192</v>
      </c>
    </row>
    <row r="634" customHeight="1" spans="1:6">
      <c r="A634" s="6">
        <v>633</v>
      </c>
      <c r="B634" s="8" t="s">
        <v>11189</v>
      </c>
      <c r="C634" s="8" t="s">
        <v>11190</v>
      </c>
      <c r="D634" s="8" t="s">
        <v>11191</v>
      </c>
      <c r="E634" s="8" t="s">
        <v>10221</v>
      </c>
      <c r="F634" s="8" t="s">
        <v>11192</v>
      </c>
    </row>
    <row r="635" customHeight="1" spans="1:6">
      <c r="A635" s="6">
        <v>634</v>
      </c>
      <c r="B635" s="8" t="s">
        <v>11193</v>
      </c>
      <c r="C635" s="8" t="s">
        <v>11194</v>
      </c>
      <c r="D635" s="8" t="s">
        <v>11195</v>
      </c>
      <c r="E635" s="8" t="s">
        <v>890</v>
      </c>
      <c r="F635" s="8" t="s">
        <v>11196</v>
      </c>
    </row>
    <row r="636" customHeight="1" spans="1:6">
      <c r="A636" s="6">
        <v>635</v>
      </c>
      <c r="B636" s="8" t="s">
        <v>11193</v>
      </c>
      <c r="C636" s="8" t="s">
        <v>11194</v>
      </c>
      <c r="D636" s="8" t="s">
        <v>11195</v>
      </c>
      <c r="E636" s="8" t="s">
        <v>890</v>
      </c>
      <c r="F636" s="8" t="s">
        <v>11196</v>
      </c>
    </row>
    <row r="637" customHeight="1" spans="1:6">
      <c r="A637" s="6">
        <v>636</v>
      </c>
      <c r="B637" s="8" t="s">
        <v>11197</v>
      </c>
      <c r="C637" s="8" t="s">
        <v>11198</v>
      </c>
      <c r="D637" s="8" t="s">
        <v>11199</v>
      </c>
      <c r="E637" s="8" t="s">
        <v>899</v>
      </c>
      <c r="F637" s="8" t="s">
        <v>11200</v>
      </c>
    </row>
    <row r="638" customHeight="1" spans="1:6">
      <c r="A638" s="6">
        <v>637</v>
      </c>
      <c r="B638" s="8" t="s">
        <v>11197</v>
      </c>
      <c r="C638" s="8" t="s">
        <v>11198</v>
      </c>
      <c r="D638" s="8" t="s">
        <v>11199</v>
      </c>
      <c r="E638" s="8" t="s">
        <v>899</v>
      </c>
      <c r="F638" s="8" t="s">
        <v>11200</v>
      </c>
    </row>
    <row r="639" customHeight="1" spans="1:6">
      <c r="A639" s="6">
        <v>638</v>
      </c>
      <c r="B639" s="8" t="s">
        <v>11201</v>
      </c>
      <c r="C639" s="8" t="s">
        <v>11202</v>
      </c>
      <c r="D639" s="8" t="s">
        <v>11203</v>
      </c>
      <c r="E639" s="8" t="s">
        <v>1813</v>
      </c>
      <c r="F639" s="8" t="s">
        <v>11204</v>
      </c>
    </row>
    <row r="640" customHeight="1" spans="1:6">
      <c r="A640" s="6">
        <v>639</v>
      </c>
      <c r="B640" s="8" t="s">
        <v>11201</v>
      </c>
      <c r="C640" s="8" t="s">
        <v>11202</v>
      </c>
      <c r="D640" s="8" t="s">
        <v>11203</v>
      </c>
      <c r="E640" s="8" t="s">
        <v>1813</v>
      </c>
      <c r="F640" s="8" t="s">
        <v>11204</v>
      </c>
    </row>
    <row r="641" customHeight="1" spans="1:6">
      <c r="A641" s="6">
        <v>640</v>
      </c>
      <c r="B641" s="8" t="s">
        <v>11205</v>
      </c>
      <c r="C641" s="8" t="s">
        <v>11206</v>
      </c>
      <c r="D641" s="8" t="s">
        <v>11207</v>
      </c>
      <c r="E641" s="8" t="s">
        <v>2267</v>
      </c>
      <c r="F641" s="8" t="s">
        <v>11208</v>
      </c>
    </row>
    <row r="642" customHeight="1" spans="1:6">
      <c r="A642" s="6">
        <v>641</v>
      </c>
      <c r="B642" s="8" t="s">
        <v>11205</v>
      </c>
      <c r="C642" s="8" t="s">
        <v>11206</v>
      </c>
      <c r="D642" s="8" t="s">
        <v>11207</v>
      </c>
      <c r="E642" s="8" t="s">
        <v>2267</v>
      </c>
      <c r="F642" s="8" t="s">
        <v>11208</v>
      </c>
    </row>
    <row r="643" customHeight="1" spans="1:6">
      <c r="A643" s="6">
        <v>642</v>
      </c>
      <c r="B643" s="8" t="s">
        <v>11209</v>
      </c>
      <c r="C643" s="8" t="s">
        <v>11210</v>
      </c>
      <c r="D643" s="8" t="s">
        <v>11211</v>
      </c>
      <c r="E643" s="8" t="s">
        <v>1189</v>
      </c>
      <c r="F643" s="8" t="s">
        <v>11212</v>
      </c>
    </row>
    <row r="644" customHeight="1" spans="1:6">
      <c r="A644" s="6">
        <v>643</v>
      </c>
      <c r="B644" s="8" t="s">
        <v>11209</v>
      </c>
      <c r="C644" s="8" t="s">
        <v>11210</v>
      </c>
      <c r="D644" s="8" t="s">
        <v>11211</v>
      </c>
      <c r="E644" s="8" t="s">
        <v>1189</v>
      </c>
      <c r="F644" s="8" t="s">
        <v>11212</v>
      </c>
    </row>
    <row r="645" customHeight="1" spans="1:6">
      <c r="A645" s="6">
        <v>644</v>
      </c>
      <c r="B645" s="8" t="s">
        <v>11213</v>
      </c>
      <c r="C645" s="8" t="s">
        <v>11214</v>
      </c>
      <c r="D645" s="8" t="s">
        <v>11215</v>
      </c>
      <c r="E645" s="8" t="s">
        <v>10196</v>
      </c>
      <c r="F645" s="8" t="s">
        <v>11216</v>
      </c>
    </row>
    <row r="646" customHeight="1" spans="1:6">
      <c r="A646" s="6">
        <v>645</v>
      </c>
      <c r="B646" s="8" t="s">
        <v>11213</v>
      </c>
      <c r="C646" s="8" t="s">
        <v>11214</v>
      </c>
      <c r="D646" s="8" t="s">
        <v>11215</v>
      </c>
      <c r="E646" s="8" t="s">
        <v>10196</v>
      </c>
      <c r="F646" s="8" t="s">
        <v>11216</v>
      </c>
    </row>
    <row r="647" customHeight="1" spans="1:6">
      <c r="A647" s="6">
        <v>646</v>
      </c>
      <c r="B647" s="8" t="s">
        <v>11217</v>
      </c>
      <c r="C647" s="8" t="s">
        <v>11218</v>
      </c>
      <c r="D647" s="8" t="s">
        <v>11219</v>
      </c>
      <c r="E647" s="8" t="s">
        <v>415</v>
      </c>
      <c r="F647" s="8" t="s">
        <v>11220</v>
      </c>
    </row>
    <row r="648" customHeight="1" spans="1:6">
      <c r="A648" s="6">
        <v>647</v>
      </c>
      <c r="B648" s="8" t="s">
        <v>11217</v>
      </c>
      <c r="C648" s="8" t="s">
        <v>11218</v>
      </c>
      <c r="D648" s="8" t="s">
        <v>11219</v>
      </c>
      <c r="E648" s="8" t="s">
        <v>415</v>
      </c>
      <c r="F648" s="8" t="s">
        <v>11220</v>
      </c>
    </row>
    <row r="649" customHeight="1" spans="1:6">
      <c r="A649" s="6">
        <v>648</v>
      </c>
      <c r="B649" s="8" t="s">
        <v>11221</v>
      </c>
      <c r="C649" s="8" t="s">
        <v>11222</v>
      </c>
      <c r="D649" s="8" t="s">
        <v>11223</v>
      </c>
      <c r="E649" s="8" t="s">
        <v>28</v>
      </c>
      <c r="F649" s="8" t="s">
        <v>11224</v>
      </c>
    </row>
    <row r="650" customHeight="1" spans="1:6">
      <c r="A650" s="6">
        <v>649</v>
      </c>
      <c r="B650" s="8" t="s">
        <v>11221</v>
      </c>
      <c r="C650" s="8" t="s">
        <v>11222</v>
      </c>
      <c r="D650" s="8" t="s">
        <v>11223</v>
      </c>
      <c r="E650" s="8" t="s">
        <v>28</v>
      </c>
      <c r="F650" s="8" t="s">
        <v>11224</v>
      </c>
    </row>
    <row r="651" customHeight="1" spans="1:6">
      <c r="A651" s="6">
        <v>650</v>
      </c>
      <c r="B651" s="8" t="s">
        <v>11225</v>
      </c>
      <c r="C651" s="8" t="s">
        <v>11226</v>
      </c>
      <c r="D651" s="8" t="s">
        <v>11227</v>
      </c>
      <c r="E651" s="8" t="s">
        <v>1189</v>
      </c>
      <c r="F651" s="8" t="s">
        <v>11228</v>
      </c>
    </row>
    <row r="652" customHeight="1" spans="1:6">
      <c r="A652" s="6">
        <v>651</v>
      </c>
      <c r="B652" s="8" t="s">
        <v>11225</v>
      </c>
      <c r="C652" s="8" t="s">
        <v>11226</v>
      </c>
      <c r="D652" s="8" t="s">
        <v>11227</v>
      </c>
      <c r="E652" s="8" t="s">
        <v>1189</v>
      </c>
      <c r="F652" s="8" t="s">
        <v>11228</v>
      </c>
    </row>
    <row r="653" customHeight="1" spans="1:6">
      <c r="A653" s="6">
        <v>652</v>
      </c>
      <c r="B653" s="8" t="s">
        <v>11229</v>
      </c>
      <c r="C653" s="8" t="s">
        <v>11230</v>
      </c>
      <c r="D653" s="8" t="s">
        <v>11231</v>
      </c>
      <c r="E653" s="8" t="s">
        <v>571</v>
      </c>
      <c r="F653" s="8" t="s">
        <v>11232</v>
      </c>
    </row>
    <row r="654" customHeight="1" spans="1:6">
      <c r="A654" s="6">
        <v>653</v>
      </c>
      <c r="B654" s="8" t="s">
        <v>11229</v>
      </c>
      <c r="C654" s="8" t="s">
        <v>11230</v>
      </c>
      <c r="D654" s="8" t="s">
        <v>11231</v>
      </c>
      <c r="E654" s="8" t="s">
        <v>571</v>
      </c>
      <c r="F654" s="8" t="s">
        <v>11232</v>
      </c>
    </row>
    <row r="655" customHeight="1" spans="1:6">
      <c r="A655" s="6">
        <v>654</v>
      </c>
      <c r="B655" s="8" t="s">
        <v>11233</v>
      </c>
      <c r="C655" s="8" t="s">
        <v>11234</v>
      </c>
      <c r="D655" s="8" t="s">
        <v>11235</v>
      </c>
      <c r="E655" s="8" t="s">
        <v>1818</v>
      </c>
      <c r="F655" s="8" t="s">
        <v>11236</v>
      </c>
    </row>
    <row r="656" customHeight="1" spans="1:6">
      <c r="A656" s="6">
        <v>655</v>
      </c>
      <c r="B656" s="8" t="s">
        <v>11233</v>
      </c>
      <c r="C656" s="8" t="s">
        <v>11234</v>
      </c>
      <c r="D656" s="8" t="s">
        <v>11235</v>
      </c>
      <c r="E656" s="8" t="s">
        <v>1818</v>
      </c>
      <c r="F656" s="8" t="s">
        <v>11236</v>
      </c>
    </row>
    <row r="657" customHeight="1" spans="1:6">
      <c r="A657" s="6">
        <v>656</v>
      </c>
      <c r="B657" s="8" t="s">
        <v>11237</v>
      </c>
      <c r="C657" s="8" t="s">
        <v>11238</v>
      </c>
      <c r="D657" s="8" t="s">
        <v>11239</v>
      </c>
      <c r="E657" s="8" t="s">
        <v>571</v>
      </c>
      <c r="F657" s="8" t="s">
        <v>11240</v>
      </c>
    </row>
    <row r="658" customHeight="1" spans="1:6">
      <c r="A658" s="6">
        <v>657</v>
      </c>
      <c r="B658" s="8" t="s">
        <v>11237</v>
      </c>
      <c r="C658" s="8" t="s">
        <v>11238</v>
      </c>
      <c r="D658" s="8" t="s">
        <v>11239</v>
      </c>
      <c r="E658" s="8" t="s">
        <v>571</v>
      </c>
      <c r="F658" s="8" t="s">
        <v>11240</v>
      </c>
    </row>
    <row r="659" customHeight="1" spans="1:6">
      <c r="A659" s="6">
        <v>658</v>
      </c>
      <c r="B659" s="8" t="s">
        <v>11241</v>
      </c>
      <c r="C659" s="8" t="s">
        <v>11242</v>
      </c>
      <c r="D659" s="8" t="s">
        <v>11243</v>
      </c>
      <c r="E659" s="8" t="s">
        <v>1189</v>
      </c>
      <c r="F659" s="8" t="s">
        <v>11244</v>
      </c>
    </row>
    <row r="660" customHeight="1" spans="1:6">
      <c r="A660" s="6">
        <v>659</v>
      </c>
      <c r="B660" s="8" t="s">
        <v>11241</v>
      </c>
      <c r="C660" s="8" t="s">
        <v>11242</v>
      </c>
      <c r="D660" s="8" t="s">
        <v>11243</v>
      </c>
      <c r="E660" s="8" t="s">
        <v>1189</v>
      </c>
      <c r="F660" s="8" t="s">
        <v>11244</v>
      </c>
    </row>
    <row r="661" customHeight="1" spans="1:6">
      <c r="A661" s="6">
        <v>660</v>
      </c>
      <c r="B661" s="8" t="s">
        <v>11245</v>
      </c>
      <c r="C661" s="8" t="s">
        <v>11246</v>
      </c>
      <c r="D661" s="8" t="s">
        <v>11247</v>
      </c>
      <c r="E661" s="8" t="s">
        <v>10196</v>
      </c>
      <c r="F661" s="8" t="s">
        <v>11248</v>
      </c>
    </row>
    <row r="662" customHeight="1" spans="1:6">
      <c r="A662" s="6">
        <v>661</v>
      </c>
      <c r="B662" s="8" t="s">
        <v>11245</v>
      </c>
      <c r="C662" s="8" t="s">
        <v>11246</v>
      </c>
      <c r="D662" s="8" t="s">
        <v>11247</v>
      </c>
      <c r="E662" s="8" t="s">
        <v>10196</v>
      </c>
      <c r="F662" s="8" t="s">
        <v>11248</v>
      </c>
    </row>
    <row r="663" customHeight="1" spans="1:6">
      <c r="A663" s="6">
        <v>662</v>
      </c>
      <c r="B663" s="8" t="s">
        <v>11249</v>
      </c>
      <c r="C663" s="8" t="s">
        <v>11250</v>
      </c>
      <c r="D663" s="8" t="s">
        <v>11251</v>
      </c>
      <c r="E663" s="8" t="s">
        <v>1189</v>
      </c>
      <c r="F663" s="8" t="s">
        <v>11252</v>
      </c>
    </row>
    <row r="664" customHeight="1" spans="1:6">
      <c r="A664" s="6">
        <v>663</v>
      </c>
      <c r="B664" s="8" t="s">
        <v>11249</v>
      </c>
      <c r="C664" s="8" t="s">
        <v>11250</v>
      </c>
      <c r="D664" s="8" t="s">
        <v>11251</v>
      </c>
      <c r="E664" s="8" t="s">
        <v>1189</v>
      </c>
      <c r="F664" s="8" t="s">
        <v>11252</v>
      </c>
    </row>
    <row r="665" customHeight="1" spans="1:6">
      <c r="A665" s="6">
        <v>664</v>
      </c>
      <c r="B665" s="8" t="s">
        <v>11253</v>
      </c>
      <c r="C665" s="8" t="s">
        <v>11254</v>
      </c>
      <c r="D665" s="8" t="s">
        <v>11255</v>
      </c>
      <c r="E665" s="8" t="s">
        <v>10196</v>
      </c>
      <c r="F665" s="8" t="s">
        <v>11256</v>
      </c>
    </row>
    <row r="666" customHeight="1" spans="1:6">
      <c r="A666" s="6">
        <v>665</v>
      </c>
      <c r="B666" s="8" t="s">
        <v>11253</v>
      </c>
      <c r="C666" s="8" t="s">
        <v>11254</v>
      </c>
      <c r="D666" s="8" t="s">
        <v>11255</v>
      </c>
      <c r="E666" s="8" t="s">
        <v>10196</v>
      </c>
      <c r="F666" s="8" t="s">
        <v>11256</v>
      </c>
    </row>
    <row r="667" customHeight="1" spans="1:6">
      <c r="A667" s="6">
        <v>666</v>
      </c>
      <c r="B667" s="8" t="s">
        <v>11257</v>
      </c>
      <c r="C667" s="8" t="s">
        <v>11258</v>
      </c>
      <c r="D667" s="8" t="s">
        <v>11259</v>
      </c>
      <c r="E667" s="8" t="s">
        <v>571</v>
      </c>
      <c r="F667" s="8" t="s">
        <v>11260</v>
      </c>
    </row>
    <row r="668" customHeight="1" spans="1:6">
      <c r="A668" s="6">
        <v>667</v>
      </c>
      <c r="B668" s="8" t="s">
        <v>11257</v>
      </c>
      <c r="C668" s="8" t="s">
        <v>11258</v>
      </c>
      <c r="D668" s="8" t="s">
        <v>11259</v>
      </c>
      <c r="E668" s="8" t="s">
        <v>571</v>
      </c>
      <c r="F668" s="8" t="s">
        <v>11260</v>
      </c>
    </row>
    <row r="669" customHeight="1" spans="1:6">
      <c r="A669" s="6">
        <v>668</v>
      </c>
      <c r="B669" s="8" t="s">
        <v>11261</v>
      </c>
      <c r="C669" s="8" t="s">
        <v>11262</v>
      </c>
      <c r="D669" s="8" t="s">
        <v>11263</v>
      </c>
      <c r="E669" s="8" t="s">
        <v>1189</v>
      </c>
      <c r="F669" s="8" t="s">
        <v>11264</v>
      </c>
    </row>
    <row r="670" customHeight="1" spans="1:6">
      <c r="A670" s="6">
        <v>669</v>
      </c>
      <c r="B670" s="8" t="s">
        <v>11261</v>
      </c>
      <c r="C670" s="8" t="s">
        <v>11262</v>
      </c>
      <c r="D670" s="8" t="s">
        <v>11263</v>
      </c>
      <c r="E670" s="8" t="s">
        <v>1189</v>
      </c>
      <c r="F670" s="8" t="s">
        <v>11264</v>
      </c>
    </row>
    <row r="671" customHeight="1" spans="1:6">
      <c r="A671" s="6">
        <v>670</v>
      </c>
      <c r="B671" s="8" t="s">
        <v>11265</v>
      </c>
      <c r="C671" s="8" t="s">
        <v>11266</v>
      </c>
      <c r="D671" s="8" t="s">
        <v>11267</v>
      </c>
      <c r="E671" s="8" t="s">
        <v>11087</v>
      </c>
      <c r="F671" s="8" t="s">
        <v>11268</v>
      </c>
    </row>
    <row r="672" customHeight="1" spans="1:6">
      <c r="A672" s="6">
        <v>671</v>
      </c>
      <c r="B672" s="8" t="s">
        <v>11265</v>
      </c>
      <c r="C672" s="8" t="s">
        <v>11266</v>
      </c>
      <c r="D672" s="8" t="s">
        <v>11267</v>
      </c>
      <c r="E672" s="8" t="s">
        <v>11087</v>
      </c>
      <c r="F672" s="8" t="s">
        <v>11268</v>
      </c>
    </row>
    <row r="673" customHeight="1" spans="1:6">
      <c r="A673" s="6">
        <v>672</v>
      </c>
      <c r="B673" s="8" t="s">
        <v>11265</v>
      </c>
      <c r="C673" s="8" t="s">
        <v>11269</v>
      </c>
      <c r="D673" s="8" t="s">
        <v>11267</v>
      </c>
      <c r="E673" s="8" t="s">
        <v>11087</v>
      </c>
      <c r="F673" s="8" t="s">
        <v>11270</v>
      </c>
    </row>
    <row r="674" customHeight="1" spans="1:6">
      <c r="A674" s="6">
        <v>673</v>
      </c>
      <c r="B674" s="8" t="s">
        <v>11265</v>
      </c>
      <c r="C674" s="8" t="s">
        <v>11269</v>
      </c>
      <c r="D674" s="8" t="s">
        <v>11267</v>
      </c>
      <c r="E674" s="8" t="s">
        <v>11087</v>
      </c>
      <c r="F674" s="8" t="s">
        <v>11270</v>
      </c>
    </row>
    <row r="675" customHeight="1" spans="1:6">
      <c r="A675" s="6">
        <v>674</v>
      </c>
      <c r="B675" s="8" t="s">
        <v>11271</v>
      </c>
      <c r="C675" s="8" t="s">
        <v>11272</v>
      </c>
      <c r="D675" s="8" t="s">
        <v>11273</v>
      </c>
      <c r="E675" s="8" t="s">
        <v>530</v>
      </c>
      <c r="F675" s="8" t="s">
        <v>11274</v>
      </c>
    </row>
    <row r="676" customHeight="1" spans="1:6">
      <c r="A676" s="6">
        <v>675</v>
      </c>
      <c r="B676" s="8" t="s">
        <v>11271</v>
      </c>
      <c r="C676" s="8" t="s">
        <v>11272</v>
      </c>
      <c r="D676" s="8" t="s">
        <v>11273</v>
      </c>
      <c r="E676" s="8" t="s">
        <v>530</v>
      </c>
      <c r="F676" s="8" t="s">
        <v>11274</v>
      </c>
    </row>
    <row r="677" customHeight="1" spans="1:6">
      <c r="A677" s="6">
        <v>676</v>
      </c>
      <c r="B677" s="7" t="str">
        <f>"978-7-5581-8929-6"</f>
        <v>978-7-5581-8929-6</v>
      </c>
      <c r="C677" s="7" t="str">
        <f>"声乐艺术赏析"</f>
        <v>声乐艺术赏析</v>
      </c>
      <c r="D677" s="7" t="str">
        <f>"曹意著"</f>
        <v>曹意著</v>
      </c>
      <c r="E677" s="7" t="str">
        <f>"吉林出版集团股份有限公司"</f>
        <v>吉林出版集团股份有限公司</v>
      </c>
      <c r="F677" s="7" t="str">
        <f>"J616/81"</f>
        <v>J616/81</v>
      </c>
    </row>
    <row r="678" customHeight="1" spans="1:6">
      <c r="A678" s="6">
        <v>677</v>
      </c>
      <c r="B678" s="7" t="str">
        <f>"978-7-5581-8929-6"</f>
        <v>978-7-5581-8929-6</v>
      </c>
      <c r="C678" s="7" t="str">
        <f>"声乐艺术赏析"</f>
        <v>声乐艺术赏析</v>
      </c>
      <c r="D678" s="7" t="str">
        <f>"曹意著"</f>
        <v>曹意著</v>
      </c>
      <c r="E678" s="7" t="str">
        <f>"吉林出版集团股份有限公司"</f>
        <v>吉林出版集团股份有限公司</v>
      </c>
      <c r="F678" s="7" t="str">
        <f>"J616/81"</f>
        <v>J616/81</v>
      </c>
    </row>
    <row r="679" customHeight="1" spans="1:6">
      <c r="A679" s="6">
        <v>678</v>
      </c>
      <c r="B679" s="8" t="s">
        <v>11275</v>
      </c>
      <c r="C679" s="8" t="s">
        <v>11276</v>
      </c>
      <c r="D679" s="8" t="s">
        <v>11277</v>
      </c>
      <c r="E679" s="8" t="s">
        <v>2267</v>
      </c>
      <c r="F679" s="8" t="s">
        <v>11278</v>
      </c>
    </row>
    <row r="680" customHeight="1" spans="1:6">
      <c r="A680" s="6">
        <v>679</v>
      </c>
      <c r="B680" s="8" t="s">
        <v>11275</v>
      </c>
      <c r="C680" s="8" t="s">
        <v>11276</v>
      </c>
      <c r="D680" s="8" t="s">
        <v>11277</v>
      </c>
      <c r="E680" s="8" t="s">
        <v>2267</v>
      </c>
      <c r="F680" s="8" t="s">
        <v>11278</v>
      </c>
    </row>
    <row r="681" customHeight="1" spans="1:6">
      <c r="A681" s="6">
        <v>680</v>
      </c>
      <c r="B681" s="8" t="s">
        <v>11279</v>
      </c>
      <c r="C681" s="8" t="s">
        <v>11280</v>
      </c>
      <c r="D681" s="8" t="s">
        <v>11281</v>
      </c>
      <c r="E681" s="8" t="s">
        <v>4495</v>
      </c>
      <c r="F681" s="8" t="s">
        <v>11282</v>
      </c>
    </row>
    <row r="682" customHeight="1" spans="1:6">
      <c r="A682" s="6">
        <v>681</v>
      </c>
      <c r="B682" s="8" t="s">
        <v>11279</v>
      </c>
      <c r="C682" s="8" t="s">
        <v>11280</v>
      </c>
      <c r="D682" s="8" t="s">
        <v>11281</v>
      </c>
      <c r="E682" s="8" t="s">
        <v>4495</v>
      </c>
      <c r="F682" s="8" t="s">
        <v>11282</v>
      </c>
    </row>
    <row r="683" customHeight="1" spans="1:6">
      <c r="A683" s="6">
        <v>682</v>
      </c>
      <c r="B683" s="8" t="s">
        <v>11283</v>
      </c>
      <c r="C683" s="8" t="s">
        <v>11284</v>
      </c>
      <c r="D683" s="8" t="s">
        <v>11285</v>
      </c>
      <c r="E683" s="8" t="s">
        <v>1189</v>
      </c>
      <c r="F683" s="8" t="s">
        <v>11286</v>
      </c>
    </row>
    <row r="684" customHeight="1" spans="1:6">
      <c r="A684" s="6">
        <v>683</v>
      </c>
      <c r="B684" s="8" t="s">
        <v>11283</v>
      </c>
      <c r="C684" s="8" t="s">
        <v>11284</v>
      </c>
      <c r="D684" s="8" t="s">
        <v>11285</v>
      </c>
      <c r="E684" s="8" t="s">
        <v>1189</v>
      </c>
      <c r="F684" s="8" t="s">
        <v>11286</v>
      </c>
    </row>
    <row r="685" customHeight="1" spans="1:6">
      <c r="A685" s="6">
        <v>684</v>
      </c>
      <c r="B685" s="8" t="s">
        <v>11287</v>
      </c>
      <c r="C685" s="8" t="s">
        <v>11288</v>
      </c>
      <c r="D685" s="8" t="s">
        <v>11289</v>
      </c>
      <c r="E685" s="8" t="s">
        <v>10196</v>
      </c>
      <c r="F685" s="8" t="s">
        <v>11290</v>
      </c>
    </row>
    <row r="686" customHeight="1" spans="1:6">
      <c r="A686" s="6">
        <v>685</v>
      </c>
      <c r="B686" s="8" t="s">
        <v>11287</v>
      </c>
      <c r="C686" s="8" t="s">
        <v>11288</v>
      </c>
      <c r="D686" s="8" t="s">
        <v>11289</v>
      </c>
      <c r="E686" s="8" t="s">
        <v>10196</v>
      </c>
      <c r="F686" s="8" t="s">
        <v>11290</v>
      </c>
    </row>
    <row r="687" customHeight="1" spans="1:6">
      <c r="A687" s="6">
        <v>686</v>
      </c>
      <c r="B687" s="8" t="s">
        <v>11291</v>
      </c>
      <c r="C687" s="8" t="s">
        <v>11292</v>
      </c>
      <c r="D687" s="8" t="s">
        <v>11293</v>
      </c>
      <c r="E687" s="8" t="s">
        <v>1189</v>
      </c>
      <c r="F687" s="8" t="s">
        <v>11294</v>
      </c>
    </row>
    <row r="688" customHeight="1" spans="1:6">
      <c r="A688" s="6">
        <v>687</v>
      </c>
      <c r="B688" s="8" t="s">
        <v>11291</v>
      </c>
      <c r="C688" s="8" t="s">
        <v>11292</v>
      </c>
      <c r="D688" s="8" t="s">
        <v>11293</v>
      </c>
      <c r="E688" s="8" t="s">
        <v>1189</v>
      </c>
      <c r="F688" s="8" t="s">
        <v>11294</v>
      </c>
    </row>
    <row r="689" customHeight="1" spans="1:6">
      <c r="A689" s="6">
        <v>688</v>
      </c>
      <c r="B689" s="8" t="s">
        <v>11295</v>
      </c>
      <c r="C689" s="8" t="s">
        <v>11296</v>
      </c>
      <c r="D689" s="8" t="s">
        <v>11297</v>
      </c>
      <c r="E689" s="8" t="s">
        <v>1436</v>
      </c>
      <c r="F689" s="8" t="s">
        <v>11298</v>
      </c>
    </row>
    <row r="690" customHeight="1" spans="1:6">
      <c r="A690" s="6">
        <v>689</v>
      </c>
      <c r="B690" s="8" t="s">
        <v>11295</v>
      </c>
      <c r="C690" s="8" t="s">
        <v>11296</v>
      </c>
      <c r="D690" s="8" t="s">
        <v>11297</v>
      </c>
      <c r="E690" s="8" t="s">
        <v>1436</v>
      </c>
      <c r="F690" s="8" t="s">
        <v>11298</v>
      </c>
    </row>
    <row r="691" customHeight="1" spans="1:6">
      <c r="A691" s="6">
        <v>690</v>
      </c>
      <c r="B691" s="8" t="s">
        <v>11299</v>
      </c>
      <c r="C691" s="8" t="s">
        <v>11300</v>
      </c>
      <c r="D691" s="8" t="s">
        <v>11301</v>
      </c>
      <c r="E691" s="8" t="s">
        <v>425</v>
      </c>
      <c r="F691" s="8" t="s">
        <v>11302</v>
      </c>
    </row>
    <row r="692" customHeight="1" spans="1:6">
      <c r="A692" s="6">
        <v>691</v>
      </c>
      <c r="B692" s="8" t="s">
        <v>11299</v>
      </c>
      <c r="C692" s="8" t="s">
        <v>11300</v>
      </c>
      <c r="D692" s="8" t="s">
        <v>11301</v>
      </c>
      <c r="E692" s="8" t="s">
        <v>425</v>
      </c>
      <c r="F692" s="8" t="s">
        <v>11302</v>
      </c>
    </row>
    <row r="693" customHeight="1" spans="1:6">
      <c r="A693" s="6">
        <v>692</v>
      </c>
      <c r="B693" s="8" t="s">
        <v>11303</v>
      </c>
      <c r="C693" s="8" t="s">
        <v>11304</v>
      </c>
      <c r="D693" s="8" t="s">
        <v>11305</v>
      </c>
      <c r="E693" s="8" t="s">
        <v>571</v>
      </c>
      <c r="F693" s="8" t="s">
        <v>11306</v>
      </c>
    </row>
    <row r="694" customHeight="1" spans="1:6">
      <c r="A694" s="6">
        <v>693</v>
      </c>
      <c r="B694" s="8" t="s">
        <v>11303</v>
      </c>
      <c r="C694" s="8" t="s">
        <v>11304</v>
      </c>
      <c r="D694" s="8" t="s">
        <v>11305</v>
      </c>
      <c r="E694" s="8" t="s">
        <v>571</v>
      </c>
      <c r="F694" s="8" t="s">
        <v>11306</v>
      </c>
    </row>
    <row r="695" customHeight="1" spans="1:6">
      <c r="A695" s="6">
        <v>694</v>
      </c>
      <c r="B695" s="8" t="s">
        <v>11307</v>
      </c>
      <c r="C695" s="8" t="s">
        <v>11308</v>
      </c>
      <c r="D695" s="8" t="s">
        <v>11309</v>
      </c>
      <c r="E695" s="8" t="s">
        <v>1189</v>
      </c>
      <c r="F695" s="8" t="s">
        <v>11310</v>
      </c>
    </row>
    <row r="696" customHeight="1" spans="1:6">
      <c r="A696" s="6">
        <v>695</v>
      </c>
      <c r="B696" s="8" t="s">
        <v>11307</v>
      </c>
      <c r="C696" s="8" t="s">
        <v>11308</v>
      </c>
      <c r="D696" s="8" t="s">
        <v>11309</v>
      </c>
      <c r="E696" s="8" t="s">
        <v>1189</v>
      </c>
      <c r="F696" s="8" t="s">
        <v>11310</v>
      </c>
    </row>
    <row r="697" customHeight="1" spans="1:6">
      <c r="A697" s="6">
        <v>696</v>
      </c>
      <c r="B697" s="8" t="s">
        <v>11311</v>
      </c>
      <c r="C697" s="8" t="s">
        <v>11312</v>
      </c>
      <c r="D697" s="8" t="s">
        <v>11313</v>
      </c>
      <c r="E697" s="8" t="s">
        <v>571</v>
      </c>
      <c r="F697" s="8" t="s">
        <v>11314</v>
      </c>
    </row>
    <row r="698" customHeight="1" spans="1:6">
      <c r="A698" s="6">
        <v>697</v>
      </c>
      <c r="B698" s="8" t="s">
        <v>11311</v>
      </c>
      <c r="C698" s="8" t="s">
        <v>11312</v>
      </c>
      <c r="D698" s="8" t="s">
        <v>11313</v>
      </c>
      <c r="E698" s="8" t="s">
        <v>571</v>
      </c>
      <c r="F698" s="8" t="s">
        <v>11314</v>
      </c>
    </row>
    <row r="699" customHeight="1" spans="1:6">
      <c r="A699" s="6">
        <v>698</v>
      </c>
      <c r="B699" s="8" t="s">
        <v>11315</v>
      </c>
      <c r="C699" s="8" t="s">
        <v>11316</v>
      </c>
      <c r="D699" s="8" t="s">
        <v>11317</v>
      </c>
      <c r="E699" s="8" t="s">
        <v>744</v>
      </c>
      <c r="F699" s="8" t="s">
        <v>11318</v>
      </c>
    </row>
    <row r="700" customHeight="1" spans="1:6">
      <c r="A700" s="6">
        <v>699</v>
      </c>
      <c r="B700" s="8" t="s">
        <v>11315</v>
      </c>
      <c r="C700" s="8" t="s">
        <v>11316</v>
      </c>
      <c r="D700" s="8" t="s">
        <v>11317</v>
      </c>
      <c r="E700" s="8" t="s">
        <v>744</v>
      </c>
      <c r="F700" s="8" t="s">
        <v>11318</v>
      </c>
    </row>
    <row r="701" customHeight="1" spans="1:6">
      <c r="A701" s="6">
        <v>700</v>
      </c>
      <c r="B701" s="8" t="s">
        <v>11319</v>
      </c>
      <c r="C701" s="8" t="s">
        <v>11320</v>
      </c>
      <c r="D701" s="8" t="s">
        <v>11321</v>
      </c>
      <c r="E701" s="8" t="s">
        <v>10337</v>
      </c>
      <c r="F701" s="8" t="s">
        <v>11322</v>
      </c>
    </row>
    <row r="702" customHeight="1" spans="1:6">
      <c r="A702" s="6">
        <v>701</v>
      </c>
      <c r="B702" s="8" t="s">
        <v>11319</v>
      </c>
      <c r="C702" s="8" t="s">
        <v>11320</v>
      </c>
      <c r="D702" s="8" t="s">
        <v>11321</v>
      </c>
      <c r="E702" s="8" t="s">
        <v>10337</v>
      </c>
      <c r="F702" s="8" t="s">
        <v>11322</v>
      </c>
    </row>
    <row r="703" customHeight="1" spans="1:6">
      <c r="A703" s="6">
        <v>702</v>
      </c>
      <c r="B703" s="8" t="s">
        <v>11323</v>
      </c>
      <c r="C703" s="8" t="s">
        <v>11324</v>
      </c>
      <c r="D703" s="8" t="s">
        <v>11325</v>
      </c>
      <c r="E703" s="8" t="s">
        <v>1189</v>
      </c>
      <c r="F703" s="8" t="s">
        <v>11326</v>
      </c>
    </row>
    <row r="704" customHeight="1" spans="1:6">
      <c r="A704" s="6">
        <v>703</v>
      </c>
      <c r="B704" s="8" t="s">
        <v>11323</v>
      </c>
      <c r="C704" s="8" t="s">
        <v>11324</v>
      </c>
      <c r="D704" s="8" t="s">
        <v>11325</v>
      </c>
      <c r="E704" s="8" t="s">
        <v>1189</v>
      </c>
      <c r="F704" s="8" t="s">
        <v>11326</v>
      </c>
    </row>
    <row r="705" customHeight="1" spans="1:6">
      <c r="A705" s="6">
        <v>704</v>
      </c>
      <c r="B705" s="8" t="s">
        <v>11327</v>
      </c>
      <c r="C705" s="8" t="s">
        <v>11328</v>
      </c>
      <c r="D705" s="8" t="s">
        <v>11329</v>
      </c>
      <c r="E705" s="8" t="s">
        <v>1189</v>
      </c>
      <c r="F705" s="8" t="s">
        <v>11330</v>
      </c>
    </row>
    <row r="706" customHeight="1" spans="1:6">
      <c r="A706" s="6">
        <v>705</v>
      </c>
      <c r="B706" s="8" t="s">
        <v>11327</v>
      </c>
      <c r="C706" s="8" t="s">
        <v>11328</v>
      </c>
      <c r="D706" s="8" t="s">
        <v>11329</v>
      </c>
      <c r="E706" s="8" t="s">
        <v>1189</v>
      </c>
      <c r="F706" s="8" t="s">
        <v>11330</v>
      </c>
    </row>
    <row r="707" customHeight="1" spans="1:6">
      <c r="A707" s="6">
        <v>706</v>
      </c>
      <c r="B707" s="8" t="s">
        <v>11331</v>
      </c>
      <c r="C707" s="8" t="s">
        <v>11332</v>
      </c>
      <c r="D707" s="8" t="s">
        <v>11333</v>
      </c>
      <c r="E707" s="8" t="s">
        <v>10196</v>
      </c>
      <c r="F707" s="8" t="s">
        <v>11334</v>
      </c>
    </row>
    <row r="708" customHeight="1" spans="1:6">
      <c r="A708" s="6">
        <v>707</v>
      </c>
      <c r="B708" s="8" t="s">
        <v>11331</v>
      </c>
      <c r="C708" s="8" t="s">
        <v>11332</v>
      </c>
      <c r="D708" s="8" t="s">
        <v>11333</v>
      </c>
      <c r="E708" s="8" t="s">
        <v>10196</v>
      </c>
      <c r="F708" s="8" t="s">
        <v>11334</v>
      </c>
    </row>
    <row r="709" customHeight="1" spans="1:6">
      <c r="A709" s="6">
        <v>708</v>
      </c>
      <c r="B709" s="8" t="s">
        <v>11335</v>
      </c>
      <c r="C709" s="8" t="s">
        <v>11336</v>
      </c>
      <c r="D709" s="8" t="s">
        <v>11337</v>
      </c>
      <c r="E709" s="8" t="s">
        <v>1189</v>
      </c>
      <c r="F709" s="8" t="s">
        <v>11338</v>
      </c>
    </row>
    <row r="710" customHeight="1" spans="1:6">
      <c r="A710" s="6">
        <v>709</v>
      </c>
      <c r="B710" s="8" t="s">
        <v>11335</v>
      </c>
      <c r="C710" s="8" t="s">
        <v>11336</v>
      </c>
      <c r="D710" s="8" t="s">
        <v>11337</v>
      </c>
      <c r="E710" s="8" t="s">
        <v>1189</v>
      </c>
      <c r="F710" s="8" t="s">
        <v>11338</v>
      </c>
    </row>
    <row r="711" customHeight="1" spans="1:6">
      <c r="A711" s="6">
        <v>710</v>
      </c>
      <c r="B711" s="8" t="s">
        <v>11339</v>
      </c>
      <c r="C711" s="8" t="s">
        <v>11340</v>
      </c>
      <c r="D711" s="8" t="s">
        <v>11341</v>
      </c>
      <c r="E711" s="8" t="s">
        <v>28</v>
      </c>
      <c r="F711" s="8" t="s">
        <v>11342</v>
      </c>
    </row>
    <row r="712" customHeight="1" spans="1:6">
      <c r="A712" s="6">
        <v>711</v>
      </c>
      <c r="B712" s="8" t="s">
        <v>11339</v>
      </c>
      <c r="C712" s="8" t="s">
        <v>11340</v>
      </c>
      <c r="D712" s="8" t="s">
        <v>11341</v>
      </c>
      <c r="E712" s="8" t="s">
        <v>28</v>
      </c>
      <c r="F712" s="8" t="s">
        <v>11342</v>
      </c>
    </row>
    <row r="713" customHeight="1" spans="1:6">
      <c r="A713" s="6">
        <v>712</v>
      </c>
      <c r="B713" s="8" t="s">
        <v>11343</v>
      </c>
      <c r="C713" s="8" t="s">
        <v>11344</v>
      </c>
      <c r="D713" s="8" t="s">
        <v>11345</v>
      </c>
      <c r="E713" s="8" t="s">
        <v>10196</v>
      </c>
      <c r="F713" s="8" t="s">
        <v>11346</v>
      </c>
    </row>
    <row r="714" customHeight="1" spans="1:6">
      <c r="A714" s="6">
        <v>713</v>
      </c>
      <c r="B714" s="8" t="s">
        <v>11343</v>
      </c>
      <c r="C714" s="8" t="s">
        <v>11344</v>
      </c>
      <c r="D714" s="8" t="s">
        <v>11345</v>
      </c>
      <c r="E714" s="8" t="s">
        <v>10196</v>
      </c>
      <c r="F714" s="8" t="s">
        <v>11346</v>
      </c>
    </row>
    <row r="715" customHeight="1" spans="1:6">
      <c r="A715" s="6">
        <v>714</v>
      </c>
      <c r="B715" s="8" t="s">
        <v>11347</v>
      </c>
      <c r="C715" s="8" t="s">
        <v>11348</v>
      </c>
      <c r="D715" s="8" t="s">
        <v>11349</v>
      </c>
      <c r="E715" s="8" t="s">
        <v>701</v>
      </c>
      <c r="F715" s="8" t="s">
        <v>11350</v>
      </c>
    </row>
    <row r="716" customHeight="1" spans="1:6">
      <c r="A716" s="6">
        <v>715</v>
      </c>
      <c r="B716" s="8" t="s">
        <v>11347</v>
      </c>
      <c r="C716" s="8" t="s">
        <v>11348</v>
      </c>
      <c r="D716" s="8" t="s">
        <v>11349</v>
      </c>
      <c r="E716" s="8" t="s">
        <v>701</v>
      </c>
      <c r="F716" s="8" t="s">
        <v>11350</v>
      </c>
    </row>
    <row r="717" customHeight="1" spans="1:6">
      <c r="A717" s="6">
        <v>716</v>
      </c>
      <c r="B717" s="8" t="s">
        <v>11351</v>
      </c>
      <c r="C717" s="8" t="s">
        <v>11352</v>
      </c>
      <c r="D717" s="8" t="s">
        <v>11353</v>
      </c>
      <c r="E717" s="8" t="s">
        <v>10819</v>
      </c>
      <c r="F717" s="8" t="s">
        <v>11354</v>
      </c>
    </row>
    <row r="718" customHeight="1" spans="1:6">
      <c r="A718" s="6">
        <v>717</v>
      </c>
      <c r="B718" s="8" t="s">
        <v>11351</v>
      </c>
      <c r="C718" s="8" t="s">
        <v>11352</v>
      </c>
      <c r="D718" s="8" t="s">
        <v>11353</v>
      </c>
      <c r="E718" s="8" t="s">
        <v>10819</v>
      </c>
      <c r="F718" s="8" t="s">
        <v>11354</v>
      </c>
    </row>
    <row r="719" customHeight="1" spans="1:6">
      <c r="A719" s="6">
        <v>718</v>
      </c>
      <c r="B719" s="7" t="str">
        <f>"978-7-5692-7237-6"</f>
        <v>978-7-5692-7237-6</v>
      </c>
      <c r="C719" s="7" t="str">
        <f>"管弦乐演奏技巧与艺术赏析"</f>
        <v>管弦乐演奏技巧与艺术赏析</v>
      </c>
      <c r="D719" s="7" t="str">
        <f>"楚悦著"</f>
        <v>楚悦著</v>
      </c>
      <c r="E719" s="7" t="str">
        <f>"吉林大学出版社"</f>
        <v>吉林大学出版社</v>
      </c>
      <c r="F719" s="7" t="str">
        <f>"J62/14"</f>
        <v>J62/14</v>
      </c>
    </row>
    <row r="720" customHeight="1" spans="1:6">
      <c r="A720" s="6">
        <v>719</v>
      </c>
      <c r="B720" s="7" t="str">
        <f>"978-7-5692-7237-6"</f>
        <v>978-7-5692-7237-6</v>
      </c>
      <c r="C720" s="7" t="str">
        <f>"管弦乐演奏技巧与艺术赏析"</f>
        <v>管弦乐演奏技巧与艺术赏析</v>
      </c>
      <c r="D720" s="7" t="str">
        <f>"楚悦著"</f>
        <v>楚悦著</v>
      </c>
      <c r="E720" s="7" t="str">
        <f>"吉林大学出版社"</f>
        <v>吉林大学出版社</v>
      </c>
      <c r="F720" s="7" t="str">
        <f>"J62/14"</f>
        <v>J62/14</v>
      </c>
    </row>
    <row r="721" customHeight="1" spans="1:6">
      <c r="A721" s="6">
        <v>720</v>
      </c>
      <c r="B721" s="8" t="s">
        <v>11355</v>
      </c>
      <c r="C721" s="8" t="s">
        <v>11356</v>
      </c>
      <c r="D721" s="8" t="s">
        <v>11357</v>
      </c>
      <c r="E721" s="8" t="s">
        <v>1189</v>
      </c>
      <c r="F721" s="8" t="s">
        <v>11358</v>
      </c>
    </row>
    <row r="722" customHeight="1" spans="1:6">
      <c r="A722" s="6">
        <v>721</v>
      </c>
      <c r="B722" s="8" t="s">
        <v>11355</v>
      </c>
      <c r="C722" s="8" t="s">
        <v>11356</v>
      </c>
      <c r="D722" s="8" t="s">
        <v>11357</v>
      </c>
      <c r="E722" s="8" t="s">
        <v>1189</v>
      </c>
      <c r="F722" s="8" t="s">
        <v>11358</v>
      </c>
    </row>
    <row r="723" customHeight="1" spans="1:6">
      <c r="A723" s="6">
        <v>722</v>
      </c>
      <c r="B723" s="8" t="s">
        <v>11359</v>
      </c>
      <c r="C723" s="8" t="s">
        <v>11360</v>
      </c>
      <c r="D723" s="8" t="s">
        <v>11361</v>
      </c>
      <c r="E723" s="8" t="s">
        <v>1189</v>
      </c>
      <c r="F723" s="8" t="s">
        <v>11362</v>
      </c>
    </row>
    <row r="724" customHeight="1" spans="1:6">
      <c r="A724" s="6">
        <v>723</v>
      </c>
      <c r="B724" s="8" t="s">
        <v>11359</v>
      </c>
      <c r="C724" s="8" t="s">
        <v>11360</v>
      </c>
      <c r="D724" s="8" t="s">
        <v>11361</v>
      </c>
      <c r="E724" s="8" t="s">
        <v>1189</v>
      </c>
      <c r="F724" s="8" t="s">
        <v>11362</v>
      </c>
    </row>
    <row r="725" customHeight="1" spans="1:6">
      <c r="A725" s="6">
        <v>724</v>
      </c>
      <c r="B725" s="8" t="s">
        <v>11363</v>
      </c>
      <c r="C725" s="8" t="s">
        <v>11364</v>
      </c>
      <c r="D725" s="8" t="s">
        <v>11365</v>
      </c>
      <c r="E725" s="8" t="s">
        <v>10221</v>
      </c>
      <c r="F725" s="8" t="s">
        <v>11366</v>
      </c>
    </row>
    <row r="726" customHeight="1" spans="1:6">
      <c r="A726" s="6">
        <v>725</v>
      </c>
      <c r="B726" s="8" t="s">
        <v>11363</v>
      </c>
      <c r="C726" s="8" t="s">
        <v>11364</v>
      </c>
      <c r="D726" s="8" t="s">
        <v>11365</v>
      </c>
      <c r="E726" s="8" t="s">
        <v>10221</v>
      </c>
      <c r="F726" s="8" t="s">
        <v>11366</v>
      </c>
    </row>
    <row r="727" customHeight="1" spans="1:6">
      <c r="A727" s="6">
        <v>726</v>
      </c>
      <c r="B727" s="8" t="s">
        <v>11367</v>
      </c>
      <c r="C727" s="8" t="s">
        <v>11368</v>
      </c>
      <c r="D727" s="8" t="s">
        <v>11369</v>
      </c>
      <c r="E727" s="8" t="s">
        <v>571</v>
      </c>
      <c r="F727" s="8" t="s">
        <v>11370</v>
      </c>
    </row>
    <row r="728" customHeight="1" spans="1:6">
      <c r="A728" s="6">
        <v>727</v>
      </c>
      <c r="B728" s="8" t="s">
        <v>11367</v>
      </c>
      <c r="C728" s="8" t="s">
        <v>11368</v>
      </c>
      <c r="D728" s="8" t="s">
        <v>11369</v>
      </c>
      <c r="E728" s="8" t="s">
        <v>571</v>
      </c>
      <c r="F728" s="8" t="s">
        <v>11370</v>
      </c>
    </row>
    <row r="729" customHeight="1" spans="1:6">
      <c r="A729" s="6">
        <v>728</v>
      </c>
      <c r="B729" s="8" t="s">
        <v>11371</v>
      </c>
      <c r="C729" s="8" t="s">
        <v>11372</v>
      </c>
      <c r="D729" s="8" t="s">
        <v>11373</v>
      </c>
      <c r="E729" s="8" t="s">
        <v>2566</v>
      </c>
      <c r="F729" s="8" t="s">
        <v>11374</v>
      </c>
    </row>
    <row r="730" customHeight="1" spans="1:6">
      <c r="A730" s="6">
        <v>729</v>
      </c>
      <c r="B730" s="8" t="s">
        <v>11371</v>
      </c>
      <c r="C730" s="8" t="s">
        <v>11372</v>
      </c>
      <c r="D730" s="8" t="s">
        <v>11373</v>
      </c>
      <c r="E730" s="8" t="s">
        <v>2566</v>
      </c>
      <c r="F730" s="8" t="s">
        <v>11374</v>
      </c>
    </row>
    <row r="731" customHeight="1" spans="1:6">
      <c r="A731" s="6">
        <v>730</v>
      </c>
      <c r="B731" s="8" t="s">
        <v>11375</v>
      </c>
      <c r="C731" s="8" t="s">
        <v>11376</v>
      </c>
      <c r="D731" s="8" t="s">
        <v>11377</v>
      </c>
      <c r="E731" s="8" t="s">
        <v>2267</v>
      </c>
      <c r="F731" s="8" t="s">
        <v>11378</v>
      </c>
    </row>
    <row r="732" customHeight="1" spans="1:6">
      <c r="A732" s="6">
        <v>731</v>
      </c>
      <c r="B732" s="8" t="s">
        <v>11375</v>
      </c>
      <c r="C732" s="8" t="s">
        <v>11376</v>
      </c>
      <c r="D732" s="8" t="s">
        <v>11377</v>
      </c>
      <c r="E732" s="8" t="s">
        <v>2267</v>
      </c>
      <c r="F732" s="8" t="s">
        <v>11378</v>
      </c>
    </row>
    <row r="733" customHeight="1" spans="1:6">
      <c r="A733" s="6">
        <v>732</v>
      </c>
      <c r="B733" s="8" t="s">
        <v>11379</v>
      </c>
      <c r="C733" s="8" t="s">
        <v>11380</v>
      </c>
      <c r="D733" s="8" t="s">
        <v>7879</v>
      </c>
      <c r="E733" s="8" t="s">
        <v>360</v>
      </c>
      <c r="F733" s="8" t="s">
        <v>11381</v>
      </c>
    </row>
    <row r="734" customHeight="1" spans="1:6">
      <c r="A734" s="6">
        <v>733</v>
      </c>
      <c r="B734" s="8" t="s">
        <v>11379</v>
      </c>
      <c r="C734" s="8" t="s">
        <v>11380</v>
      </c>
      <c r="D734" s="8" t="s">
        <v>7879</v>
      </c>
      <c r="E734" s="8" t="s">
        <v>360</v>
      </c>
      <c r="F734" s="8" t="s">
        <v>11381</v>
      </c>
    </row>
    <row r="735" customHeight="1" spans="1:6">
      <c r="A735" s="6">
        <v>734</v>
      </c>
      <c r="B735" s="8" t="s">
        <v>11382</v>
      </c>
      <c r="C735" s="8" t="s">
        <v>11383</v>
      </c>
      <c r="D735" s="8" t="s">
        <v>11384</v>
      </c>
      <c r="E735" s="8" t="s">
        <v>239</v>
      </c>
      <c r="F735" s="8" t="s">
        <v>11385</v>
      </c>
    </row>
    <row r="736" customHeight="1" spans="1:6">
      <c r="A736" s="6">
        <v>735</v>
      </c>
      <c r="B736" s="8" t="s">
        <v>11382</v>
      </c>
      <c r="C736" s="8" t="s">
        <v>11383</v>
      </c>
      <c r="D736" s="8" t="s">
        <v>11384</v>
      </c>
      <c r="E736" s="8" t="s">
        <v>239</v>
      </c>
      <c r="F736" s="8" t="s">
        <v>11385</v>
      </c>
    </row>
    <row r="737" customHeight="1" spans="1:6">
      <c r="A737" s="6">
        <v>736</v>
      </c>
      <c r="B737" s="8" t="s">
        <v>11386</v>
      </c>
      <c r="C737" s="8" t="s">
        <v>11387</v>
      </c>
      <c r="D737" s="8" t="s">
        <v>11388</v>
      </c>
      <c r="E737" s="8" t="s">
        <v>11087</v>
      </c>
      <c r="F737" s="8" t="s">
        <v>11389</v>
      </c>
    </row>
    <row r="738" customHeight="1" spans="1:6">
      <c r="A738" s="6">
        <v>737</v>
      </c>
      <c r="B738" s="8" t="s">
        <v>11386</v>
      </c>
      <c r="C738" s="8" t="s">
        <v>11387</v>
      </c>
      <c r="D738" s="8" t="s">
        <v>11388</v>
      </c>
      <c r="E738" s="8" t="s">
        <v>11087</v>
      </c>
      <c r="F738" s="8" t="s">
        <v>11389</v>
      </c>
    </row>
    <row r="739" customHeight="1" spans="1:6">
      <c r="A739" s="6">
        <v>738</v>
      </c>
      <c r="B739" s="8" t="s">
        <v>11386</v>
      </c>
      <c r="C739" s="8" t="s">
        <v>11390</v>
      </c>
      <c r="D739" s="8" t="s">
        <v>11388</v>
      </c>
      <c r="E739" s="8" t="s">
        <v>11087</v>
      </c>
      <c r="F739" s="8" t="s">
        <v>11391</v>
      </c>
    </row>
    <row r="740" customHeight="1" spans="1:6">
      <c r="A740" s="6">
        <v>739</v>
      </c>
      <c r="B740" s="8" t="s">
        <v>11386</v>
      </c>
      <c r="C740" s="8" t="s">
        <v>11390</v>
      </c>
      <c r="D740" s="8" t="s">
        <v>11388</v>
      </c>
      <c r="E740" s="8" t="s">
        <v>11087</v>
      </c>
      <c r="F740" s="8" t="s">
        <v>11391</v>
      </c>
    </row>
    <row r="741" customHeight="1" spans="1:6">
      <c r="A741" s="6">
        <v>740</v>
      </c>
      <c r="B741" s="8" t="s">
        <v>11392</v>
      </c>
      <c r="C741" s="8" t="s">
        <v>11393</v>
      </c>
      <c r="D741" s="8" t="s">
        <v>11394</v>
      </c>
      <c r="E741" s="8" t="s">
        <v>11087</v>
      </c>
      <c r="F741" s="8" t="s">
        <v>11395</v>
      </c>
    </row>
    <row r="742" customHeight="1" spans="1:6">
      <c r="A742" s="6">
        <v>741</v>
      </c>
      <c r="B742" s="8" t="s">
        <v>11392</v>
      </c>
      <c r="C742" s="8" t="s">
        <v>11393</v>
      </c>
      <c r="D742" s="8" t="s">
        <v>11394</v>
      </c>
      <c r="E742" s="8" t="s">
        <v>11087</v>
      </c>
      <c r="F742" s="8" t="s">
        <v>11395</v>
      </c>
    </row>
    <row r="743" customHeight="1" spans="1:6">
      <c r="A743" s="6">
        <v>742</v>
      </c>
      <c r="B743" s="8" t="s">
        <v>11392</v>
      </c>
      <c r="C743" s="8" t="s">
        <v>11396</v>
      </c>
      <c r="D743" s="8" t="s">
        <v>11394</v>
      </c>
      <c r="E743" s="8" t="s">
        <v>11087</v>
      </c>
      <c r="F743" s="8" t="s">
        <v>11397</v>
      </c>
    </row>
    <row r="744" customHeight="1" spans="1:6">
      <c r="A744" s="6">
        <v>743</v>
      </c>
      <c r="B744" s="8" t="s">
        <v>11392</v>
      </c>
      <c r="C744" s="8" t="s">
        <v>11396</v>
      </c>
      <c r="D744" s="8" t="s">
        <v>11394</v>
      </c>
      <c r="E744" s="8" t="s">
        <v>11087</v>
      </c>
      <c r="F744" s="8" t="s">
        <v>11397</v>
      </c>
    </row>
    <row r="745" customHeight="1" spans="1:6">
      <c r="A745" s="6">
        <v>744</v>
      </c>
      <c r="B745" s="8" t="s">
        <v>11392</v>
      </c>
      <c r="C745" s="8" t="s">
        <v>11398</v>
      </c>
      <c r="D745" s="8" t="s">
        <v>11394</v>
      </c>
      <c r="E745" s="8" t="s">
        <v>11087</v>
      </c>
      <c r="F745" s="8" t="s">
        <v>11399</v>
      </c>
    </row>
    <row r="746" customHeight="1" spans="1:6">
      <c r="A746" s="6">
        <v>745</v>
      </c>
      <c r="B746" s="8" t="s">
        <v>11392</v>
      </c>
      <c r="C746" s="8" t="s">
        <v>11398</v>
      </c>
      <c r="D746" s="8" t="s">
        <v>11394</v>
      </c>
      <c r="E746" s="8" t="s">
        <v>11087</v>
      </c>
      <c r="F746" s="8" t="s">
        <v>11399</v>
      </c>
    </row>
    <row r="747" customHeight="1" spans="1:6">
      <c r="A747" s="6">
        <v>746</v>
      </c>
      <c r="B747" s="8" t="s">
        <v>11392</v>
      </c>
      <c r="C747" s="8" t="s">
        <v>11400</v>
      </c>
      <c r="D747" s="8" t="s">
        <v>11394</v>
      </c>
      <c r="E747" s="8" t="s">
        <v>11087</v>
      </c>
      <c r="F747" s="8" t="s">
        <v>11401</v>
      </c>
    </row>
    <row r="748" customHeight="1" spans="1:6">
      <c r="A748" s="6">
        <v>747</v>
      </c>
      <c r="B748" s="8" t="s">
        <v>11392</v>
      </c>
      <c r="C748" s="8" t="s">
        <v>11400</v>
      </c>
      <c r="D748" s="8" t="s">
        <v>11394</v>
      </c>
      <c r="E748" s="8" t="s">
        <v>11087</v>
      </c>
      <c r="F748" s="8" t="s">
        <v>11401</v>
      </c>
    </row>
    <row r="749" customHeight="1" spans="1:6">
      <c r="A749" s="6">
        <v>748</v>
      </c>
      <c r="B749" s="8" t="s">
        <v>11392</v>
      </c>
      <c r="C749" s="8" t="s">
        <v>11402</v>
      </c>
      <c r="D749" s="8" t="s">
        <v>11394</v>
      </c>
      <c r="E749" s="8" t="s">
        <v>11087</v>
      </c>
      <c r="F749" s="8" t="s">
        <v>11403</v>
      </c>
    </row>
    <row r="750" customHeight="1" spans="1:6">
      <c r="A750" s="6">
        <v>749</v>
      </c>
      <c r="B750" s="8" t="s">
        <v>11392</v>
      </c>
      <c r="C750" s="8" t="s">
        <v>11402</v>
      </c>
      <c r="D750" s="8" t="s">
        <v>11394</v>
      </c>
      <c r="E750" s="8" t="s">
        <v>11087</v>
      </c>
      <c r="F750" s="8" t="s">
        <v>11403</v>
      </c>
    </row>
    <row r="751" customHeight="1" spans="1:6">
      <c r="A751" s="6">
        <v>750</v>
      </c>
      <c r="B751" s="8" t="s">
        <v>11404</v>
      </c>
      <c r="C751" s="8" t="s">
        <v>11405</v>
      </c>
      <c r="D751" s="8" t="s">
        <v>11406</v>
      </c>
      <c r="E751" s="8" t="s">
        <v>11087</v>
      </c>
      <c r="F751" s="8" t="s">
        <v>11407</v>
      </c>
    </row>
    <row r="752" customHeight="1" spans="1:6">
      <c r="A752" s="6">
        <v>751</v>
      </c>
      <c r="B752" s="8" t="s">
        <v>11404</v>
      </c>
      <c r="C752" s="8" t="s">
        <v>11405</v>
      </c>
      <c r="D752" s="8" t="s">
        <v>11406</v>
      </c>
      <c r="E752" s="8" t="s">
        <v>11087</v>
      </c>
      <c r="F752" s="8" t="s">
        <v>11407</v>
      </c>
    </row>
    <row r="753" customHeight="1" spans="1:6">
      <c r="A753" s="6">
        <v>752</v>
      </c>
      <c r="B753" s="8" t="s">
        <v>11404</v>
      </c>
      <c r="C753" s="8" t="s">
        <v>11408</v>
      </c>
      <c r="D753" s="8" t="s">
        <v>11406</v>
      </c>
      <c r="E753" s="8" t="s">
        <v>11087</v>
      </c>
      <c r="F753" s="8" t="s">
        <v>11409</v>
      </c>
    </row>
    <row r="754" customHeight="1" spans="1:6">
      <c r="A754" s="6">
        <v>753</v>
      </c>
      <c r="B754" s="8" t="s">
        <v>11404</v>
      </c>
      <c r="C754" s="8" t="s">
        <v>11408</v>
      </c>
      <c r="D754" s="8" t="s">
        <v>11406</v>
      </c>
      <c r="E754" s="8" t="s">
        <v>11087</v>
      </c>
      <c r="F754" s="8" t="s">
        <v>11409</v>
      </c>
    </row>
    <row r="755" customHeight="1" spans="1:6">
      <c r="A755" s="6">
        <v>754</v>
      </c>
      <c r="B755" s="8" t="s">
        <v>11404</v>
      </c>
      <c r="C755" s="8" t="s">
        <v>11410</v>
      </c>
      <c r="D755" s="8" t="s">
        <v>11406</v>
      </c>
      <c r="E755" s="8" t="s">
        <v>11087</v>
      </c>
      <c r="F755" s="8" t="s">
        <v>11411</v>
      </c>
    </row>
    <row r="756" customHeight="1" spans="1:6">
      <c r="A756" s="6">
        <v>755</v>
      </c>
      <c r="B756" s="8" t="s">
        <v>11404</v>
      </c>
      <c r="C756" s="8" t="s">
        <v>11410</v>
      </c>
      <c r="D756" s="8" t="s">
        <v>11406</v>
      </c>
      <c r="E756" s="8" t="s">
        <v>11087</v>
      </c>
      <c r="F756" s="8" t="s">
        <v>11411</v>
      </c>
    </row>
    <row r="757" customHeight="1" spans="1:6">
      <c r="A757" s="6">
        <v>756</v>
      </c>
      <c r="B757" s="8" t="s">
        <v>11404</v>
      </c>
      <c r="C757" s="8" t="s">
        <v>11412</v>
      </c>
      <c r="D757" s="8" t="s">
        <v>11406</v>
      </c>
      <c r="E757" s="8" t="s">
        <v>11087</v>
      </c>
      <c r="F757" s="8" t="s">
        <v>11413</v>
      </c>
    </row>
    <row r="758" customHeight="1" spans="1:6">
      <c r="A758" s="6">
        <v>757</v>
      </c>
      <c r="B758" s="8" t="s">
        <v>11404</v>
      </c>
      <c r="C758" s="8" t="s">
        <v>11412</v>
      </c>
      <c r="D758" s="8" t="s">
        <v>11406</v>
      </c>
      <c r="E758" s="8" t="s">
        <v>11087</v>
      </c>
      <c r="F758" s="8" t="s">
        <v>11413</v>
      </c>
    </row>
    <row r="759" customHeight="1" spans="1:6">
      <c r="A759" s="6">
        <v>758</v>
      </c>
      <c r="B759" s="8" t="s">
        <v>11404</v>
      </c>
      <c r="C759" s="8" t="s">
        <v>11414</v>
      </c>
      <c r="D759" s="8" t="s">
        <v>11406</v>
      </c>
      <c r="E759" s="8" t="s">
        <v>11087</v>
      </c>
      <c r="F759" s="8" t="s">
        <v>11415</v>
      </c>
    </row>
    <row r="760" customHeight="1" spans="1:6">
      <c r="A760" s="6">
        <v>759</v>
      </c>
      <c r="B760" s="8" t="s">
        <v>11404</v>
      </c>
      <c r="C760" s="8" t="s">
        <v>11414</v>
      </c>
      <c r="D760" s="8" t="s">
        <v>11406</v>
      </c>
      <c r="E760" s="8" t="s">
        <v>11087</v>
      </c>
      <c r="F760" s="8" t="s">
        <v>11415</v>
      </c>
    </row>
    <row r="761" customHeight="1" spans="1:6">
      <c r="A761" s="6">
        <v>760</v>
      </c>
      <c r="B761" s="8" t="s">
        <v>11416</v>
      </c>
      <c r="C761" s="8" t="s">
        <v>11417</v>
      </c>
      <c r="D761" s="8" t="s">
        <v>11418</v>
      </c>
      <c r="E761" s="8" t="s">
        <v>11087</v>
      </c>
      <c r="F761" s="8" t="s">
        <v>11419</v>
      </c>
    </row>
    <row r="762" customHeight="1" spans="1:6">
      <c r="A762" s="6">
        <v>761</v>
      </c>
      <c r="B762" s="8" t="s">
        <v>11416</v>
      </c>
      <c r="C762" s="8" t="s">
        <v>11417</v>
      </c>
      <c r="D762" s="8" t="s">
        <v>11418</v>
      </c>
      <c r="E762" s="8" t="s">
        <v>11087</v>
      </c>
      <c r="F762" s="8" t="s">
        <v>11419</v>
      </c>
    </row>
    <row r="763" customHeight="1" spans="1:6">
      <c r="A763" s="6">
        <v>762</v>
      </c>
      <c r="B763" s="8" t="s">
        <v>11416</v>
      </c>
      <c r="C763" s="8" t="s">
        <v>11420</v>
      </c>
      <c r="D763" s="8" t="s">
        <v>11418</v>
      </c>
      <c r="E763" s="8" t="s">
        <v>11087</v>
      </c>
      <c r="F763" s="8" t="s">
        <v>11421</v>
      </c>
    </row>
    <row r="764" customHeight="1" spans="1:6">
      <c r="A764" s="6">
        <v>763</v>
      </c>
      <c r="B764" s="8" t="s">
        <v>11416</v>
      </c>
      <c r="C764" s="8" t="s">
        <v>11420</v>
      </c>
      <c r="D764" s="8" t="s">
        <v>11418</v>
      </c>
      <c r="E764" s="8" t="s">
        <v>11087</v>
      </c>
      <c r="F764" s="8" t="s">
        <v>11421</v>
      </c>
    </row>
    <row r="765" customHeight="1" spans="1:6">
      <c r="A765" s="6">
        <v>764</v>
      </c>
      <c r="B765" s="8" t="s">
        <v>11416</v>
      </c>
      <c r="C765" s="8" t="s">
        <v>11422</v>
      </c>
      <c r="D765" s="8" t="s">
        <v>11418</v>
      </c>
      <c r="E765" s="8" t="s">
        <v>11087</v>
      </c>
      <c r="F765" s="8" t="s">
        <v>11423</v>
      </c>
    </row>
    <row r="766" customHeight="1" spans="1:6">
      <c r="A766" s="6">
        <v>765</v>
      </c>
      <c r="B766" s="8" t="s">
        <v>11416</v>
      </c>
      <c r="C766" s="8" t="s">
        <v>11422</v>
      </c>
      <c r="D766" s="8" t="s">
        <v>11418</v>
      </c>
      <c r="E766" s="8" t="s">
        <v>11087</v>
      </c>
      <c r="F766" s="8" t="s">
        <v>11423</v>
      </c>
    </row>
    <row r="767" customHeight="1" spans="1:6">
      <c r="A767" s="6">
        <v>766</v>
      </c>
      <c r="B767" s="8" t="s">
        <v>11416</v>
      </c>
      <c r="C767" s="8" t="s">
        <v>11424</v>
      </c>
      <c r="D767" s="8" t="s">
        <v>11418</v>
      </c>
      <c r="E767" s="8" t="s">
        <v>11087</v>
      </c>
      <c r="F767" s="8" t="s">
        <v>11425</v>
      </c>
    </row>
    <row r="768" customHeight="1" spans="1:6">
      <c r="A768" s="6">
        <v>767</v>
      </c>
      <c r="B768" s="8" t="s">
        <v>11416</v>
      </c>
      <c r="C768" s="8" t="s">
        <v>11424</v>
      </c>
      <c r="D768" s="8" t="s">
        <v>11418</v>
      </c>
      <c r="E768" s="8" t="s">
        <v>11087</v>
      </c>
      <c r="F768" s="8" t="s">
        <v>11425</v>
      </c>
    </row>
    <row r="769" customHeight="1" spans="1:6">
      <c r="A769" s="6">
        <v>768</v>
      </c>
      <c r="B769" s="8" t="s">
        <v>11416</v>
      </c>
      <c r="C769" s="8" t="s">
        <v>11426</v>
      </c>
      <c r="D769" s="8" t="s">
        <v>11418</v>
      </c>
      <c r="E769" s="8" t="s">
        <v>11087</v>
      </c>
      <c r="F769" s="8" t="s">
        <v>11427</v>
      </c>
    </row>
    <row r="770" customHeight="1" spans="1:6">
      <c r="A770" s="6">
        <v>769</v>
      </c>
      <c r="B770" s="8" t="s">
        <v>11416</v>
      </c>
      <c r="C770" s="8" t="s">
        <v>11426</v>
      </c>
      <c r="D770" s="8" t="s">
        <v>11418</v>
      </c>
      <c r="E770" s="8" t="s">
        <v>11087</v>
      </c>
      <c r="F770" s="8" t="s">
        <v>11427</v>
      </c>
    </row>
    <row r="771" customHeight="1" spans="1:6">
      <c r="A771" s="6">
        <v>770</v>
      </c>
      <c r="B771" s="8" t="s">
        <v>11392</v>
      </c>
      <c r="C771" s="8" t="s">
        <v>11393</v>
      </c>
      <c r="D771" s="8" t="s">
        <v>11394</v>
      </c>
      <c r="E771" s="8" t="s">
        <v>11087</v>
      </c>
      <c r="F771" s="8" t="s">
        <v>11428</v>
      </c>
    </row>
    <row r="772" customHeight="1" spans="1:6">
      <c r="A772" s="6">
        <v>771</v>
      </c>
      <c r="B772" s="8" t="s">
        <v>11392</v>
      </c>
      <c r="C772" s="8" t="s">
        <v>11393</v>
      </c>
      <c r="D772" s="8" t="s">
        <v>11394</v>
      </c>
      <c r="E772" s="8" t="s">
        <v>11087</v>
      </c>
      <c r="F772" s="8" t="s">
        <v>11428</v>
      </c>
    </row>
    <row r="773" customHeight="1" spans="1:6">
      <c r="A773" s="6">
        <v>772</v>
      </c>
      <c r="B773" s="8" t="s">
        <v>11392</v>
      </c>
      <c r="C773" s="8" t="s">
        <v>11396</v>
      </c>
      <c r="D773" s="8" t="s">
        <v>11394</v>
      </c>
      <c r="E773" s="8" t="s">
        <v>11087</v>
      </c>
      <c r="F773" s="8" t="s">
        <v>11429</v>
      </c>
    </row>
    <row r="774" customHeight="1" spans="1:6">
      <c r="A774" s="6">
        <v>773</v>
      </c>
      <c r="B774" s="8" t="s">
        <v>11392</v>
      </c>
      <c r="C774" s="8" t="s">
        <v>11396</v>
      </c>
      <c r="D774" s="8" t="s">
        <v>11394</v>
      </c>
      <c r="E774" s="8" t="s">
        <v>11087</v>
      </c>
      <c r="F774" s="8" t="s">
        <v>11429</v>
      </c>
    </row>
    <row r="775" customHeight="1" spans="1:6">
      <c r="A775" s="6">
        <v>774</v>
      </c>
      <c r="B775" s="8" t="s">
        <v>11392</v>
      </c>
      <c r="C775" s="8" t="s">
        <v>11398</v>
      </c>
      <c r="D775" s="8" t="s">
        <v>11394</v>
      </c>
      <c r="E775" s="8" t="s">
        <v>11087</v>
      </c>
      <c r="F775" s="8" t="s">
        <v>11430</v>
      </c>
    </row>
    <row r="776" customHeight="1" spans="1:6">
      <c r="A776" s="6">
        <v>775</v>
      </c>
      <c r="B776" s="8" t="s">
        <v>11392</v>
      </c>
      <c r="C776" s="8" t="s">
        <v>11398</v>
      </c>
      <c r="D776" s="8" t="s">
        <v>11394</v>
      </c>
      <c r="E776" s="8" t="s">
        <v>11087</v>
      </c>
      <c r="F776" s="8" t="s">
        <v>11430</v>
      </c>
    </row>
    <row r="777" customHeight="1" spans="1:6">
      <c r="A777" s="6">
        <v>776</v>
      </c>
      <c r="B777" s="8" t="s">
        <v>11392</v>
      </c>
      <c r="C777" s="8" t="s">
        <v>11400</v>
      </c>
      <c r="D777" s="8" t="s">
        <v>11394</v>
      </c>
      <c r="E777" s="8" t="s">
        <v>11087</v>
      </c>
      <c r="F777" s="8" t="s">
        <v>11431</v>
      </c>
    </row>
    <row r="778" customHeight="1" spans="1:6">
      <c r="A778" s="6">
        <v>777</v>
      </c>
      <c r="B778" s="8" t="s">
        <v>11392</v>
      </c>
      <c r="C778" s="8" t="s">
        <v>11400</v>
      </c>
      <c r="D778" s="8" t="s">
        <v>11394</v>
      </c>
      <c r="E778" s="8" t="s">
        <v>11087</v>
      </c>
      <c r="F778" s="8" t="s">
        <v>11431</v>
      </c>
    </row>
    <row r="779" customHeight="1" spans="1:6">
      <c r="A779" s="6">
        <v>778</v>
      </c>
      <c r="B779" s="8" t="s">
        <v>11392</v>
      </c>
      <c r="C779" s="8" t="s">
        <v>11402</v>
      </c>
      <c r="D779" s="8" t="s">
        <v>11394</v>
      </c>
      <c r="E779" s="8" t="s">
        <v>11087</v>
      </c>
      <c r="F779" s="8" t="s">
        <v>11432</v>
      </c>
    </row>
    <row r="780" customHeight="1" spans="1:6">
      <c r="A780" s="6">
        <v>779</v>
      </c>
      <c r="B780" s="8" t="s">
        <v>11392</v>
      </c>
      <c r="C780" s="8" t="s">
        <v>11402</v>
      </c>
      <c r="D780" s="8" t="s">
        <v>11394</v>
      </c>
      <c r="E780" s="8" t="s">
        <v>11087</v>
      </c>
      <c r="F780" s="8" t="s">
        <v>11432</v>
      </c>
    </row>
    <row r="781" customHeight="1" spans="1:6">
      <c r="A781" s="6">
        <v>780</v>
      </c>
      <c r="B781" s="8" t="s">
        <v>11416</v>
      </c>
      <c r="C781" s="8" t="s">
        <v>11417</v>
      </c>
      <c r="D781" s="8" t="s">
        <v>11418</v>
      </c>
      <c r="E781" s="8" t="s">
        <v>11087</v>
      </c>
      <c r="F781" s="8" t="s">
        <v>11433</v>
      </c>
    </row>
    <row r="782" customHeight="1" spans="1:6">
      <c r="A782" s="6">
        <v>781</v>
      </c>
      <c r="B782" s="8" t="s">
        <v>11416</v>
      </c>
      <c r="C782" s="8" t="s">
        <v>11417</v>
      </c>
      <c r="D782" s="8" t="s">
        <v>11418</v>
      </c>
      <c r="E782" s="8" t="s">
        <v>11087</v>
      </c>
      <c r="F782" s="8" t="s">
        <v>11433</v>
      </c>
    </row>
    <row r="783" customHeight="1" spans="1:6">
      <c r="A783" s="6">
        <v>782</v>
      </c>
      <c r="B783" s="8" t="s">
        <v>11416</v>
      </c>
      <c r="C783" s="8" t="s">
        <v>11420</v>
      </c>
      <c r="D783" s="8" t="s">
        <v>11418</v>
      </c>
      <c r="E783" s="8" t="s">
        <v>11087</v>
      </c>
      <c r="F783" s="8" t="s">
        <v>11434</v>
      </c>
    </row>
    <row r="784" customHeight="1" spans="1:6">
      <c r="A784" s="6">
        <v>783</v>
      </c>
      <c r="B784" s="8" t="s">
        <v>11416</v>
      </c>
      <c r="C784" s="8" t="s">
        <v>11420</v>
      </c>
      <c r="D784" s="8" t="s">
        <v>11418</v>
      </c>
      <c r="E784" s="8" t="s">
        <v>11087</v>
      </c>
      <c r="F784" s="8" t="s">
        <v>11434</v>
      </c>
    </row>
    <row r="785" customHeight="1" spans="1:6">
      <c r="A785" s="6">
        <v>784</v>
      </c>
      <c r="B785" s="8" t="s">
        <v>11416</v>
      </c>
      <c r="C785" s="8" t="s">
        <v>11422</v>
      </c>
      <c r="D785" s="8" t="s">
        <v>11418</v>
      </c>
      <c r="E785" s="8" t="s">
        <v>11087</v>
      </c>
      <c r="F785" s="8" t="s">
        <v>11435</v>
      </c>
    </row>
    <row r="786" customHeight="1" spans="1:6">
      <c r="A786" s="6">
        <v>785</v>
      </c>
      <c r="B786" s="8" t="s">
        <v>11416</v>
      </c>
      <c r="C786" s="8" t="s">
        <v>11422</v>
      </c>
      <c r="D786" s="8" t="s">
        <v>11418</v>
      </c>
      <c r="E786" s="8" t="s">
        <v>11087</v>
      </c>
      <c r="F786" s="8" t="s">
        <v>11435</v>
      </c>
    </row>
    <row r="787" customHeight="1" spans="1:6">
      <c r="A787" s="6">
        <v>786</v>
      </c>
      <c r="B787" s="8" t="s">
        <v>11416</v>
      </c>
      <c r="C787" s="8" t="s">
        <v>11424</v>
      </c>
      <c r="D787" s="8" t="s">
        <v>11418</v>
      </c>
      <c r="E787" s="8" t="s">
        <v>11087</v>
      </c>
      <c r="F787" s="8" t="s">
        <v>11436</v>
      </c>
    </row>
    <row r="788" customHeight="1" spans="1:6">
      <c r="A788" s="6">
        <v>787</v>
      </c>
      <c r="B788" s="8" t="s">
        <v>11416</v>
      </c>
      <c r="C788" s="8" t="s">
        <v>11424</v>
      </c>
      <c r="D788" s="8" t="s">
        <v>11418</v>
      </c>
      <c r="E788" s="8" t="s">
        <v>11087</v>
      </c>
      <c r="F788" s="8" t="s">
        <v>11436</v>
      </c>
    </row>
    <row r="789" customHeight="1" spans="1:6">
      <c r="A789" s="6">
        <v>788</v>
      </c>
      <c r="B789" s="8" t="s">
        <v>11416</v>
      </c>
      <c r="C789" s="8" t="s">
        <v>11426</v>
      </c>
      <c r="D789" s="8" t="s">
        <v>11418</v>
      </c>
      <c r="E789" s="8" t="s">
        <v>11087</v>
      </c>
      <c r="F789" s="8" t="s">
        <v>11437</v>
      </c>
    </row>
    <row r="790" customHeight="1" spans="1:6">
      <c r="A790" s="6">
        <v>789</v>
      </c>
      <c r="B790" s="8" t="s">
        <v>11416</v>
      </c>
      <c r="C790" s="8" t="s">
        <v>11426</v>
      </c>
      <c r="D790" s="8" t="s">
        <v>11418</v>
      </c>
      <c r="E790" s="8" t="s">
        <v>11087</v>
      </c>
      <c r="F790" s="8" t="s">
        <v>11437</v>
      </c>
    </row>
    <row r="791" customHeight="1" spans="1:6">
      <c r="A791" s="6">
        <v>790</v>
      </c>
      <c r="B791" s="8" t="s">
        <v>11438</v>
      </c>
      <c r="C791" s="8" t="s">
        <v>11439</v>
      </c>
      <c r="D791" s="8" t="s">
        <v>11440</v>
      </c>
      <c r="E791" s="8" t="s">
        <v>10819</v>
      </c>
      <c r="F791" s="8" t="s">
        <v>11441</v>
      </c>
    </row>
    <row r="792" customHeight="1" spans="1:6">
      <c r="A792" s="6">
        <v>791</v>
      </c>
      <c r="B792" s="8" t="s">
        <v>11438</v>
      </c>
      <c r="C792" s="8" t="s">
        <v>11439</v>
      </c>
      <c r="D792" s="8" t="s">
        <v>11440</v>
      </c>
      <c r="E792" s="8" t="s">
        <v>10819</v>
      </c>
      <c r="F792" s="8" t="s">
        <v>11441</v>
      </c>
    </row>
    <row r="793" customHeight="1" spans="1:6">
      <c r="A793" s="6">
        <v>792</v>
      </c>
      <c r="B793" s="8" t="s">
        <v>11442</v>
      </c>
      <c r="C793" s="8" t="s">
        <v>11443</v>
      </c>
      <c r="D793" s="8" t="s">
        <v>11444</v>
      </c>
      <c r="E793" s="8" t="s">
        <v>360</v>
      </c>
      <c r="F793" s="8" t="s">
        <v>11445</v>
      </c>
    </row>
    <row r="794" customHeight="1" spans="1:6">
      <c r="A794" s="6">
        <v>793</v>
      </c>
      <c r="B794" s="8" t="s">
        <v>11442</v>
      </c>
      <c r="C794" s="8" t="s">
        <v>11443</v>
      </c>
      <c r="D794" s="8" t="s">
        <v>11444</v>
      </c>
      <c r="E794" s="8" t="s">
        <v>360</v>
      </c>
      <c r="F794" s="8" t="s">
        <v>11445</v>
      </c>
    </row>
    <row r="795" customHeight="1" spans="1:6">
      <c r="A795" s="6">
        <v>794</v>
      </c>
      <c r="B795" s="7" t="str">
        <f>"978-7-5581-8927-2"</f>
        <v>978-7-5581-8927-2</v>
      </c>
      <c r="C795" s="7" t="str">
        <f>"小提琴演奏技巧与艺术赏析"</f>
        <v>小提琴演奏技巧与艺术赏析</v>
      </c>
      <c r="D795" s="7" t="str">
        <f>"徐莉娅， 陈殷豪著"</f>
        <v>徐莉娅， 陈殷豪著</v>
      </c>
      <c r="E795" s="7" t="str">
        <f>"吉林出版集团股份有限公司"</f>
        <v>吉林出版集团股份有限公司</v>
      </c>
      <c r="F795" s="7" t="str">
        <f>"J622.16/35"</f>
        <v>J622.16/35</v>
      </c>
    </row>
    <row r="796" customHeight="1" spans="1:6">
      <c r="A796" s="6">
        <v>795</v>
      </c>
      <c r="B796" s="7" t="str">
        <f>"978-7-5581-8927-2"</f>
        <v>978-7-5581-8927-2</v>
      </c>
      <c r="C796" s="7" t="str">
        <f>"小提琴演奏技巧与艺术赏析"</f>
        <v>小提琴演奏技巧与艺术赏析</v>
      </c>
      <c r="D796" s="7" t="str">
        <f>"徐莉娅， 陈殷豪著"</f>
        <v>徐莉娅， 陈殷豪著</v>
      </c>
      <c r="E796" s="7" t="str">
        <f>"吉林出版集团股份有限公司"</f>
        <v>吉林出版集团股份有限公司</v>
      </c>
      <c r="F796" s="7" t="str">
        <f>"J622.16/35"</f>
        <v>J622.16/35</v>
      </c>
    </row>
    <row r="797" customHeight="1" spans="1:6">
      <c r="A797" s="6">
        <v>796</v>
      </c>
      <c r="B797" s="8" t="s">
        <v>11446</v>
      </c>
      <c r="C797" s="8" t="s">
        <v>11447</v>
      </c>
      <c r="D797" s="8" t="s">
        <v>11448</v>
      </c>
      <c r="E797" s="8" t="s">
        <v>239</v>
      </c>
      <c r="F797" s="8" t="s">
        <v>11449</v>
      </c>
    </row>
    <row r="798" customHeight="1" spans="1:6">
      <c r="A798" s="6">
        <v>797</v>
      </c>
      <c r="B798" s="8" t="s">
        <v>11446</v>
      </c>
      <c r="C798" s="8" t="s">
        <v>11447</v>
      </c>
      <c r="D798" s="8" t="s">
        <v>11448</v>
      </c>
      <c r="E798" s="8" t="s">
        <v>239</v>
      </c>
      <c r="F798" s="8" t="s">
        <v>11449</v>
      </c>
    </row>
    <row r="799" customHeight="1" spans="1:6">
      <c r="A799" s="6">
        <v>798</v>
      </c>
      <c r="B799" s="8" t="s">
        <v>11450</v>
      </c>
      <c r="C799" s="8" t="s">
        <v>11451</v>
      </c>
      <c r="D799" s="8" t="s">
        <v>11452</v>
      </c>
      <c r="E799" s="8" t="s">
        <v>5000</v>
      </c>
      <c r="F799" s="8" t="s">
        <v>11453</v>
      </c>
    </row>
    <row r="800" customHeight="1" spans="1:6">
      <c r="A800" s="6">
        <v>799</v>
      </c>
      <c r="B800" s="8" t="s">
        <v>11450</v>
      </c>
      <c r="C800" s="8" t="s">
        <v>11451</v>
      </c>
      <c r="D800" s="8" t="s">
        <v>11452</v>
      </c>
      <c r="E800" s="8" t="s">
        <v>5000</v>
      </c>
      <c r="F800" s="8" t="s">
        <v>11453</v>
      </c>
    </row>
    <row r="801" customHeight="1" spans="1:6">
      <c r="A801" s="6">
        <v>800</v>
      </c>
      <c r="B801" s="8" t="s">
        <v>11454</v>
      </c>
      <c r="C801" s="8" t="s">
        <v>11455</v>
      </c>
      <c r="D801" s="8" t="s">
        <v>11456</v>
      </c>
      <c r="E801" s="8" t="s">
        <v>1667</v>
      </c>
      <c r="F801" s="8" t="s">
        <v>11457</v>
      </c>
    </row>
    <row r="802" customHeight="1" spans="1:6">
      <c r="A802" s="6">
        <v>801</v>
      </c>
      <c r="B802" s="8" t="s">
        <v>11454</v>
      </c>
      <c r="C802" s="8" t="s">
        <v>11455</v>
      </c>
      <c r="D802" s="8" t="s">
        <v>11456</v>
      </c>
      <c r="E802" s="8" t="s">
        <v>1667</v>
      </c>
      <c r="F802" s="8" t="s">
        <v>11457</v>
      </c>
    </row>
    <row r="803" customHeight="1" spans="1:6">
      <c r="A803" s="6">
        <v>802</v>
      </c>
      <c r="B803" s="8" t="s">
        <v>11458</v>
      </c>
      <c r="C803" s="8" t="s">
        <v>11459</v>
      </c>
      <c r="D803" s="8" t="s">
        <v>11460</v>
      </c>
      <c r="E803" s="8" t="s">
        <v>11087</v>
      </c>
      <c r="F803" s="8" t="s">
        <v>11461</v>
      </c>
    </row>
    <row r="804" customHeight="1" spans="1:6">
      <c r="A804" s="6">
        <v>803</v>
      </c>
      <c r="B804" s="8" t="s">
        <v>11458</v>
      </c>
      <c r="C804" s="8" t="s">
        <v>11459</v>
      </c>
      <c r="D804" s="8" t="s">
        <v>11460</v>
      </c>
      <c r="E804" s="8" t="s">
        <v>11087</v>
      </c>
      <c r="F804" s="8" t="s">
        <v>11461</v>
      </c>
    </row>
    <row r="805" customHeight="1" spans="1:6">
      <c r="A805" s="6">
        <v>804</v>
      </c>
      <c r="B805" s="8" t="s">
        <v>11462</v>
      </c>
      <c r="C805" s="8" t="s">
        <v>11463</v>
      </c>
      <c r="D805" s="8" t="s">
        <v>11460</v>
      </c>
      <c r="E805" s="8" t="s">
        <v>11087</v>
      </c>
      <c r="F805" s="8" t="s">
        <v>11464</v>
      </c>
    </row>
    <row r="806" customHeight="1" spans="1:6">
      <c r="A806" s="6">
        <v>805</v>
      </c>
      <c r="B806" s="8" t="s">
        <v>11462</v>
      </c>
      <c r="C806" s="8" t="s">
        <v>11463</v>
      </c>
      <c r="D806" s="8" t="s">
        <v>11460</v>
      </c>
      <c r="E806" s="8" t="s">
        <v>11087</v>
      </c>
      <c r="F806" s="8" t="s">
        <v>11464</v>
      </c>
    </row>
    <row r="807" customHeight="1" spans="1:6">
      <c r="A807" s="6">
        <v>806</v>
      </c>
      <c r="B807" s="8" t="s">
        <v>11458</v>
      </c>
      <c r="C807" s="8" t="s">
        <v>11459</v>
      </c>
      <c r="D807" s="8" t="s">
        <v>11460</v>
      </c>
      <c r="E807" s="8" t="s">
        <v>11087</v>
      </c>
      <c r="F807" s="8" t="s">
        <v>11465</v>
      </c>
    </row>
    <row r="808" customHeight="1" spans="1:6">
      <c r="A808" s="6">
        <v>807</v>
      </c>
      <c r="B808" s="8" t="s">
        <v>11458</v>
      </c>
      <c r="C808" s="8" t="s">
        <v>11459</v>
      </c>
      <c r="D808" s="8" t="s">
        <v>11460</v>
      </c>
      <c r="E808" s="8" t="s">
        <v>11087</v>
      </c>
      <c r="F808" s="8" t="s">
        <v>11465</v>
      </c>
    </row>
    <row r="809" customHeight="1" spans="1:6">
      <c r="A809" s="6">
        <v>808</v>
      </c>
      <c r="B809" s="8" t="s">
        <v>11462</v>
      </c>
      <c r="C809" s="8" t="s">
        <v>11463</v>
      </c>
      <c r="D809" s="8" t="s">
        <v>11460</v>
      </c>
      <c r="E809" s="8" t="s">
        <v>11087</v>
      </c>
      <c r="F809" s="8" t="s">
        <v>11466</v>
      </c>
    </row>
    <row r="810" customHeight="1" spans="1:6">
      <c r="A810" s="6">
        <v>809</v>
      </c>
      <c r="B810" s="8" t="s">
        <v>11462</v>
      </c>
      <c r="C810" s="8" t="s">
        <v>11463</v>
      </c>
      <c r="D810" s="8" t="s">
        <v>11460</v>
      </c>
      <c r="E810" s="8" t="s">
        <v>11087</v>
      </c>
      <c r="F810" s="8" t="s">
        <v>11466</v>
      </c>
    </row>
    <row r="811" customHeight="1" spans="1:6">
      <c r="A811" s="6">
        <v>810</v>
      </c>
      <c r="B811" s="8" t="s">
        <v>11467</v>
      </c>
      <c r="C811" s="8" t="s">
        <v>11468</v>
      </c>
      <c r="D811" s="8" t="s">
        <v>11469</v>
      </c>
      <c r="E811" s="8" t="s">
        <v>28</v>
      </c>
      <c r="F811" s="8" t="s">
        <v>11470</v>
      </c>
    </row>
    <row r="812" customHeight="1" spans="1:6">
      <c r="A812" s="6">
        <v>811</v>
      </c>
      <c r="B812" s="8" t="s">
        <v>11467</v>
      </c>
      <c r="C812" s="8" t="s">
        <v>11468</v>
      </c>
      <c r="D812" s="8" t="s">
        <v>11469</v>
      </c>
      <c r="E812" s="8" t="s">
        <v>28</v>
      </c>
      <c r="F812" s="8" t="s">
        <v>11470</v>
      </c>
    </row>
    <row r="813" customHeight="1" spans="1:6">
      <c r="A813" s="6">
        <v>812</v>
      </c>
      <c r="B813" s="8" t="s">
        <v>11471</v>
      </c>
      <c r="C813" s="8" t="s">
        <v>11472</v>
      </c>
      <c r="D813" s="8" t="s">
        <v>11473</v>
      </c>
      <c r="E813" s="8" t="s">
        <v>1818</v>
      </c>
      <c r="F813" s="8" t="s">
        <v>11474</v>
      </c>
    </row>
    <row r="814" customHeight="1" spans="1:6">
      <c r="A814" s="6">
        <v>813</v>
      </c>
      <c r="B814" s="8" t="s">
        <v>11471</v>
      </c>
      <c r="C814" s="8" t="s">
        <v>11472</v>
      </c>
      <c r="D814" s="8" t="s">
        <v>11473</v>
      </c>
      <c r="E814" s="8" t="s">
        <v>1818</v>
      </c>
      <c r="F814" s="8" t="s">
        <v>11474</v>
      </c>
    </row>
    <row r="815" customHeight="1" spans="1:6">
      <c r="A815" s="6">
        <v>814</v>
      </c>
      <c r="B815" s="8" t="s">
        <v>11475</v>
      </c>
      <c r="C815" s="8" t="s">
        <v>11476</v>
      </c>
      <c r="D815" s="8" t="s">
        <v>11477</v>
      </c>
      <c r="E815" s="8" t="s">
        <v>1189</v>
      </c>
      <c r="F815" s="8" t="s">
        <v>11478</v>
      </c>
    </row>
    <row r="816" customHeight="1" spans="1:6">
      <c r="A816" s="6">
        <v>815</v>
      </c>
      <c r="B816" s="8" t="s">
        <v>11475</v>
      </c>
      <c r="C816" s="8" t="s">
        <v>11476</v>
      </c>
      <c r="D816" s="8" t="s">
        <v>11477</v>
      </c>
      <c r="E816" s="8" t="s">
        <v>1189</v>
      </c>
      <c r="F816" s="8" t="s">
        <v>11478</v>
      </c>
    </row>
    <row r="817" customHeight="1" spans="1:6">
      <c r="A817" s="6">
        <v>816</v>
      </c>
      <c r="B817" s="8" t="s">
        <v>11479</v>
      </c>
      <c r="C817" s="8" t="s">
        <v>11480</v>
      </c>
      <c r="D817" s="8" t="s">
        <v>11481</v>
      </c>
      <c r="E817" s="8" t="s">
        <v>11482</v>
      </c>
      <c r="F817" s="8" t="s">
        <v>11483</v>
      </c>
    </row>
    <row r="818" customHeight="1" spans="1:6">
      <c r="A818" s="6">
        <v>817</v>
      </c>
      <c r="B818" s="8" t="s">
        <v>11479</v>
      </c>
      <c r="C818" s="8" t="s">
        <v>11480</v>
      </c>
      <c r="D818" s="8" t="s">
        <v>11481</v>
      </c>
      <c r="E818" s="8" t="s">
        <v>11482</v>
      </c>
      <c r="F818" s="8" t="s">
        <v>11483</v>
      </c>
    </row>
    <row r="819" customHeight="1" spans="1:6">
      <c r="A819" s="6">
        <v>818</v>
      </c>
      <c r="B819" s="8" t="s">
        <v>11484</v>
      </c>
      <c r="C819" s="8" t="s">
        <v>11485</v>
      </c>
      <c r="D819" s="8" t="s">
        <v>11486</v>
      </c>
      <c r="E819" s="8" t="s">
        <v>350</v>
      </c>
      <c r="F819" s="8" t="s">
        <v>11487</v>
      </c>
    </row>
    <row r="820" customHeight="1" spans="1:6">
      <c r="A820" s="6">
        <v>819</v>
      </c>
      <c r="B820" s="8" t="s">
        <v>11484</v>
      </c>
      <c r="C820" s="8" t="s">
        <v>11485</v>
      </c>
      <c r="D820" s="8" t="s">
        <v>11486</v>
      </c>
      <c r="E820" s="8" t="s">
        <v>350</v>
      </c>
      <c r="F820" s="8" t="s">
        <v>11487</v>
      </c>
    </row>
    <row r="821" customHeight="1" spans="1:6">
      <c r="A821" s="6">
        <v>820</v>
      </c>
      <c r="B821" s="8" t="s">
        <v>11488</v>
      </c>
      <c r="C821" s="8" t="s">
        <v>11489</v>
      </c>
      <c r="D821" s="8" t="s">
        <v>11490</v>
      </c>
      <c r="E821" s="8" t="s">
        <v>10221</v>
      </c>
      <c r="F821" s="8" t="s">
        <v>11491</v>
      </c>
    </row>
    <row r="822" customHeight="1" spans="1:6">
      <c r="A822" s="6">
        <v>821</v>
      </c>
      <c r="B822" s="8" t="s">
        <v>11488</v>
      </c>
      <c r="C822" s="8" t="s">
        <v>11489</v>
      </c>
      <c r="D822" s="8" t="s">
        <v>11490</v>
      </c>
      <c r="E822" s="8" t="s">
        <v>10221</v>
      </c>
      <c r="F822" s="8" t="s">
        <v>11491</v>
      </c>
    </row>
    <row r="823" customHeight="1" spans="1:6">
      <c r="A823" s="6">
        <v>822</v>
      </c>
      <c r="B823" s="8" t="s">
        <v>11492</v>
      </c>
      <c r="C823" s="8" t="s">
        <v>11493</v>
      </c>
      <c r="D823" s="8" t="s">
        <v>11494</v>
      </c>
      <c r="E823" s="8" t="s">
        <v>899</v>
      </c>
      <c r="F823" s="8" t="s">
        <v>11495</v>
      </c>
    </row>
    <row r="824" customHeight="1" spans="1:6">
      <c r="A824" s="6">
        <v>823</v>
      </c>
      <c r="B824" s="8" t="s">
        <v>11492</v>
      </c>
      <c r="C824" s="8" t="s">
        <v>11493</v>
      </c>
      <c r="D824" s="8" t="s">
        <v>11494</v>
      </c>
      <c r="E824" s="8" t="s">
        <v>899</v>
      </c>
      <c r="F824" s="8" t="s">
        <v>11495</v>
      </c>
    </row>
    <row r="825" customHeight="1" spans="1:6">
      <c r="A825" s="6">
        <v>824</v>
      </c>
      <c r="B825" s="8" t="s">
        <v>11496</v>
      </c>
      <c r="C825" s="8" t="s">
        <v>11497</v>
      </c>
      <c r="D825" s="8" t="s">
        <v>11498</v>
      </c>
      <c r="E825" s="8" t="s">
        <v>10196</v>
      </c>
      <c r="F825" s="8" t="s">
        <v>11499</v>
      </c>
    </row>
    <row r="826" customHeight="1" spans="1:6">
      <c r="A826" s="6">
        <v>825</v>
      </c>
      <c r="B826" s="8" t="s">
        <v>11496</v>
      </c>
      <c r="C826" s="8" t="s">
        <v>11497</v>
      </c>
      <c r="D826" s="8" t="s">
        <v>11498</v>
      </c>
      <c r="E826" s="8" t="s">
        <v>10196</v>
      </c>
      <c r="F826" s="8" t="s">
        <v>11499</v>
      </c>
    </row>
    <row r="827" customHeight="1" spans="1:6">
      <c r="A827" s="6">
        <v>826</v>
      </c>
      <c r="B827" s="8" t="s">
        <v>11500</v>
      </c>
      <c r="C827" s="8" t="s">
        <v>11501</v>
      </c>
      <c r="D827" s="8" t="s">
        <v>11502</v>
      </c>
      <c r="E827" s="8" t="s">
        <v>10196</v>
      </c>
      <c r="F827" s="8" t="s">
        <v>11503</v>
      </c>
    </row>
    <row r="828" customHeight="1" spans="1:6">
      <c r="A828" s="6">
        <v>827</v>
      </c>
      <c r="B828" s="8" t="s">
        <v>11500</v>
      </c>
      <c r="C828" s="8" t="s">
        <v>11501</v>
      </c>
      <c r="D828" s="8" t="s">
        <v>11502</v>
      </c>
      <c r="E828" s="8" t="s">
        <v>10196</v>
      </c>
      <c r="F828" s="8" t="s">
        <v>11503</v>
      </c>
    </row>
    <row r="829" customHeight="1" spans="1:6">
      <c r="A829" s="6">
        <v>828</v>
      </c>
      <c r="B829" s="8" t="s">
        <v>11504</v>
      </c>
      <c r="C829" s="8" t="s">
        <v>11505</v>
      </c>
      <c r="D829" s="8" t="s">
        <v>11506</v>
      </c>
      <c r="E829" s="8" t="s">
        <v>10196</v>
      </c>
      <c r="F829" s="8" t="s">
        <v>11507</v>
      </c>
    </row>
    <row r="830" customHeight="1" spans="1:6">
      <c r="A830" s="6">
        <v>829</v>
      </c>
      <c r="B830" s="8" t="s">
        <v>11504</v>
      </c>
      <c r="C830" s="8" t="s">
        <v>11505</v>
      </c>
      <c r="D830" s="8" t="s">
        <v>11506</v>
      </c>
      <c r="E830" s="8" t="s">
        <v>10196</v>
      </c>
      <c r="F830" s="8" t="s">
        <v>11507</v>
      </c>
    </row>
    <row r="831" customHeight="1" spans="1:6">
      <c r="A831" s="6">
        <v>830</v>
      </c>
      <c r="B831" s="8" t="s">
        <v>11508</v>
      </c>
      <c r="C831" s="8" t="s">
        <v>11509</v>
      </c>
      <c r="D831" s="8" t="s">
        <v>11510</v>
      </c>
      <c r="E831" s="8" t="s">
        <v>744</v>
      </c>
      <c r="F831" s="8" t="s">
        <v>11511</v>
      </c>
    </row>
    <row r="832" customHeight="1" spans="1:6">
      <c r="A832" s="6">
        <v>831</v>
      </c>
      <c r="B832" s="8" t="s">
        <v>11508</v>
      </c>
      <c r="C832" s="8" t="s">
        <v>11509</v>
      </c>
      <c r="D832" s="8" t="s">
        <v>11510</v>
      </c>
      <c r="E832" s="8" t="s">
        <v>744</v>
      </c>
      <c r="F832" s="8" t="s">
        <v>11511</v>
      </c>
    </row>
    <row r="833" customHeight="1" spans="1:6">
      <c r="A833" s="6">
        <v>832</v>
      </c>
      <c r="B833" s="8" t="s">
        <v>11512</v>
      </c>
      <c r="C833" s="8" t="s">
        <v>11513</v>
      </c>
      <c r="D833" s="8" t="s">
        <v>11514</v>
      </c>
      <c r="E833" s="8" t="s">
        <v>10985</v>
      </c>
      <c r="F833" s="8" t="s">
        <v>11515</v>
      </c>
    </row>
    <row r="834" customHeight="1" spans="1:6">
      <c r="A834" s="6">
        <v>833</v>
      </c>
      <c r="B834" s="8" t="s">
        <v>11512</v>
      </c>
      <c r="C834" s="8" t="s">
        <v>11513</v>
      </c>
      <c r="D834" s="8" t="s">
        <v>11514</v>
      </c>
      <c r="E834" s="8" t="s">
        <v>10985</v>
      </c>
      <c r="F834" s="8" t="s">
        <v>11515</v>
      </c>
    </row>
    <row r="835" customHeight="1" spans="1:6">
      <c r="A835" s="6">
        <v>834</v>
      </c>
      <c r="B835" s="7" t="str">
        <f>"978-7-5581-8926-5"</f>
        <v>978-7-5581-8926-5</v>
      </c>
      <c r="C835" s="7" t="str">
        <f>"钢琴演奏技巧与艺术鉴赏"</f>
        <v>钢琴演奏技巧与艺术鉴赏</v>
      </c>
      <c r="D835" s="7" t="str">
        <f>"胥洋著"</f>
        <v>胥洋著</v>
      </c>
      <c r="E835" s="7" t="str">
        <f>"吉林出版集团股份有限公司"</f>
        <v>吉林出版集团股份有限公司</v>
      </c>
      <c r="F835" s="7" t="str">
        <f>"J624.16/265"</f>
        <v>J624.16/265</v>
      </c>
    </row>
    <row r="836" customHeight="1" spans="1:6">
      <c r="A836" s="6">
        <v>835</v>
      </c>
      <c r="B836" s="7" t="str">
        <f>"978-7-5581-8926-5"</f>
        <v>978-7-5581-8926-5</v>
      </c>
      <c r="C836" s="7" t="str">
        <f>"钢琴演奏技巧与艺术鉴赏"</f>
        <v>钢琴演奏技巧与艺术鉴赏</v>
      </c>
      <c r="D836" s="7" t="str">
        <f>"胥洋著"</f>
        <v>胥洋著</v>
      </c>
      <c r="E836" s="7" t="str">
        <f>"吉林出版集团股份有限公司"</f>
        <v>吉林出版集团股份有限公司</v>
      </c>
      <c r="F836" s="7" t="str">
        <f>"J624.16/265"</f>
        <v>J624.16/265</v>
      </c>
    </row>
    <row r="837" customHeight="1" spans="1:6">
      <c r="A837" s="6">
        <v>836</v>
      </c>
      <c r="B837" s="8" t="s">
        <v>11516</v>
      </c>
      <c r="C837" s="8" t="s">
        <v>11517</v>
      </c>
      <c r="D837" s="8" t="s">
        <v>5227</v>
      </c>
      <c r="E837" s="8" t="s">
        <v>8325</v>
      </c>
      <c r="F837" s="8" t="s">
        <v>11518</v>
      </c>
    </row>
    <row r="838" customHeight="1" spans="1:6">
      <c r="A838" s="6">
        <v>837</v>
      </c>
      <c r="B838" s="8" t="s">
        <v>11516</v>
      </c>
      <c r="C838" s="8" t="s">
        <v>11517</v>
      </c>
      <c r="D838" s="8" t="s">
        <v>5227</v>
      </c>
      <c r="E838" s="8" t="s">
        <v>8325</v>
      </c>
      <c r="F838" s="8" t="s">
        <v>11518</v>
      </c>
    </row>
    <row r="839" customHeight="1" spans="1:6">
      <c r="A839" s="6">
        <v>838</v>
      </c>
      <c r="B839" s="8" t="s">
        <v>11519</v>
      </c>
      <c r="C839" s="8" t="s">
        <v>11520</v>
      </c>
      <c r="D839" s="8" t="s">
        <v>11521</v>
      </c>
      <c r="E839" s="8" t="s">
        <v>1189</v>
      </c>
      <c r="F839" s="8" t="s">
        <v>11522</v>
      </c>
    </row>
    <row r="840" customHeight="1" spans="1:6">
      <c r="A840" s="6">
        <v>839</v>
      </c>
      <c r="B840" s="8" t="s">
        <v>11519</v>
      </c>
      <c r="C840" s="8" t="s">
        <v>11520</v>
      </c>
      <c r="D840" s="8" t="s">
        <v>11521</v>
      </c>
      <c r="E840" s="8" t="s">
        <v>1189</v>
      </c>
      <c r="F840" s="8" t="s">
        <v>11522</v>
      </c>
    </row>
    <row r="841" customHeight="1" spans="1:6">
      <c r="A841" s="6">
        <v>840</v>
      </c>
      <c r="B841" s="8" t="s">
        <v>11523</v>
      </c>
      <c r="C841" s="8" t="s">
        <v>11524</v>
      </c>
      <c r="D841" s="8" t="s">
        <v>11525</v>
      </c>
      <c r="E841" s="8" t="s">
        <v>1189</v>
      </c>
      <c r="F841" s="8" t="s">
        <v>11526</v>
      </c>
    </row>
    <row r="842" customHeight="1" spans="1:6">
      <c r="A842" s="6">
        <v>841</v>
      </c>
      <c r="B842" s="8" t="s">
        <v>11523</v>
      </c>
      <c r="C842" s="8" t="s">
        <v>11524</v>
      </c>
      <c r="D842" s="8" t="s">
        <v>11525</v>
      </c>
      <c r="E842" s="8" t="s">
        <v>1189</v>
      </c>
      <c r="F842" s="8" t="s">
        <v>11526</v>
      </c>
    </row>
    <row r="843" customHeight="1" spans="1:6">
      <c r="A843" s="6">
        <v>842</v>
      </c>
      <c r="B843" s="8" t="s">
        <v>11527</v>
      </c>
      <c r="C843" s="8" t="s">
        <v>11528</v>
      </c>
      <c r="D843" s="8" t="s">
        <v>11529</v>
      </c>
      <c r="E843" s="8" t="s">
        <v>1189</v>
      </c>
      <c r="F843" s="8" t="s">
        <v>11530</v>
      </c>
    </row>
    <row r="844" customHeight="1" spans="1:6">
      <c r="A844" s="6">
        <v>843</v>
      </c>
      <c r="B844" s="8" t="s">
        <v>11527</v>
      </c>
      <c r="C844" s="8" t="s">
        <v>11528</v>
      </c>
      <c r="D844" s="8" t="s">
        <v>11529</v>
      </c>
      <c r="E844" s="8" t="s">
        <v>1189</v>
      </c>
      <c r="F844" s="8" t="s">
        <v>11530</v>
      </c>
    </row>
    <row r="845" customHeight="1" spans="1:6">
      <c r="A845" s="6">
        <v>844</v>
      </c>
      <c r="B845" s="8" t="s">
        <v>11531</v>
      </c>
      <c r="C845" s="8" t="s">
        <v>11532</v>
      </c>
      <c r="D845" s="8" t="s">
        <v>11533</v>
      </c>
      <c r="E845" s="8" t="s">
        <v>10196</v>
      </c>
      <c r="F845" s="8" t="s">
        <v>11534</v>
      </c>
    </row>
    <row r="846" customHeight="1" spans="1:6">
      <c r="A846" s="6">
        <v>845</v>
      </c>
      <c r="B846" s="8" t="s">
        <v>11531</v>
      </c>
      <c r="C846" s="8" t="s">
        <v>11532</v>
      </c>
      <c r="D846" s="8" t="s">
        <v>11533</v>
      </c>
      <c r="E846" s="8" t="s">
        <v>10196</v>
      </c>
      <c r="F846" s="8" t="s">
        <v>11534</v>
      </c>
    </row>
    <row r="847" customHeight="1" spans="1:6">
      <c r="A847" s="6">
        <v>846</v>
      </c>
      <c r="B847" s="8" t="s">
        <v>11535</v>
      </c>
      <c r="C847" s="8" t="s">
        <v>11536</v>
      </c>
      <c r="D847" s="8" t="s">
        <v>1848</v>
      </c>
      <c r="E847" s="8" t="s">
        <v>1189</v>
      </c>
      <c r="F847" s="8" t="s">
        <v>11537</v>
      </c>
    </row>
    <row r="848" customHeight="1" spans="1:6">
      <c r="A848" s="6">
        <v>847</v>
      </c>
      <c r="B848" s="8" t="s">
        <v>11535</v>
      </c>
      <c r="C848" s="8" t="s">
        <v>11536</v>
      </c>
      <c r="D848" s="8" t="s">
        <v>1848</v>
      </c>
      <c r="E848" s="8" t="s">
        <v>1189</v>
      </c>
      <c r="F848" s="8" t="s">
        <v>11537</v>
      </c>
    </row>
    <row r="849" customHeight="1" spans="1:6">
      <c r="A849" s="6">
        <v>848</v>
      </c>
      <c r="B849" s="8" t="s">
        <v>11538</v>
      </c>
      <c r="C849" s="8" t="s">
        <v>11539</v>
      </c>
      <c r="D849" s="8" t="s">
        <v>11540</v>
      </c>
      <c r="E849" s="8" t="s">
        <v>1189</v>
      </c>
      <c r="F849" s="8" t="s">
        <v>11541</v>
      </c>
    </row>
    <row r="850" customHeight="1" spans="1:6">
      <c r="A850" s="6">
        <v>849</v>
      </c>
      <c r="B850" s="8" t="s">
        <v>11538</v>
      </c>
      <c r="C850" s="8" t="s">
        <v>11539</v>
      </c>
      <c r="D850" s="8" t="s">
        <v>11540</v>
      </c>
      <c r="E850" s="8" t="s">
        <v>1189</v>
      </c>
      <c r="F850" s="8" t="s">
        <v>11541</v>
      </c>
    </row>
    <row r="851" customHeight="1" spans="1:6">
      <c r="A851" s="6">
        <v>850</v>
      </c>
      <c r="B851" s="8" t="s">
        <v>11542</v>
      </c>
      <c r="C851" s="8" t="s">
        <v>11543</v>
      </c>
      <c r="D851" s="8" t="s">
        <v>11544</v>
      </c>
      <c r="E851" s="8" t="s">
        <v>10196</v>
      </c>
      <c r="F851" s="8" t="s">
        <v>11545</v>
      </c>
    </row>
    <row r="852" customHeight="1" spans="1:6">
      <c r="A852" s="6">
        <v>851</v>
      </c>
      <c r="B852" s="8" t="s">
        <v>11542</v>
      </c>
      <c r="C852" s="8" t="s">
        <v>11543</v>
      </c>
      <c r="D852" s="8" t="s">
        <v>11544</v>
      </c>
      <c r="E852" s="8" t="s">
        <v>10196</v>
      </c>
      <c r="F852" s="8" t="s">
        <v>11545</v>
      </c>
    </row>
    <row r="853" customHeight="1" spans="1:6">
      <c r="A853" s="6">
        <v>852</v>
      </c>
      <c r="B853" s="8" t="s">
        <v>11546</v>
      </c>
      <c r="C853" s="8" t="s">
        <v>11547</v>
      </c>
      <c r="D853" s="8" t="s">
        <v>11548</v>
      </c>
      <c r="E853" s="8" t="s">
        <v>10196</v>
      </c>
      <c r="F853" s="8" t="s">
        <v>11549</v>
      </c>
    </row>
    <row r="854" customHeight="1" spans="1:6">
      <c r="A854" s="6">
        <v>853</v>
      </c>
      <c r="B854" s="8" t="s">
        <v>11546</v>
      </c>
      <c r="C854" s="8" t="s">
        <v>11547</v>
      </c>
      <c r="D854" s="8" t="s">
        <v>11548</v>
      </c>
      <c r="E854" s="8" t="s">
        <v>10196</v>
      </c>
      <c r="F854" s="8" t="s">
        <v>11549</v>
      </c>
    </row>
    <row r="855" customHeight="1" spans="1:6">
      <c r="A855" s="6">
        <v>854</v>
      </c>
      <c r="B855" s="8" t="s">
        <v>11550</v>
      </c>
      <c r="C855" s="8" t="s">
        <v>11551</v>
      </c>
      <c r="D855" s="8" t="s">
        <v>11552</v>
      </c>
      <c r="E855" s="8" t="s">
        <v>1189</v>
      </c>
      <c r="F855" s="8" t="s">
        <v>11553</v>
      </c>
    </row>
    <row r="856" customHeight="1" spans="1:6">
      <c r="A856" s="6">
        <v>855</v>
      </c>
      <c r="B856" s="8" t="s">
        <v>11550</v>
      </c>
      <c r="C856" s="8" t="s">
        <v>11551</v>
      </c>
      <c r="D856" s="8" t="s">
        <v>11552</v>
      </c>
      <c r="E856" s="8" t="s">
        <v>1189</v>
      </c>
      <c r="F856" s="8" t="s">
        <v>11553</v>
      </c>
    </row>
    <row r="857" customHeight="1" spans="1:6">
      <c r="A857" s="6">
        <v>856</v>
      </c>
      <c r="B857" s="8" t="s">
        <v>11554</v>
      </c>
      <c r="C857" s="8" t="s">
        <v>11555</v>
      </c>
      <c r="D857" s="8" t="s">
        <v>1848</v>
      </c>
      <c r="E857" s="8" t="s">
        <v>11556</v>
      </c>
      <c r="F857" s="8" t="s">
        <v>11557</v>
      </c>
    </row>
    <row r="858" customHeight="1" spans="1:6">
      <c r="A858" s="6">
        <v>857</v>
      </c>
      <c r="B858" s="8" t="s">
        <v>11554</v>
      </c>
      <c r="C858" s="8" t="s">
        <v>11555</v>
      </c>
      <c r="D858" s="8" t="s">
        <v>1848</v>
      </c>
      <c r="E858" s="8" t="s">
        <v>11556</v>
      </c>
      <c r="F858" s="8" t="s">
        <v>11557</v>
      </c>
    </row>
    <row r="859" customHeight="1" spans="1:6">
      <c r="A859" s="6">
        <v>858</v>
      </c>
      <c r="B859" s="8" t="s">
        <v>11558</v>
      </c>
      <c r="C859" s="8" t="s">
        <v>11559</v>
      </c>
      <c r="D859" s="8" t="s">
        <v>11560</v>
      </c>
      <c r="E859" s="8" t="s">
        <v>10814</v>
      </c>
      <c r="F859" s="8" t="s">
        <v>11561</v>
      </c>
    </row>
    <row r="860" customHeight="1" spans="1:6">
      <c r="A860" s="6">
        <v>859</v>
      </c>
      <c r="B860" s="8" t="s">
        <v>11558</v>
      </c>
      <c r="C860" s="8" t="s">
        <v>11559</v>
      </c>
      <c r="D860" s="8" t="s">
        <v>11560</v>
      </c>
      <c r="E860" s="8" t="s">
        <v>10814</v>
      </c>
      <c r="F860" s="8" t="s">
        <v>11561</v>
      </c>
    </row>
    <row r="861" customHeight="1" spans="1:6">
      <c r="A861" s="6">
        <v>860</v>
      </c>
      <c r="B861" s="8" t="s">
        <v>11562</v>
      </c>
      <c r="C861" s="8" t="s">
        <v>11563</v>
      </c>
      <c r="D861" s="8" t="s">
        <v>11564</v>
      </c>
      <c r="E861" s="8" t="s">
        <v>1667</v>
      </c>
      <c r="F861" s="8" t="s">
        <v>11565</v>
      </c>
    </row>
    <row r="862" customHeight="1" spans="1:6">
      <c r="A862" s="6">
        <v>861</v>
      </c>
      <c r="B862" s="8" t="s">
        <v>11562</v>
      </c>
      <c r="C862" s="8" t="s">
        <v>11563</v>
      </c>
      <c r="D862" s="8" t="s">
        <v>11564</v>
      </c>
      <c r="E862" s="8" t="s">
        <v>1667</v>
      </c>
      <c r="F862" s="8" t="s">
        <v>11565</v>
      </c>
    </row>
    <row r="863" customHeight="1" spans="1:6">
      <c r="A863" s="6">
        <v>862</v>
      </c>
      <c r="B863" s="8" t="s">
        <v>11566</v>
      </c>
      <c r="C863" s="8" t="s">
        <v>11567</v>
      </c>
      <c r="D863" s="8" t="s">
        <v>11568</v>
      </c>
      <c r="E863" s="8" t="s">
        <v>365</v>
      </c>
      <c r="F863" s="8" t="s">
        <v>11569</v>
      </c>
    </row>
    <row r="864" customHeight="1" spans="1:6">
      <c r="A864" s="6">
        <v>863</v>
      </c>
      <c r="B864" s="8" t="s">
        <v>11566</v>
      </c>
      <c r="C864" s="8" t="s">
        <v>11567</v>
      </c>
      <c r="D864" s="8" t="s">
        <v>11568</v>
      </c>
      <c r="E864" s="8" t="s">
        <v>365</v>
      </c>
      <c r="F864" s="8" t="s">
        <v>11569</v>
      </c>
    </row>
    <row r="865" customHeight="1" spans="1:6">
      <c r="A865" s="6">
        <v>864</v>
      </c>
      <c r="B865" s="8" t="s">
        <v>11570</v>
      </c>
      <c r="C865" s="8" t="s">
        <v>11571</v>
      </c>
      <c r="D865" s="8" t="s">
        <v>11572</v>
      </c>
      <c r="E865" s="8" t="s">
        <v>10819</v>
      </c>
      <c r="F865" s="8" t="s">
        <v>11573</v>
      </c>
    </row>
    <row r="866" customHeight="1" spans="1:6">
      <c r="A866" s="6">
        <v>865</v>
      </c>
      <c r="B866" s="8" t="s">
        <v>11570</v>
      </c>
      <c r="C866" s="8" t="s">
        <v>11571</v>
      </c>
      <c r="D866" s="8" t="s">
        <v>11572</v>
      </c>
      <c r="E866" s="8" t="s">
        <v>10819</v>
      </c>
      <c r="F866" s="8" t="s">
        <v>11573</v>
      </c>
    </row>
    <row r="867" customHeight="1" spans="1:6">
      <c r="A867" s="6">
        <v>866</v>
      </c>
      <c r="B867" s="8" t="s">
        <v>11574</v>
      </c>
      <c r="C867" s="8" t="s">
        <v>11575</v>
      </c>
      <c r="D867" s="8" t="s">
        <v>11576</v>
      </c>
      <c r="E867" s="8" t="s">
        <v>701</v>
      </c>
      <c r="F867" s="8" t="s">
        <v>11577</v>
      </c>
    </row>
    <row r="868" customHeight="1" spans="1:6">
      <c r="A868" s="6">
        <v>867</v>
      </c>
      <c r="B868" s="8" t="s">
        <v>11574</v>
      </c>
      <c r="C868" s="8" t="s">
        <v>11575</v>
      </c>
      <c r="D868" s="8" t="s">
        <v>11576</v>
      </c>
      <c r="E868" s="8" t="s">
        <v>701</v>
      </c>
      <c r="F868" s="8" t="s">
        <v>11577</v>
      </c>
    </row>
    <row r="869" customHeight="1" spans="1:6">
      <c r="A869" s="6">
        <v>868</v>
      </c>
      <c r="B869" s="8" t="s">
        <v>11578</v>
      </c>
      <c r="C869" s="8" t="s">
        <v>11579</v>
      </c>
      <c r="D869" s="8" t="s">
        <v>11580</v>
      </c>
      <c r="E869" s="8" t="s">
        <v>1818</v>
      </c>
      <c r="F869" s="8" t="s">
        <v>11581</v>
      </c>
    </row>
    <row r="870" customHeight="1" spans="1:6">
      <c r="A870" s="6">
        <v>869</v>
      </c>
      <c r="B870" s="8" t="s">
        <v>11578</v>
      </c>
      <c r="C870" s="8" t="s">
        <v>11579</v>
      </c>
      <c r="D870" s="8" t="s">
        <v>11580</v>
      </c>
      <c r="E870" s="8" t="s">
        <v>1818</v>
      </c>
      <c r="F870" s="8" t="s">
        <v>11581</v>
      </c>
    </row>
    <row r="871" customHeight="1" spans="1:6">
      <c r="A871" s="6">
        <v>870</v>
      </c>
      <c r="B871" s="8" t="s">
        <v>11582</v>
      </c>
      <c r="C871" s="8" t="s">
        <v>11583</v>
      </c>
      <c r="D871" s="8" t="s">
        <v>11584</v>
      </c>
      <c r="E871" s="8" t="s">
        <v>360</v>
      </c>
      <c r="F871" s="8" t="s">
        <v>11585</v>
      </c>
    </row>
    <row r="872" customHeight="1" spans="1:6">
      <c r="A872" s="6">
        <v>871</v>
      </c>
      <c r="B872" s="8" t="s">
        <v>11582</v>
      </c>
      <c r="C872" s="8" t="s">
        <v>11583</v>
      </c>
      <c r="D872" s="8" t="s">
        <v>11584</v>
      </c>
      <c r="E872" s="8" t="s">
        <v>360</v>
      </c>
      <c r="F872" s="8" t="s">
        <v>11585</v>
      </c>
    </row>
    <row r="873" customHeight="1" spans="1:6">
      <c r="A873" s="6">
        <v>872</v>
      </c>
      <c r="B873" s="8" t="s">
        <v>11586</v>
      </c>
      <c r="C873" s="8" t="s">
        <v>11587</v>
      </c>
      <c r="D873" s="8" t="s">
        <v>11588</v>
      </c>
      <c r="E873" s="8" t="s">
        <v>1617</v>
      </c>
      <c r="F873" s="8" t="s">
        <v>11589</v>
      </c>
    </row>
    <row r="874" customHeight="1" spans="1:6">
      <c r="A874" s="6">
        <v>873</v>
      </c>
      <c r="B874" s="8" t="s">
        <v>11586</v>
      </c>
      <c r="C874" s="8" t="s">
        <v>11587</v>
      </c>
      <c r="D874" s="8" t="s">
        <v>11588</v>
      </c>
      <c r="E874" s="8" t="s">
        <v>1617</v>
      </c>
      <c r="F874" s="8" t="s">
        <v>11589</v>
      </c>
    </row>
    <row r="875" customHeight="1" spans="1:6">
      <c r="A875" s="6">
        <v>874</v>
      </c>
      <c r="B875" s="8" t="s">
        <v>11590</v>
      </c>
      <c r="C875" s="8" t="s">
        <v>11591</v>
      </c>
      <c r="D875" s="8" t="s">
        <v>11592</v>
      </c>
      <c r="E875" s="8" t="s">
        <v>1189</v>
      </c>
      <c r="F875" s="8" t="s">
        <v>11593</v>
      </c>
    </row>
    <row r="876" customHeight="1" spans="1:6">
      <c r="A876" s="6">
        <v>875</v>
      </c>
      <c r="B876" s="8" t="s">
        <v>11590</v>
      </c>
      <c r="C876" s="8" t="s">
        <v>11591</v>
      </c>
      <c r="D876" s="8" t="s">
        <v>11592</v>
      </c>
      <c r="E876" s="8" t="s">
        <v>1189</v>
      </c>
      <c r="F876" s="8" t="s">
        <v>11593</v>
      </c>
    </row>
    <row r="877" customHeight="1" spans="1:6">
      <c r="A877" s="6">
        <v>876</v>
      </c>
      <c r="B877" s="8" t="s">
        <v>11594</v>
      </c>
      <c r="C877" s="8" t="s">
        <v>11595</v>
      </c>
      <c r="D877" s="8" t="s">
        <v>11596</v>
      </c>
      <c r="E877" s="8" t="s">
        <v>340</v>
      </c>
      <c r="F877" s="8" t="s">
        <v>11597</v>
      </c>
    </row>
    <row r="878" customHeight="1" spans="1:6">
      <c r="A878" s="6">
        <v>877</v>
      </c>
      <c r="B878" s="8" t="s">
        <v>11594</v>
      </c>
      <c r="C878" s="8" t="s">
        <v>11595</v>
      </c>
      <c r="D878" s="8" t="s">
        <v>11596</v>
      </c>
      <c r="E878" s="8" t="s">
        <v>340</v>
      </c>
      <c r="F878" s="8" t="s">
        <v>11597</v>
      </c>
    </row>
    <row r="879" customHeight="1" spans="1:6">
      <c r="A879" s="6">
        <v>878</v>
      </c>
      <c r="B879" s="8" t="s">
        <v>11598</v>
      </c>
      <c r="C879" s="8" t="s">
        <v>11599</v>
      </c>
      <c r="D879" s="8" t="s">
        <v>11600</v>
      </c>
      <c r="E879" s="8" t="s">
        <v>239</v>
      </c>
      <c r="F879" s="8" t="s">
        <v>11601</v>
      </c>
    </row>
    <row r="880" customHeight="1" spans="1:6">
      <c r="A880" s="6">
        <v>879</v>
      </c>
      <c r="B880" s="8" t="s">
        <v>11598</v>
      </c>
      <c r="C880" s="8" t="s">
        <v>11599</v>
      </c>
      <c r="D880" s="8" t="s">
        <v>11600</v>
      </c>
      <c r="E880" s="8" t="s">
        <v>239</v>
      </c>
      <c r="F880" s="8" t="s">
        <v>11601</v>
      </c>
    </row>
    <row r="881" customHeight="1" spans="1:6">
      <c r="A881" s="6">
        <v>880</v>
      </c>
      <c r="B881" s="8" t="s">
        <v>11602</v>
      </c>
      <c r="C881" s="8" t="s">
        <v>11603</v>
      </c>
      <c r="D881" s="8" t="s">
        <v>11604</v>
      </c>
      <c r="E881" s="8" t="s">
        <v>10196</v>
      </c>
      <c r="F881" s="8" t="s">
        <v>11605</v>
      </c>
    </row>
    <row r="882" customHeight="1" spans="1:6">
      <c r="A882" s="6">
        <v>881</v>
      </c>
      <c r="B882" s="8" t="s">
        <v>11602</v>
      </c>
      <c r="C882" s="8" t="s">
        <v>11603</v>
      </c>
      <c r="D882" s="8" t="s">
        <v>11604</v>
      </c>
      <c r="E882" s="8" t="s">
        <v>10196</v>
      </c>
      <c r="F882" s="8" t="s">
        <v>11605</v>
      </c>
    </row>
    <row r="883" customHeight="1" spans="1:6">
      <c r="A883" s="6">
        <v>882</v>
      </c>
      <c r="B883" s="8" t="s">
        <v>11606</v>
      </c>
      <c r="C883" s="8" t="s">
        <v>11607</v>
      </c>
      <c r="D883" s="8" t="s">
        <v>11608</v>
      </c>
      <c r="E883" s="8" t="s">
        <v>3180</v>
      </c>
      <c r="F883" s="8" t="s">
        <v>11609</v>
      </c>
    </row>
    <row r="884" customHeight="1" spans="1:6">
      <c r="A884" s="6">
        <v>883</v>
      </c>
      <c r="B884" s="8" t="s">
        <v>11606</v>
      </c>
      <c r="C884" s="8" t="s">
        <v>11607</v>
      </c>
      <c r="D884" s="8" t="s">
        <v>11608</v>
      </c>
      <c r="E884" s="8" t="s">
        <v>3180</v>
      </c>
      <c r="F884" s="8" t="s">
        <v>11609</v>
      </c>
    </row>
    <row r="885" customHeight="1" spans="1:6">
      <c r="A885" s="6">
        <v>884</v>
      </c>
      <c r="B885" s="8" t="s">
        <v>11610</v>
      </c>
      <c r="C885" s="8" t="s">
        <v>11611</v>
      </c>
      <c r="D885" s="8" t="s">
        <v>11612</v>
      </c>
      <c r="E885" s="8" t="s">
        <v>360</v>
      </c>
      <c r="F885" s="8" t="s">
        <v>11613</v>
      </c>
    </row>
    <row r="886" customHeight="1" spans="1:6">
      <c r="A886" s="6">
        <v>885</v>
      </c>
      <c r="B886" s="8" t="s">
        <v>11610</v>
      </c>
      <c r="C886" s="8" t="s">
        <v>11611</v>
      </c>
      <c r="D886" s="8" t="s">
        <v>11612</v>
      </c>
      <c r="E886" s="8" t="s">
        <v>360</v>
      </c>
      <c r="F886" s="8" t="s">
        <v>11613</v>
      </c>
    </row>
    <row r="887" customHeight="1" spans="1:6">
      <c r="A887" s="6">
        <v>886</v>
      </c>
      <c r="B887" s="8" t="s">
        <v>11614</v>
      </c>
      <c r="C887" s="8" t="s">
        <v>11615</v>
      </c>
      <c r="D887" s="8" t="s">
        <v>11616</v>
      </c>
      <c r="E887" s="8" t="s">
        <v>1818</v>
      </c>
      <c r="F887" s="8" t="s">
        <v>11617</v>
      </c>
    </row>
    <row r="888" customHeight="1" spans="1:6">
      <c r="A888" s="6">
        <v>887</v>
      </c>
      <c r="B888" s="8" t="s">
        <v>11614</v>
      </c>
      <c r="C888" s="8" t="s">
        <v>11615</v>
      </c>
      <c r="D888" s="8" t="s">
        <v>11616</v>
      </c>
      <c r="E888" s="8" t="s">
        <v>1818</v>
      </c>
      <c r="F888" s="8" t="s">
        <v>11617</v>
      </c>
    </row>
    <row r="889" customHeight="1" spans="1:6">
      <c r="A889" s="6">
        <v>888</v>
      </c>
      <c r="B889" s="8" t="s">
        <v>11618</v>
      </c>
      <c r="C889" s="8" t="s">
        <v>11619</v>
      </c>
      <c r="D889" s="8" t="s">
        <v>11620</v>
      </c>
      <c r="E889" s="8" t="s">
        <v>2267</v>
      </c>
      <c r="F889" s="8" t="s">
        <v>11621</v>
      </c>
    </row>
    <row r="890" customHeight="1" spans="1:6">
      <c r="A890" s="6">
        <v>889</v>
      </c>
      <c r="B890" s="8" t="s">
        <v>11618</v>
      </c>
      <c r="C890" s="8" t="s">
        <v>11619</v>
      </c>
      <c r="D890" s="8" t="s">
        <v>11620</v>
      </c>
      <c r="E890" s="8" t="s">
        <v>2267</v>
      </c>
      <c r="F890" s="8" t="s">
        <v>11621</v>
      </c>
    </row>
    <row r="891" customHeight="1" spans="1:6">
      <c r="A891" s="6">
        <v>890</v>
      </c>
      <c r="B891" s="8" t="s">
        <v>11622</v>
      </c>
      <c r="C891" s="8" t="s">
        <v>11623</v>
      </c>
      <c r="D891" s="8" t="s">
        <v>11624</v>
      </c>
      <c r="E891" s="8" t="s">
        <v>571</v>
      </c>
      <c r="F891" s="8" t="s">
        <v>11625</v>
      </c>
    </row>
    <row r="892" customHeight="1" spans="1:6">
      <c r="A892" s="6">
        <v>891</v>
      </c>
      <c r="B892" s="8" t="s">
        <v>11622</v>
      </c>
      <c r="C892" s="8" t="s">
        <v>11623</v>
      </c>
      <c r="D892" s="8" t="s">
        <v>11624</v>
      </c>
      <c r="E892" s="8" t="s">
        <v>571</v>
      </c>
      <c r="F892" s="8" t="s">
        <v>11625</v>
      </c>
    </row>
    <row r="893" customHeight="1" spans="1:6">
      <c r="A893" s="6">
        <v>892</v>
      </c>
      <c r="B893" s="8" t="s">
        <v>11626</v>
      </c>
      <c r="C893" s="8" t="s">
        <v>11627</v>
      </c>
      <c r="D893" s="8" t="s">
        <v>11628</v>
      </c>
      <c r="E893" s="8" t="s">
        <v>10196</v>
      </c>
      <c r="F893" s="8" t="s">
        <v>11629</v>
      </c>
    </row>
    <row r="894" customHeight="1" spans="1:6">
      <c r="A894" s="6">
        <v>893</v>
      </c>
      <c r="B894" s="8" t="s">
        <v>11626</v>
      </c>
      <c r="C894" s="8" t="s">
        <v>11627</v>
      </c>
      <c r="D894" s="8" t="s">
        <v>11628</v>
      </c>
      <c r="E894" s="8" t="s">
        <v>10196</v>
      </c>
      <c r="F894" s="8" t="s">
        <v>11629</v>
      </c>
    </row>
    <row r="895" customHeight="1" spans="1:6">
      <c r="A895" s="6">
        <v>894</v>
      </c>
      <c r="B895" s="8" t="s">
        <v>11630</v>
      </c>
      <c r="C895" s="8" t="s">
        <v>11631</v>
      </c>
      <c r="D895" s="8" t="s">
        <v>11632</v>
      </c>
      <c r="E895" s="8" t="s">
        <v>1189</v>
      </c>
      <c r="F895" s="8" t="s">
        <v>11633</v>
      </c>
    </row>
    <row r="896" customHeight="1" spans="1:6">
      <c r="A896" s="6">
        <v>895</v>
      </c>
      <c r="B896" s="8" t="s">
        <v>11630</v>
      </c>
      <c r="C896" s="8" t="s">
        <v>11631</v>
      </c>
      <c r="D896" s="8" t="s">
        <v>11632</v>
      </c>
      <c r="E896" s="8" t="s">
        <v>1189</v>
      </c>
      <c r="F896" s="8" t="s">
        <v>11633</v>
      </c>
    </row>
    <row r="897" customHeight="1" spans="1:6">
      <c r="A897" s="6">
        <v>896</v>
      </c>
      <c r="B897" s="8" t="s">
        <v>11634</v>
      </c>
      <c r="C897" s="8" t="s">
        <v>11635</v>
      </c>
      <c r="D897" s="8" t="s">
        <v>11636</v>
      </c>
      <c r="E897" s="8" t="s">
        <v>1189</v>
      </c>
      <c r="F897" s="8" t="s">
        <v>11637</v>
      </c>
    </row>
    <row r="898" customHeight="1" spans="1:6">
      <c r="A898" s="6">
        <v>897</v>
      </c>
      <c r="B898" s="8" t="s">
        <v>11634</v>
      </c>
      <c r="C898" s="8" t="s">
        <v>11635</v>
      </c>
      <c r="D898" s="8" t="s">
        <v>11636</v>
      </c>
      <c r="E898" s="8" t="s">
        <v>1189</v>
      </c>
      <c r="F898" s="8" t="s">
        <v>11637</v>
      </c>
    </row>
    <row r="899" customHeight="1" spans="1:6">
      <c r="A899" s="6">
        <v>898</v>
      </c>
      <c r="B899" s="8" t="s">
        <v>11638</v>
      </c>
      <c r="C899" s="8" t="s">
        <v>11639</v>
      </c>
      <c r="D899" s="8" t="s">
        <v>11640</v>
      </c>
      <c r="E899" s="8" t="s">
        <v>1189</v>
      </c>
      <c r="F899" s="8" t="s">
        <v>11641</v>
      </c>
    </row>
    <row r="900" customHeight="1" spans="1:6">
      <c r="A900" s="6">
        <v>899</v>
      </c>
      <c r="B900" s="8" t="s">
        <v>11638</v>
      </c>
      <c r="C900" s="8" t="s">
        <v>11639</v>
      </c>
      <c r="D900" s="8" t="s">
        <v>11640</v>
      </c>
      <c r="E900" s="8" t="s">
        <v>1189</v>
      </c>
      <c r="F900" s="8" t="s">
        <v>11641</v>
      </c>
    </row>
    <row r="901" customHeight="1" spans="1:6">
      <c r="A901" s="6">
        <v>900</v>
      </c>
      <c r="B901" s="8" t="s">
        <v>11642</v>
      </c>
      <c r="C901" s="8" t="s">
        <v>11643</v>
      </c>
      <c r="D901" s="8" t="s">
        <v>11644</v>
      </c>
      <c r="E901" s="8" t="s">
        <v>1189</v>
      </c>
      <c r="F901" s="8" t="s">
        <v>11645</v>
      </c>
    </row>
    <row r="902" customHeight="1" spans="1:6">
      <c r="A902" s="6">
        <v>901</v>
      </c>
      <c r="B902" s="8" t="s">
        <v>11642</v>
      </c>
      <c r="C902" s="8" t="s">
        <v>11643</v>
      </c>
      <c r="D902" s="8" t="s">
        <v>11644</v>
      </c>
      <c r="E902" s="8" t="s">
        <v>1189</v>
      </c>
      <c r="F902" s="8" t="s">
        <v>11645</v>
      </c>
    </row>
    <row r="903" customHeight="1" spans="1:6">
      <c r="A903" s="6">
        <v>902</v>
      </c>
      <c r="B903" s="8" t="s">
        <v>11646</v>
      </c>
      <c r="C903" s="8" t="s">
        <v>11647</v>
      </c>
      <c r="D903" s="8" t="s">
        <v>11648</v>
      </c>
      <c r="E903" s="8" t="s">
        <v>1189</v>
      </c>
      <c r="F903" s="8" t="s">
        <v>11649</v>
      </c>
    </row>
    <row r="904" customHeight="1" spans="1:6">
      <c r="A904" s="6">
        <v>903</v>
      </c>
      <c r="B904" s="8" t="s">
        <v>11646</v>
      </c>
      <c r="C904" s="8" t="s">
        <v>11647</v>
      </c>
      <c r="D904" s="8" t="s">
        <v>11648</v>
      </c>
      <c r="E904" s="8" t="s">
        <v>1189</v>
      </c>
      <c r="F904" s="8" t="s">
        <v>11649</v>
      </c>
    </row>
    <row r="905" customHeight="1" spans="1:6">
      <c r="A905" s="6">
        <v>904</v>
      </c>
      <c r="B905" s="8" t="s">
        <v>11650</v>
      </c>
      <c r="C905" s="8" t="s">
        <v>11651</v>
      </c>
      <c r="D905" s="8" t="s">
        <v>11652</v>
      </c>
      <c r="E905" s="8" t="s">
        <v>10337</v>
      </c>
      <c r="F905" s="8" t="s">
        <v>11653</v>
      </c>
    </row>
    <row r="906" customHeight="1" spans="1:6">
      <c r="A906" s="6">
        <v>905</v>
      </c>
      <c r="B906" s="8" t="s">
        <v>11650</v>
      </c>
      <c r="C906" s="8" t="s">
        <v>11651</v>
      </c>
      <c r="D906" s="8" t="s">
        <v>11652</v>
      </c>
      <c r="E906" s="8" t="s">
        <v>10337</v>
      </c>
      <c r="F906" s="8" t="s">
        <v>11653</v>
      </c>
    </row>
    <row r="907" customHeight="1" spans="1:6">
      <c r="A907" s="6">
        <v>906</v>
      </c>
      <c r="B907" s="8" t="s">
        <v>11654</v>
      </c>
      <c r="C907" s="8" t="s">
        <v>11655</v>
      </c>
      <c r="D907" s="8" t="s">
        <v>11656</v>
      </c>
      <c r="E907" s="8" t="s">
        <v>11657</v>
      </c>
      <c r="F907" s="8" t="s">
        <v>11658</v>
      </c>
    </row>
    <row r="908" customHeight="1" spans="1:6">
      <c r="A908" s="6">
        <v>907</v>
      </c>
      <c r="B908" s="8" t="s">
        <v>11654</v>
      </c>
      <c r="C908" s="8" t="s">
        <v>11655</v>
      </c>
      <c r="D908" s="8" t="s">
        <v>11656</v>
      </c>
      <c r="E908" s="8" t="s">
        <v>11657</v>
      </c>
      <c r="F908" s="8" t="s">
        <v>11658</v>
      </c>
    </row>
    <row r="909" customHeight="1" spans="1:6">
      <c r="A909" s="6">
        <v>908</v>
      </c>
      <c r="B909" s="8" t="s">
        <v>11659</v>
      </c>
      <c r="C909" s="8" t="s">
        <v>11660</v>
      </c>
      <c r="D909" s="8" t="s">
        <v>11661</v>
      </c>
      <c r="E909" s="8" t="s">
        <v>10196</v>
      </c>
      <c r="F909" s="8" t="s">
        <v>11662</v>
      </c>
    </row>
    <row r="910" customHeight="1" spans="1:6">
      <c r="A910" s="6">
        <v>909</v>
      </c>
      <c r="B910" s="8" t="s">
        <v>11659</v>
      </c>
      <c r="C910" s="8" t="s">
        <v>11660</v>
      </c>
      <c r="D910" s="8" t="s">
        <v>11661</v>
      </c>
      <c r="E910" s="8" t="s">
        <v>10196</v>
      </c>
      <c r="F910" s="8" t="s">
        <v>11662</v>
      </c>
    </row>
    <row r="911" customHeight="1" spans="1:6">
      <c r="A911" s="6">
        <v>910</v>
      </c>
      <c r="B911" s="8" t="s">
        <v>11663</v>
      </c>
      <c r="C911" s="8" t="s">
        <v>11664</v>
      </c>
      <c r="D911" s="8" t="s">
        <v>11665</v>
      </c>
      <c r="E911" s="8" t="s">
        <v>10196</v>
      </c>
      <c r="F911" s="8" t="s">
        <v>11666</v>
      </c>
    </row>
    <row r="912" customHeight="1" spans="1:6">
      <c r="A912" s="6">
        <v>911</v>
      </c>
      <c r="B912" s="8" t="s">
        <v>11663</v>
      </c>
      <c r="C912" s="8" t="s">
        <v>11664</v>
      </c>
      <c r="D912" s="8" t="s">
        <v>11665</v>
      </c>
      <c r="E912" s="8" t="s">
        <v>10196</v>
      </c>
      <c r="F912" s="8" t="s">
        <v>11666</v>
      </c>
    </row>
    <row r="913" customHeight="1" spans="1:6">
      <c r="A913" s="6">
        <v>912</v>
      </c>
      <c r="B913" s="8" t="s">
        <v>11667</v>
      </c>
      <c r="C913" s="8" t="s">
        <v>11668</v>
      </c>
      <c r="D913" s="8" t="s">
        <v>11669</v>
      </c>
      <c r="E913" s="8" t="s">
        <v>10196</v>
      </c>
      <c r="F913" s="8" t="s">
        <v>11670</v>
      </c>
    </row>
    <row r="914" customHeight="1" spans="1:6">
      <c r="A914" s="6">
        <v>913</v>
      </c>
      <c r="B914" s="8" t="s">
        <v>11667</v>
      </c>
      <c r="C914" s="8" t="s">
        <v>11668</v>
      </c>
      <c r="D914" s="8" t="s">
        <v>11669</v>
      </c>
      <c r="E914" s="8" t="s">
        <v>10196</v>
      </c>
      <c r="F914" s="8" t="s">
        <v>11670</v>
      </c>
    </row>
    <row r="915" customHeight="1" spans="1:6">
      <c r="A915" s="6">
        <v>914</v>
      </c>
      <c r="B915" s="8" t="s">
        <v>11671</v>
      </c>
      <c r="C915" s="8" t="s">
        <v>11672</v>
      </c>
      <c r="D915" s="8" t="s">
        <v>11673</v>
      </c>
      <c r="E915" s="8" t="s">
        <v>10196</v>
      </c>
      <c r="F915" s="8" t="s">
        <v>11674</v>
      </c>
    </row>
    <row r="916" customHeight="1" spans="1:6">
      <c r="A916" s="6">
        <v>915</v>
      </c>
      <c r="B916" s="8" t="s">
        <v>11671</v>
      </c>
      <c r="C916" s="8" t="s">
        <v>11672</v>
      </c>
      <c r="D916" s="8" t="s">
        <v>11673</v>
      </c>
      <c r="E916" s="8" t="s">
        <v>10196</v>
      </c>
      <c r="F916" s="8" t="s">
        <v>11674</v>
      </c>
    </row>
    <row r="917" customHeight="1" spans="1:6">
      <c r="A917" s="6">
        <v>916</v>
      </c>
      <c r="B917" s="8" t="s">
        <v>11675</v>
      </c>
      <c r="C917" s="8" t="s">
        <v>11676</v>
      </c>
      <c r="D917" s="8" t="s">
        <v>11677</v>
      </c>
      <c r="E917" s="8" t="s">
        <v>571</v>
      </c>
      <c r="F917" s="8" t="s">
        <v>11678</v>
      </c>
    </row>
    <row r="918" customHeight="1" spans="1:6">
      <c r="A918" s="6">
        <v>917</v>
      </c>
      <c r="B918" s="8" t="s">
        <v>11675</v>
      </c>
      <c r="C918" s="8" t="s">
        <v>11676</v>
      </c>
      <c r="D918" s="8" t="s">
        <v>11677</v>
      </c>
      <c r="E918" s="8" t="s">
        <v>571</v>
      </c>
      <c r="F918" s="8" t="s">
        <v>11678</v>
      </c>
    </row>
    <row r="919" customHeight="1" spans="1:6">
      <c r="A919" s="6">
        <v>918</v>
      </c>
      <c r="B919" s="8" t="s">
        <v>11679</v>
      </c>
      <c r="C919" s="8" t="s">
        <v>11680</v>
      </c>
      <c r="D919" s="8" t="s">
        <v>11681</v>
      </c>
      <c r="E919" s="8" t="s">
        <v>1818</v>
      </c>
      <c r="F919" s="8" t="s">
        <v>11682</v>
      </c>
    </row>
    <row r="920" customHeight="1" spans="1:6">
      <c r="A920" s="6">
        <v>919</v>
      </c>
      <c r="B920" s="8" t="s">
        <v>11679</v>
      </c>
      <c r="C920" s="8" t="s">
        <v>11680</v>
      </c>
      <c r="D920" s="8" t="s">
        <v>11681</v>
      </c>
      <c r="E920" s="8" t="s">
        <v>1818</v>
      </c>
      <c r="F920" s="8" t="s">
        <v>11682</v>
      </c>
    </row>
    <row r="921" customHeight="1" spans="1:6">
      <c r="A921" s="6">
        <v>920</v>
      </c>
      <c r="B921" s="8" t="s">
        <v>11683</v>
      </c>
      <c r="C921" s="8" t="s">
        <v>11684</v>
      </c>
      <c r="D921" s="8" t="s">
        <v>11685</v>
      </c>
      <c r="E921" s="8" t="s">
        <v>1189</v>
      </c>
      <c r="F921" s="8" t="s">
        <v>11686</v>
      </c>
    </row>
    <row r="922" customHeight="1" spans="1:6">
      <c r="A922" s="6">
        <v>921</v>
      </c>
      <c r="B922" s="8" t="s">
        <v>11683</v>
      </c>
      <c r="C922" s="8" t="s">
        <v>11684</v>
      </c>
      <c r="D922" s="8" t="s">
        <v>11685</v>
      </c>
      <c r="E922" s="8" t="s">
        <v>1189</v>
      </c>
      <c r="F922" s="8" t="s">
        <v>11686</v>
      </c>
    </row>
    <row r="923" customHeight="1" spans="1:6">
      <c r="A923" s="6">
        <v>922</v>
      </c>
      <c r="B923" s="8" t="s">
        <v>11687</v>
      </c>
      <c r="C923" s="8" t="s">
        <v>11688</v>
      </c>
      <c r="D923" s="8" t="s">
        <v>11689</v>
      </c>
      <c r="E923" s="8" t="s">
        <v>28</v>
      </c>
      <c r="F923" s="8" t="s">
        <v>11690</v>
      </c>
    </row>
    <row r="924" customHeight="1" spans="1:6">
      <c r="A924" s="6">
        <v>923</v>
      </c>
      <c r="B924" s="8" t="s">
        <v>11687</v>
      </c>
      <c r="C924" s="8" t="s">
        <v>11688</v>
      </c>
      <c r="D924" s="8" t="s">
        <v>11689</v>
      </c>
      <c r="E924" s="8" t="s">
        <v>28</v>
      </c>
      <c r="F924" s="8" t="s">
        <v>11690</v>
      </c>
    </row>
    <row r="925" customHeight="1" spans="1:6">
      <c r="A925" s="6">
        <v>924</v>
      </c>
      <c r="B925" s="8" t="s">
        <v>11691</v>
      </c>
      <c r="C925" s="8" t="s">
        <v>11692</v>
      </c>
      <c r="D925" s="8" t="s">
        <v>11693</v>
      </c>
      <c r="E925" s="8" t="s">
        <v>571</v>
      </c>
      <c r="F925" s="8" t="s">
        <v>11694</v>
      </c>
    </row>
    <row r="926" customHeight="1" spans="1:6">
      <c r="A926" s="6">
        <v>925</v>
      </c>
      <c r="B926" s="8" t="s">
        <v>11691</v>
      </c>
      <c r="C926" s="8" t="s">
        <v>11692</v>
      </c>
      <c r="D926" s="8" t="s">
        <v>11693</v>
      </c>
      <c r="E926" s="8" t="s">
        <v>571</v>
      </c>
      <c r="F926" s="8" t="s">
        <v>11694</v>
      </c>
    </row>
    <row r="927" customHeight="1" spans="1:6">
      <c r="A927" s="6">
        <v>926</v>
      </c>
      <c r="B927" s="8" t="s">
        <v>11695</v>
      </c>
      <c r="C927" s="8" t="s">
        <v>11696</v>
      </c>
      <c r="D927" s="8" t="s">
        <v>11697</v>
      </c>
      <c r="E927" s="8" t="s">
        <v>28</v>
      </c>
      <c r="F927" s="8" t="s">
        <v>11698</v>
      </c>
    </row>
    <row r="928" customHeight="1" spans="1:6">
      <c r="A928" s="6">
        <v>927</v>
      </c>
      <c r="B928" s="8" t="s">
        <v>11695</v>
      </c>
      <c r="C928" s="8" t="s">
        <v>11696</v>
      </c>
      <c r="D928" s="8" t="s">
        <v>11697</v>
      </c>
      <c r="E928" s="8" t="s">
        <v>28</v>
      </c>
      <c r="F928" s="8" t="s">
        <v>11698</v>
      </c>
    </row>
    <row r="929" customHeight="1" spans="1:6">
      <c r="A929" s="6">
        <v>928</v>
      </c>
      <c r="B929" s="8" t="s">
        <v>11699</v>
      </c>
      <c r="C929" s="8" t="s">
        <v>11700</v>
      </c>
      <c r="D929" s="8" t="s">
        <v>11701</v>
      </c>
      <c r="E929" s="8" t="s">
        <v>2889</v>
      </c>
      <c r="F929" s="8" t="s">
        <v>11702</v>
      </c>
    </row>
    <row r="930" customHeight="1" spans="1:6">
      <c r="A930" s="6">
        <v>929</v>
      </c>
      <c r="B930" s="8" t="s">
        <v>11699</v>
      </c>
      <c r="C930" s="8" t="s">
        <v>11700</v>
      </c>
      <c r="D930" s="8" t="s">
        <v>11701</v>
      </c>
      <c r="E930" s="8" t="s">
        <v>2889</v>
      </c>
      <c r="F930" s="8" t="s">
        <v>11702</v>
      </c>
    </row>
    <row r="931" customHeight="1" spans="1:6">
      <c r="A931" s="6">
        <v>930</v>
      </c>
      <c r="B931" s="8" t="s">
        <v>11703</v>
      </c>
      <c r="C931" s="8" t="s">
        <v>11704</v>
      </c>
      <c r="D931" s="8" t="s">
        <v>11701</v>
      </c>
      <c r="E931" s="8" t="s">
        <v>2889</v>
      </c>
      <c r="F931" s="8" t="s">
        <v>11705</v>
      </c>
    </row>
    <row r="932" customHeight="1" spans="1:6">
      <c r="A932" s="6">
        <v>931</v>
      </c>
      <c r="B932" s="8" t="s">
        <v>11703</v>
      </c>
      <c r="C932" s="8" t="s">
        <v>11704</v>
      </c>
      <c r="D932" s="8" t="s">
        <v>11701</v>
      </c>
      <c r="E932" s="8" t="s">
        <v>2889</v>
      </c>
      <c r="F932" s="8" t="s">
        <v>11705</v>
      </c>
    </row>
    <row r="933" customHeight="1" spans="1:6">
      <c r="A933" s="6">
        <v>932</v>
      </c>
      <c r="B933" s="8" t="s">
        <v>11706</v>
      </c>
      <c r="C933" s="8" t="s">
        <v>11707</v>
      </c>
      <c r="D933" s="8" t="s">
        <v>11701</v>
      </c>
      <c r="E933" s="8" t="s">
        <v>2889</v>
      </c>
      <c r="F933" s="8" t="s">
        <v>11708</v>
      </c>
    </row>
    <row r="934" customHeight="1" spans="1:6">
      <c r="A934" s="6">
        <v>933</v>
      </c>
      <c r="B934" s="8" t="s">
        <v>11706</v>
      </c>
      <c r="C934" s="8" t="s">
        <v>11707</v>
      </c>
      <c r="D934" s="8" t="s">
        <v>11701</v>
      </c>
      <c r="E934" s="8" t="s">
        <v>2889</v>
      </c>
      <c r="F934" s="8" t="s">
        <v>11708</v>
      </c>
    </row>
    <row r="935" customHeight="1" spans="1:6">
      <c r="A935" s="6">
        <v>934</v>
      </c>
      <c r="B935" s="8" t="s">
        <v>11709</v>
      </c>
      <c r="C935" s="8" t="s">
        <v>11710</v>
      </c>
      <c r="D935" s="8" t="s">
        <v>11711</v>
      </c>
      <c r="E935" s="8" t="s">
        <v>10819</v>
      </c>
      <c r="F935" s="8" t="s">
        <v>11712</v>
      </c>
    </row>
    <row r="936" customHeight="1" spans="1:6">
      <c r="A936" s="6">
        <v>935</v>
      </c>
      <c r="B936" s="8" t="s">
        <v>11709</v>
      </c>
      <c r="C936" s="8" t="s">
        <v>11710</v>
      </c>
      <c r="D936" s="8" t="s">
        <v>11711</v>
      </c>
      <c r="E936" s="8" t="s">
        <v>10819</v>
      </c>
      <c r="F936" s="8" t="s">
        <v>11712</v>
      </c>
    </row>
    <row r="937" customHeight="1" spans="1:6">
      <c r="A937" s="6">
        <v>936</v>
      </c>
      <c r="B937" s="8" t="s">
        <v>11713</v>
      </c>
      <c r="C937" s="8" t="s">
        <v>11714</v>
      </c>
      <c r="D937" s="8" t="s">
        <v>11715</v>
      </c>
      <c r="E937" s="8" t="s">
        <v>571</v>
      </c>
      <c r="F937" s="8" t="s">
        <v>11716</v>
      </c>
    </row>
    <row r="938" customHeight="1" spans="1:6">
      <c r="A938" s="6">
        <v>937</v>
      </c>
      <c r="B938" s="8" t="s">
        <v>11713</v>
      </c>
      <c r="C938" s="8" t="s">
        <v>11714</v>
      </c>
      <c r="D938" s="8" t="s">
        <v>11715</v>
      </c>
      <c r="E938" s="8" t="s">
        <v>571</v>
      </c>
      <c r="F938" s="8" t="s">
        <v>11716</v>
      </c>
    </row>
    <row r="939" customHeight="1" spans="1:6">
      <c r="A939" s="6">
        <v>938</v>
      </c>
      <c r="B939" s="8" t="s">
        <v>11717</v>
      </c>
      <c r="C939" s="8" t="s">
        <v>11718</v>
      </c>
      <c r="D939" s="8" t="s">
        <v>11719</v>
      </c>
      <c r="E939" s="8" t="s">
        <v>544</v>
      </c>
      <c r="F939" s="8" t="s">
        <v>11720</v>
      </c>
    </row>
    <row r="940" customHeight="1" spans="1:6">
      <c r="A940" s="6">
        <v>939</v>
      </c>
      <c r="B940" s="8" t="s">
        <v>11717</v>
      </c>
      <c r="C940" s="8" t="s">
        <v>11718</v>
      </c>
      <c r="D940" s="8" t="s">
        <v>11719</v>
      </c>
      <c r="E940" s="8" t="s">
        <v>544</v>
      </c>
      <c r="F940" s="8" t="s">
        <v>11720</v>
      </c>
    </row>
    <row r="941" customHeight="1" spans="1:6">
      <c r="A941" s="6">
        <v>940</v>
      </c>
      <c r="B941" s="8" t="s">
        <v>11721</v>
      </c>
      <c r="C941" s="8" t="s">
        <v>11722</v>
      </c>
      <c r="D941" s="8" t="s">
        <v>11481</v>
      </c>
      <c r="E941" s="8" t="s">
        <v>11482</v>
      </c>
      <c r="F941" s="8" t="s">
        <v>11723</v>
      </c>
    </row>
    <row r="942" customHeight="1" spans="1:6">
      <c r="A942" s="6">
        <v>941</v>
      </c>
      <c r="B942" s="8" t="s">
        <v>11721</v>
      </c>
      <c r="C942" s="8" t="s">
        <v>11722</v>
      </c>
      <c r="D942" s="8" t="s">
        <v>11481</v>
      </c>
      <c r="E942" s="8" t="s">
        <v>11482</v>
      </c>
      <c r="F942" s="8" t="s">
        <v>11723</v>
      </c>
    </row>
    <row r="943" customHeight="1" spans="1:6">
      <c r="A943" s="6">
        <v>942</v>
      </c>
      <c r="B943" s="8" t="s">
        <v>11721</v>
      </c>
      <c r="C943" s="8" t="s">
        <v>11724</v>
      </c>
      <c r="D943" s="8" t="s">
        <v>11481</v>
      </c>
      <c r="E943" s="8" t="s">
        <v>11482</v>
      </c>
      <c r="F943" s="8" t="s">
        <v>11725</v>
      </c>
    </row>
    <row r="944" customHeight="1" spans="1:6">
      <c r="A944" s="6">
        <v>943</v>
      </c>
      <c r="B944" s="8" t="s">
        <v>11721</v>
      </c>
      <c r="C944" s="8" t="s">
        <v>11724</v>
      </c>
      <c r="D944" s="8" t="s">
        <v>11481</v>
      </c>
      <c r="E944" s="8" t="s">
        <v>11482</v>
      </c>
      <c r="F944" s="8" t="s">
        <v>11725</v>
      </c>
    </row>
    <row r="945" customHeight="1" spans="1:6">
      <c r="A945" s="6">
        <v>944</v>
      </c>
      <c r="B945" s="8" t="s">
        <v>11726</v>
      </c>
      <c r="C945" s="8" t="s">
        <v>11727</v>
      </c>
      <c r="D945" s="8" t="s">
        <v>11728</v>
      </c>
      <c r="E945" s="8" t="s">
        <v>899</v>
      </c>
      <c r="F945" s="8" t="s">
        <v>11729</v>
      </c>
    </row>
    <row r="946" customHeight="1" spans="1:6">
      <c r="A946" s="6">
        <v>945</v>
      </c>
      <c r="B946" s="8" t="s">
        <v>11730</v>
      </c>
      <c r="C946" s="8" t="s">
        <v>11731</v>
      </c>
      <c r="D946" s="8" t="s">
        <v>11732</v>
      </c>
      <c r="E946" s="8" t="s">
        <v>10819</v>
      </c>
      <c r="F946" s="8" t="s">
        <v>11733</v>
      </c>
    </row>
    <row r="947" customHeight="1" spans="1:6">
      <c r="A947" s="6">
        <v>946</v>
      </c>
      <c r="B947" s="8" t="s">
        <v>11730</v>
      </c>
      <c r="C947" s="8" t="s">
        <v>11731</v>
      </c>
      <c r="D947" s="8" t="s">
        <v>11732</v>
      </c>
      <c r="E947" s="8" t="s">
        <v>10819</v>
      </c>
      <c r="F947" s="8" t="s">
        <v>11733</v>
      </c>
    </row>
    <row r="948" customHeight="1" spans="1:6">
      <c r="A948" s="6">
        <v>947</v>
      </c>
      <c r="B948" s="8" t="s">
        <v>11734</v>
      </c>
      <c r="C948" s="8" t="s">
        <v>11735</v>
      </c>
      <c r="D948" s="8" t="s">
        <v>11736</v>
      </c>
      <c r="E948" s="8" t="s">
        <v>420</v>
      </c>
      <c r="F948" s="8" t="s">
        <v>11737</v>
      </c>
    </row>
    <row r="949" customHeight="1" spans="1:6">
      <c r="A949" s="6">
        <v>948</v>
      </c>
      <c r="B949" s="8" t="s">
        <v>11734</v>
      </c>
      <c r="C949" s="8" t="s">
        <v>11735</v>
      </c>
      <c r="D949" s="8" t="s">
        <v>11736</v>
      </c>
      <c r="E949" s="8" t="s">
        <v>420</v>
      </c>
      <c r="F949" s="8" t="s">
        <v>11737</v>
      </c>
    </row>
    <row r="950" customHeight="1" spans="1:6">
      <c r="A950" s="6">
        <v>949</v>
      </c>
      <c r="B950" s="8" t="s">
        <v>11738</v>
      </c>
      <c r="C950" s="8" t="s">
        <v>11739</v>
      </c>
      <c r="D950" s="8" t="s">
        <v>11740</v>
      </c>
      <c r="E950" s="8" t="s">
        <v>380</v>
      </c>
      <c r="F950" s="8" t="s">
        <v>11741</v>
      </c>
    </row>
    <row r="951" customHeight="1" spans="1:6">
      <c r="A951" s="6">
        <v>950</v>
      </c>
      <c r="B951" s="8" t="s">
        <v>11738</v>
      </c>
      <c r="C951" s="8" t="s">
        <v>11739</v>
      </c>
      <c r="D951" s="8" t="s">
        <v>11740</v>
      </c>
      <c r="E951" s="8" t="s">
        <v>380</v>
      </c>
      <c r="F951" s="8" t="s">
        <v>11741</v>
      </c>
    </row>
    <row r="952" customHeight="1" spans="1:6">
      <c r="A952" s="6">
        <v>951</v>
      </c>
      <c r="B952" s="8" t="s">
        <v>11742</v>
      </c>
      <c r="C952" s="8" t="s">
        <v>11743</v>
      </c>
      <c r="D952" s="13"/>
      <c r="E952" s="8" t="s">
        <v>11087</v>
      </c>
      <c r="F952" s="8" t="s">
        <v>11744</v>
      </c>
    </row>
    <row r="953" customHeight="1" spans="1:6">
      <c r="A953" s="6">
        <v>952</v>
      </c>
      <c r="B953" s="8" t="s">
        <v>11742</v>
      </c>
      <c r="C953" s="8" t="s">
        <v>11743</v>
      </c>
      <c r="D953" s="13"/>
      <c r="E953" s="8" t="s">
        <v>11087</v>
      </c>
      <c r="F953" s="8" t="s">
        <v>11744</v>
      </c>
    </row>
    <row r="954" customHeight="1" spans="1:6">
      <c r="A954" s="6">
        <v>953</v>
      </c>
      <c r="B954" s="8" t="s">
        <v>11745</v>
      </c>
      <c r="C954" s="8" t="s">
        <v>11746</v>
      </c>
      <c r="D954" s="8" t="s">
        <v>11747</v>
      </c>
      <c r="E954" s="8" t="s">
        <v>571</v>
      </c>
      <c r="F954" s="8" t="s">
        <v>11748</v>
      </c>
    </row>
    <row r="955" customHeight="1" spans="1:6">
      <c r="A955" s="6">
        <v>954</v>
      </c>
      <c r="B955" s="8" t="s">
        <v>11745</v>
      </c>
      <c r="C955" s="8" t="s">
        <v>11746</v>
      </c>
      <c r="D955" s="8" t="s">
        <v>11747</v>
      </c>
      <c r="E955" s="8" t="s">
        <v>571</v>
      </c>
      <c r="F955" s="8" t="s">
        <v>11748</v>
      </c>
    </row>
    <row r="956" customHeight="1" spans="1:6">
      <c r="A956" s="6">
        <v>955</v>
      </c>
      <c r="B956" s="8" t="s">
        <v>11749</v>
      </c>
      <c r="C956" s="8" t="s">
        <v>11750</v>
      </c>
      <c r="D956" s="8" t="s">
        <v>11751</v>
      </c>
      <c r="E956" s="8" t="s">
        <v>8980</v>
      </c>
      <c r="F956" s="8" t="s">
        <v>11752</v>
      </c>
    </row>
    <row r="957" customHeight="1" spans="1:6">
      <c r="A957" s="6">
        <v>956</v>
      </c>
      <c r="B957" s="8" t="s">
        <v>11749</v>
      </c>
      <c r="C957" s="8" t="s">
        <v>11750</v>
      </c>
      <c r="D957" s="8" t="s">
        <v>11751</v>
      </c>
      <c r="E957" s="8" t="s">
        <v>8980</v>
      </c>
      <c r="F957" s="8" t="s">
        <v>11752</v>
      </c>
    </row>
    <row r="958" customHeight="1" spans="1:6">
      <c r="A958" s="6">
        <v>957</v>
      </c>
      <c r="B958" s="8" t="s">
        <v>11753</v>
      </c>
      <c r="C958" s="8" t="s">
        <v>11754</v>
      </c>
      <c r="D958" s="8" t="s">
        <v>11755</v>
      </c>
      <c r="E958" s="8" t="s">
        <v>239</v>
      </c>
      <c r="F958" s="8" t="s">
        <v>11756</v>
      </c>
    </row>
    <row r="959" customHeight="1" spans="1:6">
      <c r="A959" s="6">
        <v>958</v>
      </c>
      <c r="B959" s="8" t="s">
        <v>11753</v>
      </c>
      <c r="C959" s="8" t="s">
        <v>11754</v>
      </c>
      <c r="D959" s="8" t="s">
        <v>11755</v>
      </c>
      <c r="E959" s="8" t="s">
        <v>239</v>
      </c>
      <c r="F959" s="8" t="s">
        <v>11756</v>
      </c>
    </row>
    <row r="960" customHeight="1" spans="1:6">
      <c r="A960" s="6">
        <v>959</v>
      </c>
      <c r="B960" s="8" t="s">
        <v>11757</v>
      </c>
      <c r="C960" s="8" t="s">
        <v>11758</v>
      </c>
      <c r="D960" s="8" t="s">
        <v>11759</v>
      </c>
      <c r="E960" s="8" t="s">
        <v>1189</v>
      </c>
      <c r="F960" s="8" t="s">
        <v>11760</v>
      </c>
    </row>
    <row r="961" customHeight="1" spans="1:6">
      <c r="A961" s="6">
        <v>960</v>
      </c>
      <c r="B961" s="8" t="s">
        <v>11757</v>
      </c>
      <c r="C961" s="8" t="s">
        <v>11758</v>
      </c>
      <c r="D961" s="8" t="s">
        <v>11759</v>
      </c>
      <c r="E961" s="8" t="s">
        <v>1189</v>
      </c>
      <c r="F961" s="8" t="s">
        <v>11760</v>
      </c>
    </row>
    <row r="962" customHeight="1" spans="1:6">
      <c r="A962" s="6">
        <v>961</v>
      </c>
      <c r="B962" s="8" t="s">
        <v>11761</v>
      </c>
      <c r="C962" s="8" t="s">
        <v>11762</v>
      </c>
      <c r="D962" s="8" t="s">
        <v>11763</v>
      </c>
      <c r="E962" s="8" t="s">
        <v>744</v>
      </c>
      <c r="F962" s="8" t="s">
        <v>11764</v>
      </c>
    </row>
    <row r="963" customHeight="1" spans="1:6">
      <c r="A963" s="6">
        <v>962</v>
      </c>
      <c r="B963" s="8" t="s">
        <v>11761</v>
      </c>
      <c r="C963" s="8" t="s">
        <v>11762</v>
      </c>
      <c r="D963" s="8" t="s">
        <v>11763</v>
      </c>
      <c r="E963" s="8" t="s">
        <v>744</v>
      </c>
      <c r="F963" s="8" t="s">
        <v>11764</v>
      </c>
    </row>
    <row r="964" customHeight="1" spans="1:6">
      <c r="A964" s="6">
        <v>963</v>
      </c>
      <c r="B964" s="8" t="s">
        <v>11765</v>
      </c>
      <c r="C964" s="8" t="s">
        <v>11766</v>
      </c>
      <c r="D964" s="8" t="s">
        <v>11767</v>
      </c>
      <c r="E964" s="8" t="s">
        <v>571</v>
      </c>
      <c r="F964" s="8" t="s">
        <v>11768</v>
      </c>
    </row>
    <row r="965" customHeight="1" spans="1:6">
      <c r="A965" s="6">
        <v>964</v>
      </c>
      <c r="B965" s="8" t="s">
        <v>11765</v>
      </c>
      <c r="C965" s="8" t="s">
        <v>11766</v>
      </c>
      <c r="D965" s="8" t="s">
        <v>11767</v>
      </c>
      <c r="E965" s="8" t="s">
        <v>571</v>
      </c>
      <c r="F965" s="8" t="s">
        <v>11768</v>
      </c>
    </row>
    <row r="966" customHeight="1" spans="1:6">
      <c r="A966" s="6">
        <v>965</v>
      </c>
      <c r="B966" s="8" t="s">
        <v>11769</v>
      </c>
      <c r="C966" s="8" t="s">
        <v>11770</v>
      </c>
      <c r="D966" s="8" t="s">
        <v>11771</v>
      </c>
      <c r="E966" s="8" t="s">
        <v>656</v>
      </c>
      <c r="F966" s="8" t="s">
        <v>11772</v>
      </c>
    </row>
    <row r="967" customHeight="1" spans="1:6">
      <c r="A967" s="6">
        <v>966</v>
      </c>
      <c r="B967" s="8" t="s">
        <v>11769</v>
      </c>
      <c r="C967" s="8" t="s">
        <v>11770</v>
      </c>
      <c r="D967" s="8" t="s">
        <v>11771</v>
      </c>
      <c r="E967" s="8" t="s">
        <v>656</v>
      </c>
      <c r="F967" s="8" t="s">
        <v>11772</v>
      </c>
    </row>
    <row r="968" customHeight="1" spans="1:6">
      <c r="A968" s="6">
        <v>967</v>
      </c>
      <c r="B968" s="8" t="s">
        <v>11773</v>
      </c>
      <c r="C968" s="8" t="s">
        <v>11774</v>
      </c>
      <c r="D968" s="8" t="s">
        <v>11775</v>
      </c>
      <c r="E968" s="8" t="s">
        <v>10196</v>
      </c>
      <c r="F968" s="8" t="s">
        <v>11776</v>
      </c>
    </row>
    <row r="969" customHeight="1" spans="1:6">
      <c r="A969" s="6">
        <v>968</v>
      </c>
      <c r="B969" s="8" t="s">
        <v>11773</v>
      </c>
      <c r="C969" s="8" t="s">
        <v>11774</v>
      </c>
      <c r="D969" s="8" t="s">
        <v>11775</v>
      </c>
      <c r="E969" s="8" t="s">
        <v>10196</v>
      </c>
      <c r="F969" s="8" t="s">
        <v>11776</v>
      </c>
    </row>
    <row r="970" customHeight="1" spans="1:6">
      <c r="A970" s="6">
        <v>969</v>
      </c>
      <c r="B970" s="8" t="s">
        <v>11777</v>
      </c>
      <c r="C970" s="8" t="s">
        <v>11778</v>
      </c>
      <c r="D970" s="8" t="s">
        <v>11779</v>
      </c>
      <c r="E970" s="8" t="s">
        <v>1636</v>
      </c>
      <c r="F970" s="8" t="s">
        <v>11780</v>
      </c>
    </row>
    <row r="971" customHeight="1" spans="1:6">
      <c r="A971" s="6">
        <v>970</v>
      </c>
      <c r="B971" s="8" t="s">
        <v>11777</v>
      </c>
      <c r="C971" s="8" t="s">
        <v>11778</v>
      </c>
      <c r="D971" s="8" t="s">
        <v>11779</v>
      </c>
      <c r="E971" s="8" t="s">
        <v>1636</v>
      </c>
      <c r="F971" s="8" t="s">
        <v>11780</v>
      </c>
    </row>
    <row r="972" customHeight="1" spans="1:6">
      <c r="A972" s="6">
        <v>971</v>
      </c>
      <c r="B972" s="8" t="s">
        <v>11781</v>
      </c>
      <c r="C972" s="8" t="s">
        <v>11782</v>
      </c>
      <c r="D972" s="8" t="s">
        <v>11783</v>
      </c>
      <c r="E972" s="8" t="s">
        <v>11784</v>
      </c>
      <c r="F972" s="8" t="s">
        <v>11785</v>
      </c>
    </row>
    <row r="973" customHeight="1" spans="1:6">
      <c r="A973" s="6">
        <v>972</v>
      </c>
      <c r="B973" s="8" t="s">
        <v>11781</v>
      </c>
      <c r="C973" s="8" t="s">
        <v>11782</v>
      </c>
      <c r="D973" s="8" t="s">
        <v>11783</v>
      </c>
      <c r="E973" s="8" t="s">
        <v>11784</v>
      </c>
      <c r="F973" s="8" t="s">
        <v>11785</v>
      </c>
    </row>
    <row r="974" customHeight="1" spans="1:6">
      <c r="A974" s="6">
        <v>973</v>
      </c>
      <c r="B974" s="8" t="s">
        <v>11786</v>
      </c>
      <c r="C974" s="8" t="s">
        <v>11787</v>
      </c>
      <c r="D974" s="8" t="s">
        <v>11788</v>
      </c>
      <c r="E974" s="8" t="s">
        <v>10819</v>
      </c>
      <c r="F974" s="8" t="s">
        <v>11789</v>
      </c>
    </row>
    <row r="975" customHeight="1" spans="1:6">
      <c r="A975" s="6">
        <v>974</v>
      </c>
      <c r="B975" s="8" t="s">
        <v>11786</v>
      </c>
      <c r="C975" s="8" t="s">
        <v>11787</v>
      </c>
      <c r="D975" s="8" t="s">
        <v>11788</v>
      </c>
      <c r="E975" s="8" t="s">
        <v>10819</v>
      </c>
      <c r="F975" s="8" t="s">
        <v>11789</v>
      </c>
    </row>
    <row r="976" customHeight="1" spans="1:6">
      <c r="A976" s="6">
        <v>975</v>
      </c>
      <c r="B976" s="8" t="s">
        <v>11790</v>
      </c>
      <c r="C976" s="8" t="s">
        <v>11791</v>
      </c>
      <c r="D976" s="8" t="s">
        <v>11792</v>
      </c>
      <c r="E976" s="8" t="s">
        <v>1189</v>
      </c>
      <c r="F976" s="8" t="s">
        <v>11793</v>
      </c>
    </row>
    <row r="977" customHeight="1" spans="1:6">
      <c r="A977" s="6">
        <v>976</v>
      </c>
      <c r="B977" s="8" t="s">
        <v>11790</v>
      </c>
      <c r="C977" s="8" t="s">
        <v>11791</v>
      </c>
      <c r="D977" s="8" t="s">
        <v>11792</v>
      </c>
      <c r="E977" s="8" t="s">
        <v>1189</v>
      </c>
      <c r="F977" s="8" t="s">
        <v>11793</v>
      </c>
    </row>
    <row r="978" customHeight="1" spans="1:6">
      <c r="A978" s="6">
        <v>977</v>
      </c>
      <c r="B978" s="8" t="s">
        <v>11794</v>
      </c>
      <c r="C978" s="8" t="s">
        <v>11795</v>
      </c>
      <c r="D978" s="8" t="s">
        <v>11796</v>
      </c>
      <c r="E978" s="8" t="s">
        <v>571</v>
      </c>
      <c r="F978" s="8" t="s">
        <v>11797</v>
      </c>
    </row>
    <row r="979" customHeight="1" spans="1:6">
      <c r="A979" s="6">
        <v>978</v>
      </c>
      <c r="B979" s="8" t="s">
        <v>11794</v>
      </c>
      <c r="C979" s="8" t="s">
        <v>11795</v>
      </c>
      <c r="D979" s="8" t="s">
        <v>11796</v>
      </c>
      <c r="E979" s="8" t="s">
        <v>571</v>
      </c>
      <c r="F979" s="8" t="s">
        <v>11797</v>
      </c>
    </row>
    <row r="980" customHeight="1" spans="1:6">
      <c r="A980" s="6">
        <v>979</v>
      </c>
      <c r="B980" s="8" t="s">
        <v>11798</v>
      </c>
      <c r="C980" s="8" t="s">
        <v>11799</v>
      </c>
      <c r="D980" s="8" t="s">
        <v>11800</v>
      </c>
      <c r="E980" s="8" t="s">
        <v>899</v>
      </c>
      <c r="F980" s="8" t="s">
        <v>11801</v>
      </c>
    </row>
    <row r="981" customHeight="1" spans="1:6">
      <c r="A981" s="6">
        <v>980</v>
      </c>
      <c r="B981" s="8" t="s">
        <v>11798</v>
      </c>
      <c r="C981" s="8" t="s">
        <v>11799</v>
      </c>
      <c r="D981" s="8" t="s">
        <v>11800</v>
      </c>
      <c r="E981" s="8" t="s">
        <v>899</v>
      </c>
      <c r="F981" s="8" t="s">
        <v>11801</v>
      </c>
    </row>
    <row r="982" customHeight="1" spans="1:6">
      <c r="A982" s="6">
        <v>981</v>
      </c>
      <c r="B982" s="8" t="s">
        <v>11802</v>
      </c>
      <c r="C982" s="8" t="s">
        <v>11803</v>
      </c>
      <c r="D982" s="8" t="s">
        <v>1135</v>
      </c>
      <c r="E982" s="8" t="s">
        <v>9171</v>
      </c>
      <c r="F982" s="8" t="s">
        <v>11804</v>
      </c>
    </row>
    <row r="983" customHeight="1" spans="1:6">
      <c r="A983" s="6">
        <v>982</v>
      </c>
      <c r="B983" s="8" t="s">
        <v>11802</v>
      </c>
      <c r="C983" s="8" t="s">
        <v>11803</v>
      </c>
      <c r="D983" s="8" t="s">
        <v>1135</v>
      </c>
      <c r="E983" s="8" t="s">
        <v>9171</v>
      </c>
      <c r="F983" s="8" t="s">
        <v>11804</v>
      </c>
    </row>
    <row r="984" customHeight="1" spans="1:6">
      <c r="A984" s="6">
        <v>983</v>
      </c>
      <c r="B984" s="8" t="s">
        <v>11805</v>
      </c>
      <c r="C984" s="8" t="s">
        <v>11806</v>
      </c>
      <c r="D984" s="13"/>
      <c r="E984" s="8" t="s">
        <v>365</v>
      </c>
      <c r="F984" s="8" t="s">
        <v>11807</v>
      </c>
    </row>
    <row r="985" customHeight="1" spans="1:6">
      <c r="A985" s="6">
        <v>984</v>
      </c>
      <c r="B985" s="8" t="s">
        <v>11805</v>
      </c>
      <c r="C985" s="8" t="s">
        <v>11806</v>
      </c>
      <c r="D985" s="13"/>
      <c r="E985" s="8" t="s">
        <v>365</v>
      </c>
      <c r="F985" s="8" t="s">
        <v>11807</v>
      </c>
    </row>
    <row r="986" customHeight="1" spans="1:6">
      <c r="A986" s="6">
        <v>985</v>
      </c>
      <c r="B986" s="8" t="s">
        <v>11808</v>
      </c>
      <c r="C986" s="8" t="s">
        <v>11809</v>
      </c>
      <c r="D986" s="8" t="s">
        <v>11810</v>
      </c>
      <c r="E986" s="8" t="s">
        <v>744</v>
      </c>
      <c r="F986" s="8" t="s">
        <v>11811</v>
      </c>
    </row>
    <row r="987" customHeight="1" spans="1:6">
      <c r="A987" s="6">
        <v>986</v>
      </c>
      <c r="B987" s="8" t="s">
        <v>11808</v>
      </c>
      <c r="C987" s="8" t="s">
        <v>11809</v>
      </c>
      <c r="D987" s="8" t="s">
        <v>11810</v>
      </c>
      <c r="E987" s="8" t="s">
        <v>744</v>
      </c>
      <c r="F987" s="8" t="s">
        <v>11811</v>
      </c>
    </row>
    <row r="988" customHeight="1" spans="1:6">
      <c r="A988" s="6">
        <v>987</v>
      </c>
      <c r="B988" s="8" t="s">
        <v>11812</v>
      </c>
      <c r="C988" s="8" t="s">
        <v>11813</v>
      </c>
      <c r="D988" s="8" t="s">
        <v>11814</v>
      </c>
      <c r="E988" s="8" t="s">
        <v>425</v>
      </c>
      <c r="F988" s="8" t="s">
        <v>11815</v>
      </c>
    </row>
    <row r="989" customHeight="1" spans="1:6">
      <c r="A989" s="6">
        <v>988</v>
      </c>
      <c r="B989" s="8" t="s">
        <v>11812</v>
      </c>
      <c r="C989" s="8" t="s">
        <v>11813</v>
      </c>
      <c r="D989" s="8" t="s">
        <v>11814</v>
      </c>
      <c r="E989" s="8" t="s">
        <v>425</v>
      </c>
      <c r="F989" s="8" t="s">
        <v>11815</v>
      </c>
    </row>
    <row r="990" customHeight="1" spans="1:6">
      <c r="A990" s="6">
        <v>989</v>
      </c>
      <c r="B990" s="8" t="s">
        <v>11816</v>
      </c>
      <c r="C990" s="8" t="s">
        <v>11817</v>
      </c>
      <c r="D990" s="8" t="s">
        <v>10881</v>
      </c>
      <c r="E990" s="8" t="s">
        <v>6087</v>
      </c>
      <c r="F990" s="8" t="s">
        <v>11818</v>
      </c>
    </row>
    <row r="991" customHeight="1" spans="1:6">
      <c r="A991" s="6">
        <v>990</v>
      </c>
      <c r="B991" s="8" t="s">
        <v>11816</v>
      </c>
      <c r="C991" s="8" t="s">
        <v>11817</v>
      </c>
      <c r="D991" s="8" t="s">
        <v>10881</v>
      </c>
      <c r="E991" s="8" t="s">
        <v>6087</v>
      </c>
      <c r="F991" s="8" t="s">
        <v>11818</v>
      </c>
    </row>
    <row r="992" customHeight="1" spans="1:6">
      <c r="A992" s="6">
        <v>991</v>
      </c>
      <c r="B992" s="8" t="s">
        <v>11819</v>
      </c>
      <c r="C992" s="8" t="s">
        <v>11820</v>
      </c>
      <c r="D992" s="8" t="s">
        <v>11821</v>
      </c>
      <c r="E992" s="8" t="s">
        <v>1189</v>
      </c>
      <c r="F992" s="8" t="s">
        <v>11822</v>
      </c>
    </row>
    <row r="993" customHeight="1" spans="1:6">
      <c r="A993" s="6">
        <v>992</v>
      </c>
      <c r="B993" s="8" t="s">
        <v>11819</v>
      </c>
      <c r="C993" s="8" t="s">
        <v>11820</v>
      </c>
      <c r="D993" s="8" t="s">
        <v>11821</v>
      </c>
      <c r="E993" s="8" t="s">
        <v>1189</v>
      </c>
      <c r="F993" s="8" t="s">
        <v>11822</v>
      </c>
    </row>
    <row r="994" customHeight="1" spans="1:6">
      <c r="A994" s="6">
        <v>993</v>
      </c>
      <c r="B994" s="8" t="s">
        <v>11823</v>
      </c>
      <c r="C994" s="8" t="s">
        <v>11824</v>
      </c>
      <c r="D994" s="8" t="s">
        <v>11825</v>
      </c>
      <c r="E994" s="8" t="s">
        <v>420</v>
      </c>
      <c r="F994" s="8" t="s">
        <v>11826</v>
      </c>
    </row>
    <row r="995" customHeight="1" spans="1:6">
      <c r="A995" s="6">
        <v>994</v>
      </c>
      <c r="B995" s="8" t="s">
        <v>11823</v>
      </c>
      <c r="C995" s="8" t="s">
        <v>11824</v>
      </c>
      <c r="D995" s="8" t="s">
        <v>11825</v>
      </c>
      <c r="E995" s="8" t="s">
        <v>420</v>
      </c>
      <c r="F995" s="8" t="s">
        <v>11826</v>
      </c>
    </row>
    <row r="996" customHeight="1" spans="1:6">
      <c r="A996" s="6">
        <v>995</v>
      </c>
      <c r="B996" s="8" t="s">
        <v>11827</v>
      </c>
      <c r="C996" s="8" t="s">
        <v>11828</v>
      </c>
      <c r="D996" s="8" t="s">
        <v>11829</v>
      </c>
      <c r="E996" s="8" t="s">
        <v>3</v>
      </c>
      <c r="F996" s="8" t="s">
        <v>11830</v>
      </c>
    </row>
    <row r="997" customHeight="1" spans="1:6">
      <c r="A997" s="6">
        <v>996</v>
      </c>
      <c r="B997" s="8" t="s">
        <v>11827</v>
      </c>
      <c r="C997" s="8" t="s">
        <v>11828</v>
      </c>
      <c r="D997" s="8" t="s">
        <v>11829</v>
      </c>
      <c r="E997" s="8" t="s">
        <v>3</v>
      </c>
      <c r="F997" s="8" t="s">
        <v>11830</v>
      </c>
    </row>
    <row r="998" customHeight="1" spans="1:6">
      <c r="A998" s="6">
        <v>997</v>
      </c>
      <c r="B998" s="8" t="s">
        <v>11831</v>
      </c>
      <c r="C998" s="8" t="s">
        <v>11832</v>
      </c>
      <c r="D998" s="8" t="s">
        <v>11833</v>
      </c>
      <c r="E998" s="8" t="s">
        <v>1667</v>
      </c>
      <c r="F998" s="8" t="s">
        <v>11834</v>
      </c>
    </row>
    <row r="999" customHeight="1" spans="1:6">
      <c r="A999" s="6">
        <v>998</v>
      </c>
      <c r="B999" s="8" t="s">
        <v>11831</v>
      </c>
      <c r="C999" s="8" t="s">
        <v>11832</v>
      </c>
      <c r="D999" s="8" t="s">
        <v>11833</v>
      </c>
      <c r="E999" s="8" t="s">
        <v>1667</v>
      </c>
      <c r="F999" s="8" t="s">
        <v>11834</v>
      </c>
    </row>
    <row r="1000" customHeight="1" spans="1:6">
      <c r="A1000" s="6">
        <v>999</v>
      </c>
      <c r="B1000" s="8" t="s">
        <v>11835</v>
      </c>
      <c r="C1000" s="8" t="s">
        <v>11836</v>
      </c>
      <c r="D1000" s="8" t="s">
        <v>11833</v>
      </c>
      <c r="E1000" s="8" t="s">
        <v>1667</v>
      </c>
      <c r="F1000" s="8" t="s">
        <v>11837</v>
      </c>
    </row>
    <row r="1001" customHeight="1" spans="1:6">
      <c r="A1001" s="6">
        <v>1000</v>
      </c>
      <c r="B1001" s="8" t="s">
        <v>11835</v>
      </c>
      <c r="C1001" s="8" t="s">
        <v>11836</v>
      </c>
      <c r="D1001" s="8" t="s">
        <v>11833</v>
      </c>
      <c r="E1001" s="8" t="s">
        <v>1667</v>
      </c>
      <c r="F1001" s="8" t="s">
        <v>11837</v>
      </c>
    </row>
    <row r="1002" customHeight="1" spans="1:6">
      <c r="A1002" s="6">
        <v>1001</v>
      </c>
      <c r="B1002" s="8" t="s">
        <v>11838</v>
      </c>
      <c r="C1002" s="8" t="s">
        <v>11839</v>
      </c>
      <c r="D1002" s="8" t="s">
        <v>11840</v>
      </c>
      <c r="E1002" s="8" t="s">
        <v>1636</v>
      </c>
      <c r="F1002" s="8" t="s">
        <v>11841</v>
      </c>
    </row>
    <row r="1003" customHeight="1" spans="1:6">
      <c r="A1003" s="6">
        <v>1002</v>
      </c>
      <c r="B1003" s="8" t="s">
        <v>11838</v>
      </c>
      <c r="C1003" s="8" t="s">
        <v>11839</v>
      </c>
      <c r="D1003" s="8" t="s">
        <v>11840</v>
      </c>
      <c r="E1003" s="8" t="s">
        <v>1636</v>
      </c>
      <c r="F1003" s="8" t="s">
        <v>11841</v>
      </c>
    </row>
    <row r="1004" customHeight="1" spans="1:6">
      <c r="A1004" s="6">
        <v>1003</v>
      </c>
      <c r="B1004" s="8" t="s">
        <v>11842</v>
      </c>
      <c r="C1004" s="8" t="s">
        <v>11843</v>
      </c>
      <c r="D1004" s="8" t="s">
        <v>11844</v>
      </c>
      <c r="E1004" s="8" t="s">
        <v>385</v>
      </c>
      <c r="F1004" s="8" t="s">
        <v>11845</v>
      </c>
    </row>
    <row r="1005" customHeight="1" spans="1:6">
      <c r="A1005" s="6">
        <v>1004</v>
      </c>
      <c r="B1005" s="8" t="s">
        <v>11842</v>
      </c>
      <c r="C1005" s="8" t="s">
        <v>11843</v>
      </c>
      <c r="D1005" s="8" t="s">
        <v>11844</v>
      </c>
      <c r="E1005" s="8" t="s">
        <v>385</v>
      </c>
      <c r="F1005" s="8" t="s">
        <v>11845</v>
      </c>
    </row>
    <row r="1006" customHeight="1" spans="1:6">
      <c r="A1006" s="6">
        <v>1005</v>
      </c>
      <c r="B1006" s="8" t="s">
        <v>11846</v>
      </c>
      <c r="C1006" s="8" t="s">
        <v>11847</v>
      </c>
      <c r="D1006" s="8" t="s">
        <v>11848</v>
      </c>
      <c r="E1006" s="8" t="s">
        <v>10183</v>
      </c>
      <c r="F1006" s="8" t="s">
        <v>11849</v>
      </c>
    </row>
    <row r="1007" customHeight="1" spans="1:6">
      <c r="A1007" s="6">
        <v>1006</v>
      </c>
      <c r="B1007" s="8" t="s">
        <v>11846</v>
      </c>
      <c r="C1007" s="8" t="s">
        <v>11847</v>
      </c>
      <c r="D1007" s="8" t="s">
        <v>11848</v>
      </c>
      <c r="E1007" s="8" t="s">
        <v>10183</v>
      </c>
      <c r="F1007" s="8" t="s">
        <v>11849</v>
      </c>
    </row>
    <row r="1008" customHeight="1" spans="1:6">
      <c r="A1008" s="6">
        <v>1007</v>
      </c>
      <c r="B1008" s="8" t="s">
        <v>11850</v>
      </c>
      <c r="C1008" s="8" t="s">
        <v>11851</v>
      </c>
      <c r="D1008" s="8" t="s">
        <v>11852</v>
      </c>
      <c r="E1008" s="8" t="s">
        <v>10221</v>
      </c>
      <c r="F1008" s="8" t="s">
        <v>11853</v>
      </c>
    </row>
    <row r="1009" customHeight="1" spans="1:6">
      <c r="A1009" s="6">
        <v>1008</v>
      </c>
      <c r="B1009" s="8" t="s">
        <v>11850</v>
      </c>
      <c r="C1009" s="8" t="s">
        <v>11851</v>
      </c>
      <c r="D1009" s="8" t="s">
        <v>11852</v>
      </c>
      <c r="E1009" s="8" t="s">
        <v>10221</v>
      </c>
      <c r="F1009" s="8" t="s">
        <v>11853</v>
      </c>
    </row>
    <row r="1010" customHeight="1" spans="1:6">
      <c r="A1010" s="6">
        <v>1009</v>
      </c>
      <c r="B1010" s="8" t="s">
        <v>11854</v>
      </c>
      <c r="C1010" s="8" t="s">
        <v>11855</v>
      </c>
      <c r="D1010" s="8" t="s">
        <v>11053</v>
      </c>
      <c r="E1010" s="8" t="s">
        <v>10221</v>
      </c>
      <c r="F1010" s="8" t="s">
        <v>11856</v>
      </c>
    </row>
    <row r="1011" customHeight="1" spans="1:6">
      <c r="A1011" s="6">
        <v>1010</v>
      </c>
      <c r="B1011" s="8" t="s">
        <v>11854</v>
      </c>
      <c r="C1011" s="8" t="s">
        <v>11855</v>
      </c>
      <c r="D1011" s="8" t="s">
        <v>11053</v>
      </c>
      <c r="E1011" s="8" t="s">
        <v>10221</v>
      </c>
      <c r="F1011" s="8" t="s">
        <v>11856</v>
      </c>
    </row>
    <row r="1012" customHeight="1" spans="1:6">
      <c r="A1012" s="6">
        <v>1011</v>
      </c>
      <c r="B1012" s="8" t="s">
        <v>11857</v>
      </c>
      <c r="C1012" s="8" t="s">
        <v>11858</v>
      </c>
      <c r="D1012" s="8" t="s">
        <v>11053</v>
      </c>
      <c r="E1012" s="8" t="s">
        <v>10221</v>
      </c>
      <c r="F1012" s="8" t="s">
        <v>11859</v>
      </c>
    </row>
    <row r="1013" customHeight="1" spans="1:6">
      <c r="A1013" s="6">
        <v>1012</v>
      </c>
      <c r="B1013" s="8" t="s">
        <v>11857</v>
      </c>
      <c r="C1013" s="8" t="s">
        <v>11858</v>
      </c>
      <c r="D1013" s="8" t="s">
        <v>11053</v>
      </c>
      <c r="E1013" s="8" t="s">
        <v>10221</v>
      </c>
      <c r="F1013" s="8" t="s">
        <v>11859</v>
      </c>
    </row>
    <row r="1014" customHeight="1" spans="1:6">
      <c r="A1014" s="6">
        <v>1013</v>
      </c>
      <c r="B1014" s="8" t="s">
        <v>11860</v>
      </c>
      <c r="C1014" s="8" t="s">
        <v>11861</v>
      </c>
      <c r="D1014" s="8" t="s">
        <v>11862</v>
      </c>
      <c r="E1014" s="8" t="s">
        <v>11863</v>
      </c>
      <c r="F1014" s="8" t="s">
        <v>11864</v>
      </c>
    </row>
    <row r="1015" customHeight="1" spans="1:6">
      <c r="A1015" s="6">
        <v>1014</v>
      </c>
      <c r="B1015" s="8" t="s">
        <v>11860</v>
      </c>
      <c r="C1015" s="8" t="s">
        <v>11861</v>
      </c>
      <c r="D1015" s="8" t="s">
        <v>11862</v>
      </c>
      <c r="E1015" s="8" t="s">
        <v>11863</v>
      </c>
      <c r="F1015" s="8" t="s">
        <v>11864</v>
      </c>
    </row>
    <row r="1016" customHeight="1" spans="1:6">
      <c r="A1016" s="6">
        <v>1015</v>
      </c>
      <c r="B1016" s="8" t="s">
        <v>11860</v>
      </c>
      <c r="C1016" s="8" t="s">
        <v>11861</v>
      </c>
      <c r="D1016" s="8" t="s">
        <v>11862</v>
      </c>
      <c r="E1016" s="8" t="s">
        <v>11863</v>
      </c>
      <c r="F1016" s="8" t="s">
        <v>11865</v>
      </c>
    </row>
    <row r="1017" customHeight="1" spans="1:6">
      <c r="A1017" s="6">
        <v>1016</v>
      </c>
      <c r="B1017" s="8" t="s">
        <v>11860</v>
      </c>
      <c r="C1017" s="8" t="s">
        <v>11861</v>
      </c>
      <c r="D1017" s="8" t="s">
        <v>11862</v>
      </c>
      <c r="E1017" s="8" t="s">
        <v>11863</v>
      </c>
      <c r="F1017" s="8" t="s">
        <v>11865</v>
      </c>
    </row>
    <row r="1018" customHeight="1" spans="1:6">
      <c r="A1018" s="6">
        <v>1017</v>
      </c>
      <c r="B1018" s="8" t="s">
        <v>11866</v>
      </c>
      <c r="C1018" s="8" t="s">
        <v>11867</v>
      </c>
      <c r="D1018" s="8" t="s">
        <v>11868</v>
      </c>
      <c r="E1018" s="8" t="s">
        <v>11087</v>
      </c>
      <c r="F1018" s="8" t="s">
        <v>11869</v>
      </c>
    </row>
    <row r="1019" customHeight="1" spans="1:6">
      <c r="A1019" s="6">
        <v>1018</v>
      </c>
      <c r="B1019" s="8" t="s">
        <v>11866</v>
      </c>
      <c r="C1019" s="8" t="s">
        <v>11867</v>
      </c>
      <c r="D1019" s="8" t="s">
        <v>11868</v>
      </c>
      <c r="E1019" s="8" t="s">
        <v>11087</v>
      </c>
      <c r="F1019" s="8" t="s">
        <v>11869</v>
      </c>
    </row>
    <row r="1020" customHeight="1" spans="1:6">
      <c r="A1020" s="6">
        <v>1019</v>
      </c>
      <c r="B1020" s="8" t="s">
        <v>11866</v>
      </c>
      <c r="C1020" s="8" t="s">
        <v>11867</v>
      </c>
      <c r="D1020" s="8" t="s">
        <v>11868</v>
      </c>
      <c r="E1020" s="8" t="s">
        <v>11087</v>
      </c>
      <c r="F1020" s="8" t="s">
        <v>11870</v>
      </c>
    </row>
    <row r="1021" customHeight="1" spans="1:6">
      <c r="A1021" s="6">
        <v>1020</v>
      </c>
      <c r="B1021" s="8" t="s">
        <v>11866</v>
      </c>
      <c r="C1021" s="8" t="s">
        <v>11867</v>
      </c>
      <c r="D1021" s="8" t="s">
        <v>11868</v>
      </c>
      <c r="E1021" s="8" t="s">
        <v>11087</v>
      </c>
      <c r="F1021" s="8" t="s">
        <v>11870</v>
      </c>
    </row>
    <row r="1022" customHeight="1" spans="1:6">
      <c r="A1022" s="6">
        <v>1021</v>
      </c>
      <c r="B1022" s="8" t="s">
        <v>11871</v>
      </c>
      <c r="C1022" s="8" t="s">
        <v>11872</v>
      </c>
      <c r="D1022" s="8" t="s">
        <v>11873</v>
      </c>
      <c r="E1022" s="8" t="s">
        <v>656</v>
      </c>
      <c r="F1022" s="8" t="s">
        <v>11874</v>
      </c>
    </row>
    <row r="1023" customHeight="1" spans="1:6">
      <c r="A1023" s="6">
        <v>1022</v>
      </c>
      <c r="B1023" s="8" t="s">
        <v>11871</v>
      </c>
      <c r="C1023" s="8" t="s">
        <v>11872</v>
      </c>
      <c r="D1023" s="8" t="s">
        <v>11873</v>
      </c>
      <c r="E1023" s="8" t="s">
        <v>656</v>
      </c>
      <c r="F1023" s="8" t="s">
        <v>11874</v>
      </c>
    </row>
    <row r="1024" customHeight="1" spans="1:6">
      <c r="A1024" s="6">
        <v>1023</v>
      </c>
      <c r="B1024" s="8" t="s">
        <v>11875</v>
      </c>
      <c r="C1024" s="8" t="s">
        <v>11876</v>
      </c>
      <c r="D1024" s="8" t="s">
        <v>11877</v>
      </c>
      <c r="E1024" s="8" t="s">
        <v>10819</v>
      </c>
      <c r="F1024" s="8" t="s">
        <v>11878</v>
      </c>
    </row>
    <row r="1025" customHeight="1" spans="1:6">
      <c r="A1025" s="6">
        <v>1024</v>
      </c>
      <c r="B1025" s="8" t="s">
        <v>11875</v>
      </c>
      <c r="C1025" s="8" t="s">
        <v>11876</v>
      </c>
      <c r="D1025" s="8" t="s">
        <v>11877</v>
      </c>
      <c r="E1025" s="8" t="s">
        <v>10819</v>
      </c>
      <c r="F1025" s="8" t="s">
        <v>11878</v>
      </c>
    </row>
    <row r="1026" customHeight="1" spans="1:6">
      <c r="A1026" s="6">
        <v>1025</v>
      </c>
      <c r="B1026" s="8" t="s">
        <v>11879</v>
      </c>
      <c r="C1026" s="8" t="s">
        <v>11880</v>
      </c>
      <c r="D1026" s="8" t="s">
        <v>11881</v>
      </c>
      <c r="E1026" s="8" t="s">
        <v>5039</v>
      </c>
      <c r="F1026" s="8" t="s">
        <v>11882</v>
      </c>
    </row>
    <row r="1027" customHeight="1" spans="1:6">
      <c r="A1027" s="6">
        <v>1026</v>
      </c>
      <c r="B1027" s="8" t="s">
        <v>11879</v>
      </c>
      <c r="C1027" s="8" t="s">
        <v>11880</v>
      </c>
      <c r="D1027" s="8" t="s">
        <v>11881</v>
      </c>
      <c r="E1027" s="8" t="s">
        <v>5039</v>
      </c>
      <c r="F1027" s="8" t="s">
        <v>11882</v>
      </c>
    </row>
    <row r="1028" customHeight="1" spans="1:6">
      <c r="A1028" s="6">
        <v>1027</v>
      </c>
      <c r="B1028" s="8" t="s">
        <v>11883</v>
      </c>
      <c r="C1028" s="8" t="s">
        <v>11884</v>
      </c>
      <c r="D1028" s="8" t="s">
        <v>11885</v>
      </c>
      <c r="E1028" s="8" t="s">
        <v>425</v>
      </c>
      <c r="F1028" s="8" t="s">
        <v>11886</v>
      </c>
    </row>
    <row r="1029" customHeight="1" spans="1:6">
      <c r="A1029" s="6">
        <v>1028</v>
      </c>
      <c r="B1029" s="8" t="s">
        <v>11883</v>
      </c>
      <c r="C1029" s="8" t="s">
        <v>11884</v>
      </c>
      <c r="D1029" s="8" t="s">
        <v>11885</v>
      </c>
      <c r="E1029" s="8" t="s">
        <v>425</v>
      </c>
      <c r="F1029" s="8" t="s">
        <v>11886</v>
      </c>
    </row>
    <row r="1030" customHeight="1" spans="1:6">
      <c r="A1030" s="6">
        <v>1029</v>
      </c>
      <c r="B1030" s="8" t="s">
        <v>11887</v>
      </c>
      <c r="C1030" s="8" t="s">
        <v>11888</v>
      </c>
      <c r="D1030" s="8" t="s">
        <v>11889</v>
      </c>
      <c r="E1030" s="8" t="s">
        <v>10819</v>
      </c>
      <c r="F1030" s="8" t="s">
        <v>11890</v>
      </c>
    </row>
    <row r="1031" customHeight="1" spans="1:6">
      <c r="A1031" s="6">
        <v>1030</v>
      </c>
      <c r="B1031" s="8" t="s">
        <v>11887</v>
      </c>
      <c r="C1031" s="8" t="s">
        <v>11888</v>
      </c>
      <c r="D1031" s="8" t="s">
        <v>11889</v>
      </c>
      <c r="E1031" s="8" t="s">
        <v>10819</v>
      </c>
      <c r="F1031" s="8" t="s">
        <v>11890</v>
      </c>
    </row>
    <row r="1032" customHeight="1" spans="1:6">
      <c r="A1032" s="6">
        <v>1031</v>
      </c>
      <c r="B1032" s="8" t="s">
        <v>11891</v>
      </c>
      <c r="C1032" s="8" t="s">
        <v>11892</v>
      </c>
      <c r="D1032" s="8" t="s">
        <v>11893</v>
      </c>
      <c r="E1032" s="8" t="s">
        <v>11087</v>
      </c>
      <c r="F1032" s="8" t="s">
        <v>11894</v>
      </c>
    </row>
    <row r="1033" customHeight="1" spans="1:6">
      <c r="A1033" s="6">
        <v>1032</v>
      </c>
      <c r="B1033" s="8" t="s">
        <v>11891</v>
      </c>
      <c r="C1033" s="8" t="s">
        <v>11892</v>
      </c>
      <c r="D1033" s="8" t="s">
        <v>11893</v>
      </c>
      <c r="E1033" s="8" t="s">
        <v>11087</v>
      </c>
      <c r="F1033" s="8" t="s">
        <v>11894</v>
      </c>
    </row>
    <row r="1034" customHeight="1" spans="1:6">
      <c r="A1034" s="6">
        <v>1033</v>
      </c>
      <c r="B1034" s="8" t="s">
        <v>11895</v>
      </c>
      <c r="C1034" s="8" t="s">
        <v>11896</v>
      </c>
      <c r="D1034" s="8" t="s">
        <v>11897</v>
      </c>
      <c r="E1034" s="8" t="s">
        <v>4533</v>
      </c>
      <c r="F1034" s="8" t="s">
        <v>11898</v>
      </c>
    </row>
    <row r="1035" customHeight="1" spans="1:6">
      <c r="A1035" s="6">
        <v>1034</v>
      </c>
      <c r="B1035" s="8" t="s">
        <v>11895</v>
      </c>
      <c r="C1035" s="8" t="s">
        <v>11896</v>
      </c>
      <c r="D1035" s="8" t="s">
        <v>11897</v>
      </c>
      <c r="E1035" s="8" t="s">
        <v>4533</v>
      </c>
      <c r="F1035" s="8" t="s">
        <v>11898</v>
      </c>
    </row>
    <row r="1036" customHeight="1" spans="1:6">
      <c r="A1036" s="6">
        <v>1035</v>
      </c>
      <c r="B1036" s="8" t="s">
        <v>11899</v>
      </c>
      <c r="C1036" s="8" t="s">
        <v>11900</v>
      </c>
      <c r="D1036" s="8" t="s">
        <v>11901</v>
      </c>
      <c r="E1036" s="8" t="s">
        <v>10819</v>
      </c>
      <c r="F1036" s="8" t="s">
        <v>11902</v>
      </c>
    </row>
    <row r="1037" customHeight="1" spans="1:6">
      <c r="A1037" s="6">
        <v>1036</v>
      </c>
      <c r="B1037" s="8" t="s">
        <v>11899</v>
      </c>
      <c r="C1037" s="8" t="s">
        <v>11900</v>
      </c>
      <c r="D1037" s="8" t="s">
        <v>11901</v>
      </c>
      <c r="E1037" s="8" t="s">
        <v>10819</v>
      </c>
      <c r="F1037" s="8" t="s">
        <v>11902</v>
      </c>
    </row>
    <row r="1038" customHeight="1" spans="1:6">
      <c r="A1038" s="6">
        <v>1037</v>
      </c>
      <c r="B1038" s="8" t="s">
        <v>11903</v>
      </c>
      <c r="C1038" s="8" t="s">
        <v>11904</v>
      </c>
      <c r="D1038" s="8" t="s">
        <v>11905</v>
      </c>
      <c r="E1038" s="8" t="s">
        <v>10814</v>
      </c>
      <c r="F1038" s="8" t="s">
        <v>11906</v>
      </c>
    </row>
    <row r="1039" customHeight="1" spans="1:6">
      <c r="A1039" s="6">
        <v>1038</v>
      </c>
      <c r="B1039" s="8" t="s">
        <v>11903</v>
      </c>
      <c r="C1039" s="8" t="s">
        <v>11904</v>
      </c>
      <c r="D1039" s="8" t="s">
        <v>11905</v>
      </c>
      <c r="E1039" s="8" t="s">
        <v>10814</v>
      </c>
      <c r="F1039" s="8" t="s">
        <v>11906</v>
      </c>
    </row>
    <row r="1040" customHeight="1" spans="1:6">
      <c r="A1040" s="6">
        <v>1039</v>
      </c>
      <c r="B1040" s="8" t="s">
        <v>11907</v>
      </c>
      <c r="C1040" s="8" t="s">
        <v>11908</v>
      </c>
      <c r="D1040" s="8" t="s">
        <v>11909</v>
      </c>
      <c r="E1040" s="8" t="s">
        <v>544</v>
      </c>
      <c r="F1040" s="8" t="s">
        <v>11910</v>
      </c>
    </row>
    <row r="1041" customHeight="1" spans="1:6">
      <c r="A1041" s="6">
        <v>1040</v>
      </c>
      <c r="B1041" s="8" t="s">
        <v>11907</v>
      </c>
      <c r="C1041" s="8" t="s">
        <v>11908</v>
      </c>
      <c r="D1041" s="8" t="s">
        <v>11909</v>
      </c>
      <c r="E1041" s="8" t="s">
        <v>544</v>
      </c>
      <c r="F1041" s="8" t="s">
        <v>11910</v>
      </c>
    </row>
    <row r="1042" customHeight="1" spans="1:6">
      <c r="A1042" s="6">
        <v>1041</v>
      </c>
      <c r="B1042" s="8" t="s">
        <v>11911</v>
      </c>
      <c r="C1042" s="8" t="s">
        <v>11912</v>
      </c>
      <c r="D1042" s="8" t="s">
        <v>11913</v>
      </c>
      <c r="E1042" s="8" t="s">
        <v>4896</v>
      </c>
      <c r="F1042" s="8" t="s">
        <v>11914</v>
      </c>
    </row>
    <row r="1043" customHeight="1" spans="1:6">
      <c r="A1043" s="6">
        <v>1042</v>
      </c>
      <c r="B1043" s="8" t="s">
        <v>11911</v>
      </c>
      <c r="C1043" s="8" t="s">
        <v>11912</v>
      </c>
      <c r="D1043" s="8" t="s">
        <v>11913</v>
      </c>
      <c r="E1043" s="8" t="s">
        <v>4896</v>
      </c>
      <c r="F1043" s="8" t="s">
        <v>11914</v>
      </c>
    </row>
    <row r="1044" customHeight="1" spans="1:6">
      <c r="A1044" s="6">
        <v>1043</v>
      </c>
      <c r="B1044" s="8" t="s">
        <v>11915</v>
      </c>
      <c r="C1044" s="8" t="s">
        <v>11916</v>
      </c>
      <c r="D1044" s="8" t="s">
        <v>11917</v>
      </c>
      <c r="E1044" s="8" t="s">
        <v>1400</v>
      </c>
      <c r="F1044" s="8" t="s">
        <v>11918</v>
      </c>
    </row>
    <row r="1045" customHeight="1" spans="1:6">
      <c r="A1045" s="6">
        <v>1044</v>
      </c>
      <c r="B1045" s="8" t="s">
        <v>11915</v>
      </c>
      <c r="C1045" s="8" t="s">
        <v>11916</v>
      </c>
      <c r="D1045" s="8" t="s">
        <v>11917</v>
      </c>
      <c r="E1045" s="8" t="s">
        <v>1400</v>
      </c>
      <c r="F1045" s="8" t="s">
        <v>11918</v>
      </c>
    </row>
    <row r="1046" customHeight="1" spans="1:6">
      <c r="A1046" s="6">
        <v>1045</v>
      </c>
      <c r="B1046" s="8" t="s">
        <v>11919</v>
      </c>
      <c r="C1046" s="8" t="s">
        <v>11920</v>
      </c>
      <c r="D1046" s="8" t="s">
        <v>11921</v>
      </c>
      <c r="E1046" s="8" t="s">
        <v>365</v>
      </c>
      <c r="F1046" s="8" t="s">
        <v>11922</v>
      </c>
    </row>
    <row r="1047" customHeight="1" spans="1:6">
      <c r="A1047" s="6">
        <v>1046</v>
      </c>
      <c r="B1047" s="8" t="s">
        <v>11919</v>
      </c>
      <c r="C1047" s="8" t="s">
        <v>11920</v>
      </c>
      <c r="D1047" s="8" t="s">
        <v>11921</v>
      </c>
      <c r="E1047" s="8" t="s">
        <v>365</v>
      </c>
      <c r="F1047" s="8" t="s">
        <v>11922</v>
      </c>
    </row>
    <row r="1048" customHeight="1" spans="1:6">
      <c r="A1048" s="6">
        <v>1047</v>
      </c>
      <c r="B1048" s="8" t="s">
        <v>11923</v>
      </c>
      <c r="C1048" s="8" t="s">
        <v>11924</v>
      </c>
      <c r="D1048" s="8" t="s">
        <v>11921</v>
      </c>
      <c r="E1048" s="8" t="s">
        <v>365</v>
      </c>
      <c r="F1048" s="8" t="s">
        <v>11925</v>
      </c>
    </row>
    <row r="1049" customHeight="1" spans="1:6">
      <c r="A1049" s="6">
        <v>1048</v>
      </c>
      <c r="B1049" s="8" t="s">
        <v>11923</v>
      </c>
      <c r="C1049" s="8" t="s">
        <v>11924</v>
      </c>
      <c r="D1049" s="8" t="s">
        <v>11921</v>
      </c>
      <c r="E1049" s="8" t="s">
        <v>365</v>
      </c>
      <c r="F1049" s="8" t="s">
        <v>11925</v>
      </c>
    </row>
    <row r="1050" customHeight="1" spans="1:6">
      <c r="A1050" s="6">
        <v>1049</v>
      </c>
      <c r="B1050" s="8" t="s">
        <v>11926</v>
      </c>
      <c r="C1050" s="8" t="s">
        <v>11927</v>
      </c>
      <c r="D1050" s="8" t="s">
        <v>11921</v>
      </c>
      <c r="E1050" s="8" t="s">
        <v>365</v>
      </c>
      <c r="F1050" s="8" t="s">
        <v>11928</v>
      </c>
    </row>
    <row r="1051" customHeight="1" spans="1:6">
      <c r="A1051" s="6">
        <v>1050</v>
      </c>
      <c r="B1051" s="8" t="s">
        <v>11926</v>
      </c>
      <c r="C1051" s="8" t="s">
        <v>11927</v>
      </c>
      <c r="D1051" s="8" t="s">
        <v>11921</v>
      </c>
      <c r="E1051" s="8" t="s">
        <v>365</v>
      </c>
      <c r="F1051" s="8" t="s">
        <v>11928</v>
      </c>
    </row>
    <row r="1052" customHeight="1" spans="1:6">
      <c r="A1052" s="6">
        <v>1051</v>
      </c>
      <c r="B1052" s="8" t="s">
        <v>11929</v>
      </c>
      <c r="C1052" s="8" t="s">
        <v>11930</v>
      </c>
      <c r="D1052" s="8" t="s">
        <v>11921</v>
      </c>
      <c r="E1052" s="8" t="s">
        <v>365</v>
      </c>
      <c r="F1052" s="8" t="s">
        <v>11931</v>
      </c>
    </row>
    <row r="1053" customHeight="1" spans="1:6">
      <c r="A1053" s="6">
        <v>1052</v>
      </c>
      <c r="B1053" s="8" t="s">
        <v>11929</v>
      </c>
      <c r="C1053" s="8" t="s">
        <v>11930</v>
      </c>
      <c r="D1053" s="8" t="s">
        <v>11921</v>
      </c>
      <c r="E1053" s="8" t="s">
        <v>365</v>
      </c>
      <c r="F1053" s="8" t="s">
        <v>11931</v>
      </c>
    </row>
    <row r="1054" customHeight="1" spans="1:6">
      <c r="A1054" s="6">
        <v>1053</v>
      </c>
      <c r="B1054" s="8" t="s">
        <v>11932</v>
      </c>
      <c r="C1054" s="8" t="s">
        <v>11933</v>
      </c>
      <c r="D1054" s="8" t="s">
        <v>11934</v>
      </c>
      <c r="E1054" s="8" t="s">
        <v>11935</v>
      </c>
      <c r="F1054" s="8" t="s">
        <v>11936</v>
      </c>
    </row>
    <row r="1055" customHeight="1" spans="1:6">
      <c r="A1055" s="6">
        <v>1054</v>
      </c>
      <c r="B1055" s="8" t="s">
        <v>11932</v>
      </c>
      <c r="C1055" s="8" t="s">
        <v>11933</v>
      </c>
      <c r="D1055" s="8" t="s">
        <v>11934</v>
      </c>
      <c r="E1055" s="8" t="s">
        <v>11935</v>
      </c>
      <c r="F1055" s="8" t="s">
        <v>11936</v>
      </c>
    </row>
    <row r="1056" customHeight="1" spans="1:6">
      <c r="A1056" s="6">
        <v>1055</v>
      </c>
      <c r="B1056" s="8" t="s">
        <v>11932</v>
      </c>
      <c r="C1056" s="8" t="s">
        <v>11937</v>
      </c>
      <c r="D1056" s="8" t="s">
        <v>11934</v>
      </c>
      <c r="E1056" s="8" t="s">
        <v>11935</v>
      </c>
      <c r="F1056" s="8" t="s">
        <v>11938</v>
      </c>
    </row>
    <row r="1057" customHeight="1" spans="1:6">
      <c r="A1057" s="6">
        <v>1056</v>
      </c>
      <c r="B1057" s="8" t="s">
        <v>11932</v>
      </c>
      <c r="C1057" s="8" t="s">
        <v>11937</v>
      </c>
      <c r="D1057" s="8" t="s">
        <v>11934</v>
      </c>
      <c r="E1057" s="8" t="s">
        <v>11935</v>
      </c>
      <c r="F1057" s="8" t="s">
        <v>11938</v>
      </c>
    </row>
    <row r="1058" customHeight="1" spans="1:6">
      <c r="A1058" s="6">
        <v>1057</v>
      </c>
      <c r="B1058" s="8" t="s">
        <v>11939</v>
      </c>
      <c r="C1058" s="8" t="s">
        <v>11940</v>
      </c>
      <c r="D1058" s="8" t="s">
        <v>11941</v>
      </c>
      <c r="E1058" s="8" t="s">
        <v>365</v>
      </c>
      <c r="F1058" s="8" t="s">
        <v>11942</v>
      </c>
    </row>
    <row r="1059" customHeight="1" spans="1:6">
      <c r="A1059" s="6">
        <v>1058</v>
      </c>
      <c r="B1059" s="8" t="s">
        <v>11939</v>
      </c>
      <c r="C1059" s="8" t="s">
        <v>11940</v>
      </c>
      <c r="D1059" s="8" t="s">
        <v>11941</v>
      </c>
      <c r="E1059" s="8" t="s">
        <v>365</v>
      </c>
      <c r="F1059" s="8" t="s">
        <v>11942</v>
      </c>
    </row>
    <row r="1060" customHeight="1" spans="1:6">
      <c r="A1060" s="6">
        <v>1059</v>
      </c>
      <c r="B1060" s="8" t="s">
        <v>11943</v>
      </c>
      <c r="C1060" s="8" t="s">
        <v>11944</v>
      </c>
      <c r="D1060" s="8" t="s">
        <v>11945</v>
      </c>
      <c r="E1060" s="8" t="s">
        <v>701</v>
      </c>
      <c r="F1060" s="8" t="s">
        <v>11946</v>
      </c>
    </row>
    <row r="1061" customHeight="1" spans="1:6">
      <c r="A1061" s="6">
        <v>1060</v>
      </c>
      <c r="B1061" s="8" t="s">
        <v>11943</v>
      </c>
      <c r="C1061" s="8" t="s">
        <v>11944</v>
      </c>
      <c r="D1061" s="8" t="s">
        <v>11945</v>
      </c>
      <c r="E1061" s="8" t="s">
        <v>701</v>
      </c>
      <c r="F1061" s="8" t="s">
        <v>11946</v>
      </c>
    </row>
    <row r="1062" customHeight="1" spans="1:6">
      <c r="A1062" s="6">
        <v>1061</v>
      </c>
      <c r="B1062" s="8" t="s">
        <v>11947</v>
      </c>
      <c r="C1062" s="8" t="s">
        <v>11948</v>
      </c>
      <c r="D1062" s="8" t="s">
        <v>11949</v>
      </c>
      <c r="E1062" s="8" t="s">
        <v>701</v>
      </c>
      <c r="F1062" s="8" t="s">
        <v>11950</v>
      </c>
    </row>
    <row r="1063" customHeight="1" spans="1:6">
      <c r="A1063" s="6">
        <v>1062</v>
      </c>
      <c r="B1063" s="8" t="s">
        <v>11947</v>
      </c>
      <c r="C1063" s="8" t="s">
        <v>11948</v>
      </c>
      <c r="D1063" s="8" t="s">
        <v>11949</v>
      </c>
      <c r="E1063" s="8" t="s">
        <v>701</v>
      </c>
      <c r="F1063" s="8" t="s">
        <v>11950</v>
      </c>
    </row>
    <row r="1064" customHeight="1" spans="1:6">
      <c r="A1064" s="6">
        <v>1063</v>
      </c>
      <c r="B1064" s="8" t="s">
        <v>11951</v>
      </c>
      <c r="C1064" s="8" t="s">
        <v>11952</v>
      </c>
      <c r="D1064" s="8" t="s">
        <v>11953</v>
      </c>
      <c r="E1064" s="8" t="s">
        <v>701</v>
      </c>
      <c r="F1064" s="8" t="s">
        <v>11954</v>
      </c>
    </row>
    <row r="1065" customHeight="1" spans="1:6">
      <c r="A1065" s="6">
        <v>1064</v>
      </c>
      <c r="B1065" s="8" t="s">
        <v>11951</v>
      </c>
      <c r="C1065" s="8" t="s">
        <v>11952</v>
      </c>
      <c r="D1065" s="8" t="s">
        <v>11953</v>
      </c>
      <c r="E1065" s="8" t="s">
        <v>701</v>
      </c>
      <c r="F1065" s="8" t="s">
        <v>11954</v>
      </c>
    </row>
    <row r="1066" customHeight="1" spans="1:6">
      <c r="A1066" s="6">
        <v>1065</v>
      </c>
      <c r="B1066" s="8" t="s">
        <v>11955</v>
      </c>
      <c r="C1066" s="8" t="s">
        <v>11956</v>
      </c>
      <c r="D1066" s="8" t="s">
        <v>11957</v>
      </c>
      <c r="E1066" s="8" t="s">
        <v>1667</v>
      </c>
      <c r="F1066" s="8" t="s">
        <v>11958</v>
      </c>
    </row>
    <row r="1067" customHeight="1" spans="1:6">
      <c r="A1067" s="6">
        <v>1066</v>
      </c>
      <c r="B1067" s="8" t="s">
        <v>11955</v>
      </c>
      <c r="C1067" s="8" t="s">
        <v>11956</v>
      </c>
      <c r="D1067" s="8" t="s">
        <v>11957</v>
      </c>
      <c r="E1067" s="8" t="s">
        <v>1667</v>
      </c>
      <c r="F1067" s="8" t="s">
        <v>11958</v>
      </c>
    </row>
    <row r="1068" customHeight="1" spans="1:6">
      <c r="A1068" s="6">
        <v>1067</v>
      </c>
      <c r="B1068" s="8" t="s">
        <v>11959</v>
      </c>
      <c r="C1068" s="8" t="s">
        <v>11960</v>
      </c>
      <c r="D1068" s="8" t="s">
        <v>11961</v>
      </c>
      <c r="E1068" s="8" t="s">
        <v>11087</v>
      </c>
      <c r="F1068" s="8" t="s">
        <v>11962</v>
      </c>
    </row>
    <row r="1069" customHeight="1" spans="1:6">
      <c r="A1069" s="6">
        <v>1068</v>
      </c>
      <c r="B1069" s="8" t="s">
        <v>11959</v>
      </c>
      <c r="C1069" s="8" t="s">
        <v>11960</v>
      </c>
      <c r="D1069" s="8" t="s">
        <v>11961</v>
      </c>
      <c r="E1069" s="8" t="s">
        <v>11087</v>
      </c>
      <c r="F1069" s="8" t="s">
        <v>11962</v>
      </c>
    </row>
    <row r="1070" customHeight="1" spans="1:6">
      <c r="A1070" s="6">
        <v>1069</v>
      </c>
      <c r="B1070" s="8" t="s">
        <v>11963</v>
      </c>
      <c r="C1070" s="8" t="s">
        <v>11964</v>
      </c>
      <c r="D1070" s="8" t="s">
        <v>11965</v>
      </c>
      <c r="E1070" s="8" t="s">
        <v>11087</v>
      </c>
      <c r="F1070" s="8" t="s">
        <v>11966</v>
      </c>
    </row>
    <row r="1071" customHeight="1" spans="1:6">
      <c r="A1071" s="6">
        <v>1070</v>
      </c>
      <c r="B1071" s="8" t="s">
        <v>11963</v>
      </c>
      <c r="C1071" s="8" t="s">
        <v>11964</v>
      </c>
      <c r="D1071" s="8" t="s">
        <v>11965</v>
      </c>
      <c r="E1071" s="8" t="s">
        <v>11087</v>
      </c>
      <c r="F1071" s="8" t="s">
        <v>11966</v>
      </c>
    </row>
    <row r="1072" customHeight="1" spans="1:6">
      <c r="A1072" s="6">
        <v>1071</v>
      </c>
      <c r="B1072" s="8" t="s">
        <v>11963</v>
      </c>
      <c r="C1072" s="8" t="s">
        <v>11967</v>
      </c>
      <c r="D1072" s="8" t="s">
        <v>11965</v>
      </c>
      <c r="E1072" s="8" t="s">
        <v>11087</v>
      </c>
      <c r="F1072" s="8" t="s">
        <v>11968</v>
      </c>
    </row>
    <row r="1073" customHeight="1" spans="1:6">
      <c r="A1073" s="6">
        <v>1072</v>
      </c>
      <c r="B1073" s="8" t="s">
        <v>11963</v>
      </c>
      <c r="C1073" s="8" t="s">
        <v>11967</v>
      </c>
      <c r="D1073" s="8" t="s">
        <v>11965</v>
      </c>
      <c r="E1073" s="8" t="s">
        <v>11087</v>
      </c>
      <c r="F1073" s="8" t="s">
        <v>11968</v>
      </c>
    </row>
    <row r="1074" customHeight="1" spans="1:6">
      <c r="A1074" s="6">
        <v>1073</v>
      </c>
      <c r="B1074" s="8" t="s">
        <v>11963</v>
      </c>
      <c r="C1074" s="8" t="s">
        <v>11969</v>
      </c>
      <c r="D1074" s="8" t="s">
        <v>11965</v>
      </c>
      <c r="E1074" s="8" t="s">
        <v>11087</v>
      </c>
      <c r="F1074" s="8" t="s">
        <v>11970</v>
      </c>
    </row>
    <row r="1075" customHeight="1" spans="1:6">
      <c r="A1075" s="6">
        <v>1074</v>
      </c>
      <c r="B1075" s="8" t="s">
        <v>11963</v>
      </c>
      <c r="C1075" s="8" t="s">
        <v>11969</v>
      </c>
      <c r="D1075" s="8" t="s">
        <v>11965</v>
      </c>
      <c r="E1075" s="8" t="s">
        <v>11087</v>
      </c>
      <c r="F1075" s="8" t="s">
        <v>11970</v>
      </c>
    </row>
    <row r="1076" customHeight="1" spans="1:6">
      <c r="A1076" s="6">
        <v>1075</v>
      </c>
      <c r="B1076" s="8" t="s">
        <v>11963</v>
      </c>
      <c r="C1076" s="8" t="s">
        <v>11971</v>
      </c>
      <c r="D1076" s="8" t="s">
        <v>11965</v>
      </c>
      <c r="E1076" s="8" t="s">
        <v>11087</v>
      </c>
      <c r="F1076" s="8" t="s">
        <v>11972</v>
      </c>
    </row>
    <row r="1077" customHeight="1" spans="1:6">
      <c r="A1077" s="6">
        <v>1076</v>
      </c>
      <c r="B1077" s="8" t="s">
        <v>11963</v>
      </c>
      <c r="C1077" s="8" t="s">
        <v>11971</v>
      </c>
      <c r="D1077" s="8" t="s">
        <v>11965</v>
      </c>
      <c r="E1077" s="8" t="s">
        <v>11087</v>
      </c>
      <c r="F1077" s="8" t="s">
        <v>11972</v>
      </c>
    </row>
    <row r="1078" customHeight="1" spans="1:6">
      <c r="A1078" s="6">
        <v>1077</v>
      </c>
      <c r="B1078" s="8" t="s">
        <v>11963</v>
      </c>
      <c r="C1078" s="8" t="s">
        <v>11973</v>
      </c>
      <c r="D1078" s="8" t="s">
        <v>11965</v>
      </c>
      <c r="E1078" s="8" t="s">
        <v>11087</v>
      </c>
      <c r="F1078" s="8" t="s">
        <v>11974</v>
      </c>
    </row>
    <row r="1079" customHeight="1" spans="1:6">
      <c r="A1079" s="6">
        <v>1078</v>
      </c>
      <c r="B1079" s="8" t="s">
        <v>11963</v>
      </c>
      <c r="C1079" s="8" t="s">
        <v>11973</v>
      </c>
      <c r="D1079" s="8" t="s">
        <v>11965</v>
      </c>
      <c r="E1079" s="8" t="s">
        <v>11087</v>
      </c>
      <c r="F1079" s="8" t="s">
        <v>11974</v>
      </c>
    </row>
    <row r="1080" customHeight="1" spans="1:6">
      <c r="A1080" s="6">
        <v>1079</v>
      </c>
      <c r="B1080" s="8" t="s">
        <v>11963</v>
      </c>
      <c r="C1080" s="8" t="s">
        <v>11975</v>
      </c>
      <c r="D1080" s="8" t="s">
        <v>11965</v>
      </c>
      <c r="E1080" s="8" t="s">
        <v>11087</v>
      </c>
      <c r="F1080" s="8" t="s">
        <v>11976</v>
      </c>
    </row>
    <row r="1081" customHeight="1" spans="1:6">
      <c r="A1081" s="6">
        <v>1080</v>
      </c>
      <c r="B1081" s="8" t="s">
        <v>11963</v>
      </c>
      <c r="C1081" s="8" t="s">
        <v>11975</v>
      </c>
      <c r="D1081" s="8" t="s">
        <v>11965</v>
      </c>
      <c r="E1081" s="8" t="s">
        <v>11087</v>
      </c>
      <c r="F1081" s="8" t="s">
        <v>11976</v>
      </c>
    </row>
    <row r="1082" customHeight="1" spans="1:6">
      <c r="A1082" s="6">
        <v>1081</v>
      </c>
      <c r="B1082" s="8" t="s">
        <v>11963</v>
      </c>
      <c r="C1082" s="8" t="s">
        <v>11977</v>
      </c>
      <c r="D1082" s="8" t="s">
        <v>11965</v>
      </c>
      <c r="E1082" s="8" t="s">
        <v>11087</v>
      </c>
      <c r="F1082" s="8" t="s">
        <v>11978</v>
      </c>
    </row>
    <row r="1083" customHeight="1" spans="1:6">
      <c r="A1083" s="6">
        <v>1082</v>
      </c>
      <c r="B1083" s="8" t="s">
        <v>11963</v>
      </c>
      <c r="C1083" s="8" t="s">
        <v>11977</v>
      </c>
      <c r="D1083" s="8" t="s">
        <v>11965</v>
      </c>
      <c r="E1083" s="8" t="s">
        <v>11087</v>
      </c>
      <c r="F1083" s="8" t="s">
        <v>11978</v>
      </c>
    </row>
    <row r="1084" customHeight="1" spans="1:6">
      <c r="A1084" s="6">
        <v>1083</v>
      </c>
      <c r="B1084" s="8" t="s">
        <v>11963</v>
      </c>
      <c r="C1084" s="8" t="s">
        <v>11979</v>
      </c>
      <c r="D1084" s="8" t="s">
        <v>11965</v>
      </c>
      <c r="E1084" s="8" t="s">
        <v>11087</v>
      </c>
      <c r="F1084" s="8" t="s">
        <v>11980</v>
      </c>
    </row>
    <row r="1085" customHeight="1" spans="1:6">
      <c r="A1085" s="6">
        <v>1084</v>
      </c>
      <c r="B1085" s="8" t="s">
        <v>11963</v>
      </c>
      <c r="C1085" s="8" t="s">
        <v>11979</v>
      </c>
      <c r="D1085" s="8" t="s">
        <v>11965</v>
      </c>
      <c r="E1085" s="8" t="s">
        <v>11087</v>
      </c>
      <c r="F1085" s="8" t="s">
        <v>11980</v>
      </c>
    </row>
    <row r="1086" customHeight="1" spans="1:6">
      <c r="A1086" s="6">
        <v>1085</v>
      </c>
      <c r="B1086" s="8" t="s">
        <v>11963</v>
      </c>
      <c r="C1086" s="8" t="s">
        <v>11964</v>
      </c>
      <c r="D1086" s="8" t="s">
        <v>11965</v>
      </c>
      <c r="E1086" s="8" t="s">
        <v>11087</v>
      </c>
      <c r="F1086" s="8" t="s">
        <v>11981</v>
      </c>
    </row>
    <row r="1087" customHeight="1" spans="1:6">
      <c r="A1087" s="6">
        <v>1086</v>
      </c>
      <c r="B1087" s="8" t="s">
        <v>11963</v>
      </c>
      <c r="C1087" s="8" t="s">
        <v>11964</v>
      </c>
      <c r="D1087" s="8" t="s">
        <v>11965</v>
      </c>
      <c r="E1087" s="8" t="s">
        <v>11087</v>
      </c>
      <c r="F1087" s="8" t="s">
        <v>11981</v>
      </c>
    </row>
    <row r="1088" customHeight="1" spans="1:6">
      <c r="A1088" s="6">
        <v>1087</v>
      </c>
      <c r="B1088" s="8" t="s">
        <v>11963</v>
      </c>
      <c r="C1088" s="8" t="s">
        <v>11967</v>
      </c>
      <c r="D1088" s="8" t="s">
        <v>11965</v>
      </c>
      <c r="E1088" s="8" t="s">
        <v>11087</v>
      </c>
      <c r="F1088" s="8" t="s">
        <v>11982</v>
      </c>
    </row>
    <row r="1089" customHeight="1" spans="1:6">
      <c r="A1089" s="6">
        <v>1088</v>
      </c>
      <c r="B1089" s="8" t="s">
        <v>11963</v>
      </c>
      <c r="C1089" s="8" t="s">
        <v>11967</v>
      </c>
      <c r="D1089" s="8" t="s">
        <v>11965</v>
      </c>
      <c r="E1089" s="8" t="s">
        <v>11087</v>
      </c>
      <c r="F1089" s="8" t="s">
        <v>11982</v>
      </c>
    </row>
    <row r="1090" customHeight="1" spans="1:6">
      <c r="A1090" s="6">
        <v>1089</v>
      </c>
      <c r="B1090" s="8" t="s">
        <v>11963</v>
      </c>
      <c r="C1090" s="8" t="s">
        <v>11969</v>
      </c>
      <c r="D1090" s="8" t="s">
        <v>11965</v>
      </c>
      <c r="E1090" s="8" t="s">
        <v>11087</v>
      </c>
      <c r="F1090" s="8" t="s">
        <v>11983</v>
      </c>
    </row>
    <row r="1091" customHeight="1" spans="1:6">
      <c r="A1091" s="6">
        <v>1090</v>
      </c>
      <c r="B1091" s="8" t="s">
        <v>11963</v>
      </c>
      <c r="C1091" s="8" t="s">
        <v>11969</v>
      </c>
      <c r="D1091" s="8" t="s">
        <v>11965</v>
      </c>
      <c r="E1091" s="8" t="s">
        <v>11087</v>
      </c>
      <c r="F1091" s="8" t="s">
        <v>11983</v>
      </c>
    </row>
    <row r="1092" customHeight="1" spans="1:6">
      <c r="A1092" s="6">
        <v>1091</v>
      </c>
      <c r="B1092" s="8" t="s">
        <v>11963</v>
      </c>
      <c r="C1092" s="8" t="s">
        <v>11971</v>
      </c>
      <c r="D1092" s="8" t="s">
        <v>11965</v>
      </c>
      <c r="E1092" s="8" t="s">
        <v>11087</v>
      </c>
      <c r="F1092" s="8" t="s">
        <v>11984</v>
      </c>
    </row>
    <row r="1093" customHeight="1" spans="1:6">
      <c r="A1093" s="6">
        <v>1092</v>
      </c>
      <c r="B1093" s="8" t="s">
        <v>11963</v>
      </c>
      <c r="C1093" s="8" t="s">
        <v>11971</v>
      </c>
      <c r="D1093" s="8" t="s">
        <v>11965</v>
      </c>
      <c r="E1093" s="8" t="s">
        <v>11087</v>
      </c>
      <c r="F1093" s="8" t="s">
        <v>11984</v>
      </c>
    </row>
    <row r="1094" customHeight="1" spans="1:6">
      <c r="A1094" s="6">
        <v>1093</v>
      </c>
      <c r="B1094" s="8" t="s">
        <v>11963</v>
      </c>
      <c r="C1094" s="8" t="s">
        <v>11973</v>
      </c>
      <c r="D1094" s="8" t="s">
        <v>11965</v>
      </c>
      <c r="E1094" s="8" t="s">
        <v>11087</v>
      </c>
      <c r="F1094" s="8" t="s">
        <v>11985</v>
      </c>
    </row>
    <row r="1095" customHeight="1" spans="1:6">
      <c r="A1095" s="6">
        <v>1094</v>
      </c>
      <c r="B1095" s="8" t="s">
        <v>11963</v>
      </c>
      <c r="C1095" s="8" t="s">
        <v>11973</v>
      </c>
      <c r="D1095" s="8" t="s">
        <v>11965</v>
      </c>
      <c r="E1095" s="8" t="s">
        <v>11087</v>
      </c>
      <c r="F1095" s="8" t="s">
        <v>11985</v>
      </c>
    </row>
    <row r="1096" customHeight="1" spans="1:6">
      <c r="A1096" s="6">
        <v>1095</v>
      </c>
      <c r="B1096" s="8" t="s">
        <v>11963</v>
      </c>
      <c r="C1096" s="8" t="s">
        <v>11975</v>
      </c>
      <c r="D1096" s="8" t="s">
        <v>11965</v>
      </c>
      <c r="E1096" s="8" t="s">
        <v>11087</v>
      </c>
      <c r="F1096" s="8" t="s">
        <v>11986</v>
      </c>
    </row>
    <row r="1097" customHeight="1" spans="1:6">
      <c r="A1097" s="6">
        <v>1096</v>
      </c>
      <c r="B1097" s="8" t="s">
        <v>11963</v>
      </c>
      <c r="C1097" s="8" t="s">
        <v>11975</v>
      </c>
      <c r="D1097" s="8" t="s">
        <v>11965</v>
      </c>
      <c r="E1097" s="8" t="s">
        <v>11087</v>
      </c>
      <c r="F1097" s="8" t="s">
        <v>11986</v>
      </c>
    </row>
    <row r="1098" customHeight="1" spans="1:6">
      <c r="A1098" s="6">
        <v>1097</v>
      </c>
      <c r="B1098" s="8" t="s">
        <v>11963</v>
      </c>
      <c r="C1098" s="8" t="s">
        <v>11977</v>
      </c>
      <c r="D1098" s="8" t="s">
        <v>11965</v>
      </c>
      <c r="E1098" s="8" t="s">
        <v>11087</v>
      </c>
      <c r="F1098" s="8" t="s">
        <v>11987</v>
      </c>
    </row>
    <row r="1099" customHeight="1" spans="1:6">
      <c r="A1099" s="6">
        <v>1098</v>
      </c>
      <c r="B1099" s="8" t="s">
        <v>11963</v>
      </c>
      <c r="C1099" s="8" t="s">
        <v>11977</v>
      </c>
      <c r="D1099" s="8" t="s">
        <v>11965</v>
      </c>
      <c r="E1099" s="8" t="s">
        <v>11087</v>
      </c>
      <c r="F1099" s="8" t="s">
        <v>11987</v>
      </c>
    </row>
    <row r="1100" customHeight="1" spans="1:6">
      <c r="A1100" s="6">
        <v>1099</v>
      </c>
      <c r="B1100" s="8" t="s">
        <v>11963</v>
      </c>
      <c r="C1100" s="8" t="s">
        <v>11979</v>
      </c>
      <c r="D1100" s="8" t="s">
        <v>11965</v>
      </c>
      <c r="E1100" s="8" t="s">
        <v>11087</v>
      </c>
      <c r="F1100" s="8" t="s">
        <v>11988</v>
      </c>
    </row>
    <row r="1101" customHeight="1" spans="1:6">
      <c r="A1101" s="6">
        <v>1100</v>
      </c>
      <c r="B1101" s="8" t="s">
        <v>11963</v>
      </c>
      <c r="C1101" s="8" t="s">
        <v>11979</v>
      </c>
      <c r="D1101" s="8" t="s">
        <v>11965</v>
      </c>
      <c r="E1101" s="8" t="s">
        <v>11087</v>
      </c>
      <c r="F1101" s="8" t="s">
        <v>11988</v>
      </c>
    </row>
    <row r="1102" customHeight="1" spans="1:6">
      <c r="A1102" s="6">
        <v>1101</v>
      </c>
      <c r="B1102" s="8" t="s">
        <v>11989</v>
      </c>
      <c r="C1102" s="8" t="s">
        <v>11990</v>
      </c>
      <c r="D1102" s="8" t="s">
        <v>11991</v>
      </c>
      <c r="E1102" s="8" t="s">
        <v>11087</v>
      </c>
      <c r="F1102" s="8" t="s">
        <v>11992</v>
      </c>
    </row>
    <row r="1103" customHeight="1" spans="1:6">
      <c r="A1103" s="6">
        <v>1102</v>
      </c>
      <c r="B1103" s="8" t="s">
        <v>11989</v>
      </c>
      <c r="C1103" s="8" t="s">
        <v>11990</v>
      </c>
      <c r="D1103" s="8" t="s">
        <v>11991</v>
      </c>
      <c r="E1103" s="8" t="s">
        <v>11087</v>
      </c>
      <c r="F1103" s="8" t="s">
        <v>11992</v>
      </c>
    </row>
    <row r="1104" customHeight="1" spans="1:6">
      <c r="A1104" s="6">
        <v>1103</v>
      </c>
      <c r="B1104" s="8" t="s">
        <v>11989</v>
      </c>
      <c r="C1104" s="8" t="s">
        <v>11993</v>
      </c>
      <c r="D1104" s="8" t="s">
        <v>11991</v>
      </c>
      <c r="E1104" s="8" t="s">
        <v>11087</v>
      </c>
      <c r="F1104" s="8" t="s">
        <v>11994</v>
      </c>
    </row>
    <row r="1105" customHeight="1" spans="1:6">
      <c r="A1105" s="6">
        <v>1104</v>
      </c>
      <c r="B1105" s="8" t="s">
        <v>11989</v>
      </c>
      <c r="C1105" s="8" t="s">
        <v>11993</v>
      </c>
      <c r="D1105" s="8" t="s">
        <v>11991</v>
      </c>
      <c r="E1105" s="8" t="s">
        <v>11087</v>
      </c>
      <c r="F1105" s="8" t="s">
        <v>11994</v>
      </c>
    </row>
    <row r="1106" customHeight="1" spans="1:6">
      <c r="A1106" s="6">
        <v>1105</v>
      </c>
      <c r="B1106" s="8" t="s">
        <v>11989</v>
      </c>
      <c r="C1106" s="8" t="s">
        <v>11995</v>
      </c>
      <c r="D1106" s="8" t="s">
        <v>11991</v>
      </c>
      <c r="E1106" s="8" t="s">
        <v>11087</v>
      </c>
      <c r="F1106" s="8" t="s">
        <v>11996</v>
      </c>
    </row>
    <row r="1107" customHeight="1" spans="1:6">
      <c r="A1107" s="6">
        <v>1106</v>
      </c>
      <c r="B1107" s="8" t="s">
        <v>11989</v>
      </c>
      <c r="C1107" s="8" t="s">
        <v>11995</v>
      </c>
      <c r="D1107" s="8" t="s">
        <v>11991</v>
      </c>
      <c r="E1107" s="8" t="s">
        <v>11087</v>
      </c>
      <c r="F1107" s="8" t="s">
        <v>11996</v>
      </c>
    </row>
    <row r="1108" customHeight="1" spans="1:6">
      <c r="A1108" s="6">
        <v>1107</v>
      </c>
      <c r="B1108" s="8" t="s">
        <v>11989</v>
      </c>
      <c r="C1108" s="8" t="s">
        <v>11997</v>
      </c>
      <c r="D1108" s="8" t="s">
        <v>11991</v>
      </c>
      <c r="E1108" s="8" t="s">
        <v>11087</v>
      </c>
      <c r="F1108" s="8" t="s">
        <v>11998</v>
      </c>
    </row>
    <row r="1109" customHeight="1" spans="1:6">
      <c r="A1109" s="6">
        <v>1108</v>
      </c>
      <c r="B1109" s="8" t="s">
        <v>11989</v>
      </c>
      <c r="C1109" s="8" t="s">
        <v>11997</v>
      </c>
      <c r="D1109" s="8" t="s">
        <v>11991</v>
      </c>
      <c r="E1109" s="8" t="s">
        <v>11087</v>
      </c>
      <c r="F1109" s="8" t="s">
        <v>11998</v>
      </c>
    </row>
    <row r="1110" customHeight="1" spans="1:6">
      <c r="A1110" s="6">
        <v>1109</v>
      </c>
      <c r="B1110" s="8" t="s">
        <v>11989</v>
      </c>
      <c r="C1110" s="8" t="s">
        <v>11999</v>
      </c>
      <c r="D1110" s="8" t="s">
        <v>11991</v>
      </c>
      <c r="E1110" s="8" t="s">
        <v>11087</v>
      </c>
      <c r="F1110" s="8" t="s">
        <v>12000</v>
      </c>
    </row>
    <row r="1111" customHeight="1" spans="1:6">
      <c r="A1111" s="6">
        <v>1110</v>
      </c>
      <c r="B1111" s="8" t="s">
        <v>11989</v>
      </c>
      <c r="C1111" s="8" t="s">
        <v>11999</v>
      </c>
      <c r="D1111" s="8" t="s">
        <v>11991</v>
      </c>
      <c r="E1111" s="8" t="s">
        <v>11087</v>
      </c>
      <c r="F1111" s="8" t="s">
        <v>12000</v>
      </c>
    </row>
    <row r="1112" customHeight="1" spans="1:6">
      <c r="A1112" s="6">
        <v>1111</v>
      </c>
      <c r="B1112" s="8" t="s">
        <v>11989</v>
      </c>
      <c r="C1112" s="8" t="s">
        <v>12001</v>
      </c>
      <c r="D1112" s="8" t="s">
        <v>11991</v>
      </c>
      <c r="E1112" s="8" t="s">
        <v>11087</v>
      </c>
      <c r="F1112" s="8" t="s">
        <v>12002</v>
      </c>
    </row>
    <row r="1113" customHeight="1" spans="1:6">
      <c r="A1113" s="6">
        <v>1112</v>
      </c>
      <c r="B1113" s="8" t="s">
        <v>11989</v>
      </c>
      <c r="C1113" s="8" t="s">
        <v>12001</v>
      </c>
      <c r="D1113" s="8" t="s">
        <v>11991</v>
      </c>
      <c r="E1113" s="8" t="s">
        <v>11087</v>
      </c>
      <c r="F1113" s="8" t="s">
        <v>12002</v>
      </c>
    </row>
    <row r="1114" customHeight="1" spans="1:6">
      <c r="A1114" s="6">
        <v>1113</v>
      </c>
      <c r="B1114" s="8" t="s">
        <v>12003</v>
      </c>
      <c r="C1114" s="8" t="s">
        <v>12004</v>
      </c>
      <c r="D1114" s="8" t="s">
        <v>12005</v>
      </c>
      <c r="E1114" s="8" t="s">
        <v>544</v>
      </c>
      <c r="F1114" s="8" t="s">
        <v>12006</v>
      </c>
    </row>
    <row r="1115" customHeight="1" spans="1:6">
      <c r="A1115" s="6">
        <v>1114</v>
      </c>
      <c r="B1115" s="8" t="s">
        <v>12003</v>
      </c>
      <c r="C1115" s="8" t="s">
        <v>12004</v>
      </c>
      <c r="D1115" s="8" t="s">
        <v>12005</v>
      </c>
      <c r="E1115" s="8" t="s">
        <v>544</v>
      </c>
      <c r="F1115" s="8" t="s">
        <v>12006</v>
      </c>
    </row>
    <row r="1116" customHeight="1" spans="1:6">
      <c r="A1116" s="6">
        <v>1115</v>
      </c>
      <c r="B1116" s="8" t="s">
        <v>12007</v>
      </c>
      <c r="C1116" s="8" t="s">
        <v>12008</v>
      </c>
      <c r="D1116" s="8" t="s">
        <v>12009</v>
      </c>
      <c r="E1116" s="8" t="s">
        <v>10819</v>
      </c>
      <c r="F1116" s="8" t="s">
        <v>12010</v>
      </c>
    </row>
    <row r="1117" customHeight="1" spans="1:6">
      <c r="A1117" s="6">
        <v>1116</v>
      </c>
      <c r="B1117" s="8" t="s">
        <v>12007</v>
      </c>
      <c r="C1117" s="8" t="s">
        <v>12008</v>
      </c>
      <c r="D1117" s="8" t="s">
        <v>12009</v>
      </c>
      <c r="E1117" s="8" t="s">
        <v>10819</v>
      </c>
      <c r="F1117" s="8" t="s">
        <v>12010</v>
      </c>
    </row>
    <row r="1118" customHeight="1" spans="1:6">
      <c r="A1118" s="6">
        <v>1117</v>
      </c>
      <c r="B1118" s="8" t="s">
        <v>12011</v>
      </c>
      <c r="C1118" s="8" t="s">
        <v>12012</v>
      </c>
      <c r="D1118" s="8" t="s">
        <v>12013</v>
      </c>
      <c r="E1118" s="8" t="s">
        <v>10819</v>
      </c>
      <c r="F1118" s="8" t="s">
        <v>12014</v>
      </c>
    </row>
    <row r="1119" customHeight="1" spans="1:6">
      <c r="A1119" s="6">
        <v>1118</v>
      </c>
      <c r="B1119" s="8" t="s">
        <v>12011</v>
      </c>
      <c r="C1119" s="8" t="s">
        <v>12012</v>
      </c>
      <c r="D1119" s="8" t="s">
        <v>12013</v>
      </c>
      <c r="E1119" s="8" t="s">
        <v>10819</v>
      </c>
      <c r="F1119" s="8" t="s">
        <v>12014</v>
      </c>
    </row>
    <row r="1120" customHeight="1" spans="1:6">
      <c r="A1120" s="6">
        <v>1119</v>
      </c>
      <c r="B1120" s="8" t="s">
        <v>12015</v>
      </c>
      <c r="C1120" s="8" t="s">
        <v>12016</v>
      </c>
      <c r="D1120" s="8" t="s">
        <v>12017</v>
      </c>
      <c r="E1120" s="8" t="s">
        <v>10819</v>
      </c>
      <c r="F1120" s="8" t="s">
        <v>12018</v>
      </c>
    </row>
    <row r="1121" customHeight="1" spans="1:6">
      <c r="A1121" s="6">
        <v>1120</v>
      </c>
      <c r="B1121" s="8" t="s">
        <v>12015</v>
      </c>
      <c r="C1121" s="8" t="s">
        <v>12016</v>
      </c>
      <c r="D1121" s="8" t="s">
        <v>12017</v>
      </c>
      <c r="E1121" s="8" t="s">
        <v>10819</v>
      </c>
      <c r="F1121" s="8" t="s">
        <v>12018</v>
      </c>
    </row>
    <row r="1122" customHeight="1" spans="1:6">
      <c r="A1122" s="6">
        <v>1121</v>
      </c>
      <c r="B1122" s="8" t="s">
        <v>12019</v>
      </c>
      <c r="C1122" s="8" t="s">
        <v>12020</v>
      </c>
      <c r="D1122" s="13"/>
      <c r="E1122" s="8" t="s">
        <v>443</v>
      </c>
      <c r="F1122" s="8" t="s">
        <v>12021</v>
      </c>
    </row>
    <row r="1123" customHeight="1" spans="1:6">
      <c r="A1123" s="6">
        <v>1122</v>
      </c>
      <c r="B1123" s="8" t="s">
        <v>12019</v>
      </c>
      <c r="C1123" s="8" t="s">
        <v>12020</v>
      </c>
      <c r="D1123" s="13"/>
      <c r="E1123" s="8" t="s">
        <v>443</v>
      </c>
      <c r="F1123" s="8" t="s">
        <v>12021</v>
      </c>
    </row>
    <row r="1124" customHeight="1" spans="1:6">
      <c r="A1124" s="6">
        <v>1123</v>
      </c>
      <c r="B1124" s="8" t="s">
        <v>12022</v>
      </c>
      <c r="C1124" s="8" t="s">
        <v>12023</v>
      </c>
      <c r="D1124" s="8" t="s">
        <v>12024</v>
      </c>
      <c r="E1124" s="8" t="s">
        <v>5000</v>
      </c>
      <c r="F1124" s="8" t="s">
        <v>12025</v>
      </c>
    </row>
    <row r="1125" customHeight="1" spans="1:6">
      <c r="A1125" s="6">
        <v>1124</v>
      </c>
      <c r="B1125" s="8" t="s">
        <v>12022</v>
      </c>
      <c r="C1125" s="8" t="s">
        <v>12023</v>
      </c>
      <c r="D1125" s="8" t="s">
        <v>12024</v>
      </c>
      <c r="E1125" s="8" t="s">
        <v>5000</v>
      </c>
      <c r="F1125" s="8" t="s">
        <v>12025</v>
      </c>
    </row>
    <row r="1126" customHeight="1" spans="1:6">
      <c r="A1126" s="6">
        <v>1125</v>
      </c>
      <c r="B1126" s="8" t="s">
        <v>12026</v>
      </c>
      <c r="C1126" s="8" t="s">
        <v>12027</v>
      </c>
      <c r="D1126" s="8" t="s">
        <v>12024</v>
      </c>
      <c r="E1126" s="8" t="s">
        <v>5000</v>
      </c>
      <c r="F1126" s="8" t="s">
        <v>12028</v>
      </c>
    </row>
    <row r="1127" customHeight="1" spans="1:6">
      <c r="A1127" s="6">
        <v>1126</v>
      </c>
      <c r="B1127" s="8" t="s">
        <v>12026</v>
      </c>
      <c r="C1127" s="8" t="s">
        <v>12027</v>
      </c>
      <c r="D1127" s="8" t="s">
        <v>12024</v>
      </c>
      <c r="E1127" s="8" t="s">
        <v>5000</v>
      </c>
      <c r="F1127" s="8" t="s">
        <v>12028</v>
      </c>
    </row>
    <row r="1128" customHeight="1" spans="1:6">
      <c r="A1128" s="6">
        <v>1127</v>
      </c>
      <c r="B1128" s="8" t="s">
        <v>12029</v>
      </c>
      <c r="C1128" s="8" t="s">
        <v>12030</v>
      </c>
      <c r="D1128" s="8" t="s">
        <v>11877</v>
      </c>
      <c r="E1128" s="8" t="s">
        <v>10819</v>
      </c>
      <c r="F1128" s="8" t="s">
        <v>12031</v>
      </c>
    </row>
    <row r="1129" customHeight="1" spans="1:6">
      <c r="A1129" s="6">
        <v>1128</v>
      </c>
      <c r="B1129" s="8" t="s">
        <v>12029</v>
      </c>
      <c r="C1129" s="8" t="s">
        <v>12030</v>
      </c>
      <c r="D1129" s="8" t="s">
        <v>11877</v>
      </c>
      <c r="E1129" s="8" t="s">
        <v>10819</v>
      </c>
      <c r="F1129" s="8" t="s">
        <v>12031</v>
      </c>
    </row>
    <row r="1130" customHeight="1" spans="1:6">
      <c r="A1130" s="6">
        <v>1129</v>
      </c>
      <c r="B1130" s="8" t="s">
        <v>12032</v>
      </c>
      <c r="C1130" s="8" t="s">
        <v>12033</v>
      </c>
      <c r="D1130" s="8" t="s">
        <v>12034</v>
      </c>
      <c r="E1130" s="8" t="s">
        <v>701</v>
      </c>
      <c r="F1130" s="8" t="s">
        <v>12035</v>
      </c>
    </row>
    <row r="1131" customHeight="1" spans="1:6">
      <c r="A1131" s="6">
        <v>1130</v>
      </c>
      <c r="B1131" s="8" t="s">
        <v>12032</v>
      </c>
      <c r="C1131" s="8" t="s">
        <v>12033</v>
      </c>
      <c r="D1131" s="8" t="s">
        <v>12034</v>
      </c>
      <c r="E1131" s="8" t="s">
        <v>701</v>
      </c>
      <c r="F1131" s="8" t="s">
        <v>12035</v>
      </c>
    </row>
    <row r="1132" customHeight="1" spans="1:6">
      <c r="A1132" s="6">
        <v>1131</v>
      </c>
      <c r="B1132" s="8" t="s">
        <v>12036</v>
      </c>
      <c r="C1132" s="8" t="s">
        <v>12037</v>
      </c>
      <c r="D1132" s="8" t="s">
        <v>12034</v>
      </c>
      <c r="E1132" s="8" t="s">
        <v>701</v>
      </c>
      <c r="F1132" s="8" t="s">
        <v>12038</v>
      </c>
    </row>
    <row r="1133" customHeight="1" spans="1:6">
      <c r="A1133" s="6">
        <v>1132</v>
      </c>
      <c r="B1133" s="8" t="s">
        <v>12036</v>
      </c>
      <c r="C1133" s="8" t="s">
        <v>12037</v>
      </c>
      <c r="D1133" s="8" t="s">
        <v>12034</v>
      </c>
      <c r="E1133" s="8" t="s">
        <v>701</v>
      </c>
      <c r="F1133" s="8" t="s">
        <v>12038</v>
      </c>
    </row>
    <row r="1134" customHeight="1" spans="1:6">
      <c r="A1134" s="6">
        <v>1133</v>
      </c>
      <c r="B1134" s="8" t="s">
        <v>12039</v>
      </c>
      <c r="C1134" s="8" t="s">
        <v>12040</v>
      </c>
      <c r="D1134" s="8" t="s">
        <v>12041</v>
      </c>
      <c r="E1134" s="8" t="s">
        <v>10819</v>
      </c>
      <c r="F1134" s="8" t="s">
        <v>12042</v>
      </c>
    </row>
    <row r="1135" customHeight="1" spans="1:6">
      <c r="A1135" s="6">
        <v>1134</v>
      </c>
      <c r="B1135" s="8" t="s">
        <v>12039</v>
      </c>
      <c r="C1135" s="8" t="s">
        <v>12040</v>
      </c>
      <c r="D1135" s="8" t="s">
        <v>12041</v>
      </c>
      <c r="E1135" s="8" t="s">
        <v>10819</v>
      </c>
      <c r="F1135" s="8" t="s">
        <v>12042</v>
      </c>
    </row>
    <row r="1136" customHeight="1" spans="1:6">
      <c r="A1136" s="6">
        <v>1135</v>
      </c>
      <c r="B1136" s="8" t="s">
        <v>12043</v>
      </c>
      <c r="C1136" s="8" t="s">
        <v>12044</v>
      </c>
      <c r="D1136" s="8" t="s">
        <v>12045</v>
      </c>
      <c r="E1136" s="8" t="s">
        <v>11087</v>
      </c>
      <c r="F1136" s="8" t="s">
        <v>12046</v>
      </c>
    </row>
    <row r="1137" customHeight="1" spans="1:6">
      <c r="A1137" s="6">
        <v>1136</v>
      </c>
      <c r="B1137" s="8" t="s">
        <v>12043</v>
      </c>
      <c r="C1137" s="8" t="s">
        <v>12044</v>
      </c>
      <c r="D1137" s="8" t="s">
        <v>12045</v>
      </c>
      <c r="E1137" s="8" t="s">
        <v>11087</v>
      </c>
      <c r="F1137" s="8" t="s">
        <v>12046</v>
      </c>
    </row>
    <row r="1138" customHeight="1" spans="1:6">
      <c r="A1138" s="6">
        <v>1137</v>
      </c>
      <c r="B1138" s="8" t="s">
        <v>12043</v>
      </c>
      <c r="C1138" s="8" t="s">
        <v>12047</v>
      </c>
      <c r="D1138" s="8" t="s">
        <v>12045</v>
      </c>
      <c r="E1138" s="8" t="s">
        <v>11087</v>
      </c>
      <c r="F1138" s="8" t="s">
        <v>12048</v>
      </c>
    </row>
    <row r="1139" customHeight="1" spans="1:6">
      <c r="A1139" s="6">
        <v>1138</v>
      </c>
      <c r="B1139" s="8" t="s">
        <v>12043</v>
      </c>
      <c r="C1139" s="8" t="s">
        <v>12047</v>
      </c>
      <c r="D1139" s="8" t="s">
        <v>12045</v>
      </c>
      <c r="E1139" s="8" t="s">
        <v>11087</v>
      </c>
      <c r="F1139" s="8" t="s">
        <v>12048</v>
      </c>
    </row>
    <row r="1140" customHeight="1" spans="1:6">
      <c r="A1140" s="6">
        <v>1139</v>
      </c>
      <c r="B1140" s="8" t="s">
        <v>12043</v>
      </c>
      <c r="C1140" s="8" t="s">
        <v>12049</v>
      </c>
      <c r="D1140" s="8" t="s">
        <v>12045</v>
      </c>
      <c r="E1140" s="8" t="s">
        <v>11087</v>
      </c>
      <c r="F1140" s="8" t="s">
        <v>12050</v>
      </c>
    </row>
    <row r="1141" customHeight="1" spans="1:6">
      <c r="A1141" s="6">
        <v>1140</v>
      </c>
      <c r="B1141" s="8" t="s">
        <v>12043</v>
      </c>
      <c r="C1141" s="8" t="s">
        <v>12049</v>
      </c>
      <c r="D1141" s="8" t="s">
        <v>12045</v>
      </c>
      <c r="E1141" s="8" t="s">
        <v>11087</v>
      </c>
      <c r="F1141" s="8" t="s">
        <v>12050</v>
      </c>
    </row>
    <row r="1142" customHeight="1" spans="1:6">
      <c r="A1142" s="6">
        <v>1141</v>
      </c>
      <c r="B1142" s="7" t="str">
        <f>"978-7-5068-7869-2"</f>
        <v>978-7-5068-7869-2</v>
      </c>
      <c r="C1142" s="7" t="str">
        <f>"现代中国音乐产业的发展与运营"</f>
        <v>现代中国音乐产业的发展与运营</v>
      </c>
      <c r="D1142" s="7" t="str">
        <f>"程文文著"</f>
        <v>程文文著</v>
      </c>
      <c r="E1142" s="7" t="str">
        <f>"中国书籍出版社"</f>
        <v>中国书籍出版社</v>
      </c>
      <c r="F1142" s="7" t="str">
        <f>"J692/5"</f>
        <v>J692/5</v>
      </c>
    </row>
    <row r="1143" customHeight="1" spans="1:6">
      <c r="A1143" s="6">
        <v>1142</v>
      </c>
      <c r="B1143" s="7" t="str">
        <f>"978-7-5068-7869-2"</f>
        <v>978-7-5068-7869-2</v>
      </c>
      <c r="C1143" s="7" t="str">
        <f>"现代中国音乐产业的发展与运营"</f>
        <v>现代中国音乐产业的发展与运营</v>
      </c>
      <c r="D1143" s="7" t="str">
        <f>"程文文著"</f>
        <v>程文文著</v>
      </c>
      <c r="E1143" s="7" t="str">
        <f>"中国书籍出版社"</f>
        <v>中国书籍出版社</v>
      </c>
      <c r="F1143" s="7" t="str">
        <f>"J692/5"</f>
        <v>J692/5</v>
      </c>
    </row>
    <row r="1144" customHeight="1" spans="1:6">
      <c r="A1144" s="6">
        <v>1143</v>
      </c>
      <c r="B1144" s="8" t="s">
        <v>12051</v>
      </c>
      <c r="C1144" s="8" t="s">
        <v>12052</v>
      </c>
      <c r="D1144" s="8" t="s">
        <v>12053</v>
      </c>
      <c r="E1144" s="8" t="s">
        <v>385</v>
      </c>
      <c r="F1144" s="8" t="s">
        <v>12054</v>
      </c>
    </row>
    <row r="1145" customHeight="1" spans="1:6">
      <c r="A1145" s="6">
        <v>1144</v>
      </c>
      <c r="B1145" s="8" t="s">
        <v>12051</v>
      </c>
      <c r="C1145" s="8" t="s">
        <v>12052</v>
      </c>
      <c r="D1145" s="8" t="s">
        <v>12053</v>
      </c>
      <c r="E1145" s="8" t="s">
        <v>385</v>
      </c>
      <c r="F1145" s="8" t="s">
        <v>12054</v>
      </c>
    </row>
    <row r="1146" customHeight="1" spans="1:6">
      <c r="A1146" s="6">
        <v>1145</v>
      </c>
      <c r="B1146" s="8" t="s">
        <v>12055</v>
      </c>
      <c r="C1146" s="8" t="s">
        <v>12056</v>
      </c>
      <c r="D1146" s="8" t="s">
        <v>12057</v>
      </c>
      <c r="E1146" s="8" t="s">
        <v>12058</v>
      </c>
      <c r="F1146" s="8" t="s">
        <v>12059</v>
      </c>
    </row>
    <row r="1147" customHeight="1" spans="1:6">
      <c r="A1147" s="6">
        <v>1146</v>
      </c>
      <c r="B1147" s="8" t="s">
        <v>12055</v>
      </c>
      <c r="C1147" s="8" t="s">
        <v>12056</v>
      </c>
      <c r="D1147" s="8" t="s">
        <v>12057</v>
      </c>
      <c r="E1147" s="8" t="s">
        <v>12058</v>
      </c>
      <c r="F1147" s="8" t="s">
        <v>12059</v>
      </c>
    </row>
    <row r="1148" customHeight="1" spans="1:6">
      <c r="A1148" s="6">
        <v>1147</v>
      </c>
      <c r="B1148" s="7" t="str">
        <f>"978-7-5068-7910-1"</f>
        <v>978-7-5068-7910-1</v>
      </c>
      <c r="C1148" s="7" t="str">
        <f>"当代高等舞蹈教育改革及人才培养研究"</f>
        <v>当代高等舞蹈教育改革及人才培养研究</v>
      </c>
      <c r="D1148" s="7" t="str">
        <f>"张翔著"</f>
        <v>张翔著</v>
      </c>
      <c r="E1148" s="7" t="str">
        <f>"中国书籍出版社"</f>
        <v>中国书籍出版社</v>
      </c>
      <c r="F1148" s="7" t="str">
        <f>"J7/29"</f>
        <v>J7/29</v>
      </c>
    </row>
    <row r="1149" customHeight="1" spans="1:6">
      <c r="A1149" s="6">
        <v>1148</v>
      </c>
      <c r="B1149" s="7" t="str">
        <f>"978-7-5068-7910-1"</f>
        <v>978-7-5068-7910-1</v>
      </c>
      <c r="C1149" s="7" t="str">
        <f>"当代高等舞蹈教育改革及人才培养研究"</f>
        <v>当代高等舞蹈教育改革及人才培养研究</v>
      </c>
      <c r="D1149" s="7" t="str">
        <f>"张翔著"</f>
        <v>张翔著</v>
      </c>
      <c r="E1149" s="7" t="str">
        <f>"中国书籍出版社"</f>
        <v>中国书籍出版社</v>
      </c>
      <c r="F1149" s="7" t="str">
        <f>"J7/29"</f>
        <v>J7/29</v>
      </c>
    </row>
    <row r="1150" customHeight="1" spans="1:6">
      <c r="A1150" s="6">
        <v>1149</v>
      </c>
      <c r="B1150" s="9" t="str">
        <f>"978-7-5596-4693-4"</f>
        <v>978-7-5596-4693-4</v>
      </c>
      <c r="C1150" s="9" t="str">
        <f>"世界戏剧学"</f>
        <v>世界戏剧学</v>
      </c>
      <c r="D1150" s="9" t="str">
        <f t="shared" ref="D1150:D1153" si="7">"余秋雨著"</f>
        <v>余秋雨著</v>
      </c>
      <c r="E1150" s="9" t="str">
        <f t="shared" ref="E1150:E1153" si="8">"北京联合出版公司"</f>
        <v>北京联合出版公司</v>
      </c>
      <c r="F1150" s="9" t="str">
        <f>"J80/9-3"</f>
        <v>J80/9-3</v>
      </c>
    </row>
    <row r="1151" customHeight="1" spans="1:6">
      <c r="A1151" s="6">
        <v>1150</v>
      </c>
      <c r="B1151" s="9" t="str">
        <f>"978-7-5596-4693-4"</f>
        <v>978-7-5596-4693-4</v>
      </c>
      <c r="C1151" s="9" t="str">
        <f>"世界戏剧学"</f>
        <v>世界戏剧学</v>
      </c>
      <c r="D1151" s="9" t="str">
        <f t="shared" si="7"/>
        <v>余秋雨著</v>
      </c>
      <c r="E1151" s="9" t="str">
        <f t="shared" si="8"/>
        <v>北京联合出版公司</v>
      </c>
      <c r="F1151" s="9" t="str">
        <f>"J80/9-3"</f>
        <v>J80/9-3</v>
      </c>
    </row>
    <row r="1152" customHeight="1" spans="1:6">
      <c r="A1152" s="6">
        <v>1151</v>
      </c>
      <c r="B1152" s="9" t="str">
        <f>"978-7-5596-4696-5"</f>
        <v>978-7-5596-4696-5</v>
      </c>
      <c r="C1152" s="9" t="str">
        <f>"中国戏剧史"</f>
        <v>中国戏剧史</v>
      </c>
      <c r="D1152" s="9" t="str">
        <f t="shared" si="7"/>
        <v>余秋雨著</v>
      </c>
      <c r="E1152" s="9" t="str">
        <f t="shared" si="8"/>
        <v>北京联合出版公司</v>
      </c>
      <c r="F1152" s="9" t="str">
        <f>"J809.2/2-3"</f>
        <v>J809.2/2-3</v>
      </c>
    </row>
    <row r="1153" customHeight="1" spans="1:6">
      <c r="A1153" s="6">
        <v>1152</v>
      </c>
      <c r="B1153" s="9" t="str">
        <f>"978-7-5596-4696-5"</f>
        <v>978-7-5596-4696-5</v>
      </c>
      <c r="C1153" s="9" t="str">
        <f>"中国戏剧史"</f>
        <v>中国戏剧史</v>
      </c>
      <c r="D1153" s="9" t="str">
        <f t="shared" si="7"/>
        <v>余秋雨著</v>
      </c>
      <c r="E1153" s="9" t="str">
        <f t="shared" si="8"/>
        <v>北京联合出版公司</v>
      </c>
      <c r="F1153" s="9" t="str">
        <f>"J809.2/2-3"</f>
        <v>J809.2/2-3</v>
      </c>
    </row>
    <row r="1154" customHeight="1" spans="1:6">
      <c r="A1154" s="6">
        <v>1153</v>
      </c>
      <c r="B1154" s="8" t="s">
        <v>12060</v>
      </c>
      <c r="C1154" s="8" t="s">
        <v>12061</v>
      </c>
      <c r="D1154" s="8" t="s">
        <v>12062</v>
      </c>
      <c r="E1154" s="8" t="s">
        <v>12063</v>
      </c>
      <c r="F1154" s="8" t="s">
        <v>12064</v>
      </c>
    </row>
    <row r="1155" customHeight="1" spans="1:6">
      <c r="A1155" s="6">
        <v>1154</v>
      </c>
      <c r="B1155" s="8" t="s">
        <v>12060</v>
      </c>
      <c r="C1155" s="8" t="s">
        <v>12061</v>
      </c>
      <c r="D1155" s="8" t="s">
        <v>12062</v>
      </c>
      <c r="E1155" s="8" t="s">
        <v>12063</v>
      </c>
      <c r="F1155" s="8" t="s">
        <v>12064</v>
      </c>
    </row>
    <row r="1156" customHeight="1" spans="1:6">
      <c r="A1156" s="6">
        <v>1155</v>
      </c>
      <c r="B1156" s="7" t="str">
        <f>"978-7-313-24204-4"</f>
        <v>978-7-313-24204-4</v>
      </c>
      <c r="C1156" s="7" t="str">
        <f>"遇见表演艺术"</f>
        <v>遇见表演艺术</v>
      </c>
      <c r="D1156" s="7" t="str">
        <f>"章文颖著"</f>
        <v>章文颖著</v>
      </c>
      <c r="E1156" s="7" t="str">
        <f>"上海交通大学出版社"</f>
        <v>上海交通大学出版社</v>
      </c>
      <c r="F1156" s="7" t="str">
        <f>"J812.2/23"</f>
        <v>J812.2/23</v>
      </c>
    </row>
    <row r="1157" customHeight="1" spans="1:6">
      <c r="A1157" s="6">
        <v>1156</v>
      </c>
      <c r="B1157" s="7" t="str">
        <f>"978-7-313-24204-4"</f>
        <v>978-7-313-24204-4</v>
      </c>
      <c r="C1157" s="7" t="str">
        <f>"遇见表演艺术"</f>
        <v>遇见表演艺术</v>
      </c>
      <c r="D1157" s="7" t="str">
        <f>"章文颖著"</f>
        <v>章文颖著</v>
      </c>
      <c r="E1157" s="7" t="str">
        <f>"上海交通大学出版社"</f>
        <v>上海交通大学出版社</v>
      </c>
      <c r="F1157" s="7" t="str">
        <f>"J812.2/23"</f>
        <v>J812.2/23</v>
      </c>
    </row>
    <row r="1158" customHeight="1" spans="1:6">
      <c r="A1158" s="6">
        <v>1157</v>
      </c>
      <c r="B1158" s="8" t="s">
        <v>12065</v>
      </c>
      <c r="C1158" s="8" t="s">
        <v>12066</v>
      </c>
      <c r="D1158" s="8" t="s">
        <v>12067</v>
      </c>
      <c r="E1158" s="8" t="s">
        <v>211</v>
      </c>
      <c r="F1158" s="8" t="s">
        <v>12068</v>
      </c>
    </row>
    <row r="1159" customHeight="1" spans="1:6">
      <c r="A1159" s="6">
        <v>1158</v>
      </c>
      <c r="B1159" s="8" t="s">
        <v>12065</v>
      </c>
      <c r="C1159" s="8" t="s">
        <v>12066</v>
      </c>
      <c r="D1159" s="8" t="s">
        <v>12067</v>
      </c>
      <c r="E1159" s="8" t="s">
        <v>211</v>
      </c>
      <c r="F1159" s="8" t="s">
        <v>12068</v>
      </c>
    </row>
    <row r="1160" customHeight="1" spans="1:6">
      <c r="A1160" s="6">
        <v>1159</v>
      </c>
      <c r="B1160" s="7" t="str">
        <f>"978-7-100-19737-3"</f>
        <v>978-7-100-19737-3</v>
      </c>
      <c r="C1160" s="7" t="str">
        <f>"人生如戏 戏如人生：戏谚与戏曲文化"</f>
        <v>人生如戏 戏如人生：戏谚与戏曲文化</v>
      </c>
      <c r="D1160" s="7" t="str">
        <f>"李树新著"</f>
        <v>李树新著</v>
      </c>
      <c r="E1160" s="7" t="str">
        <f>"商务印书馆"</f>
        <v>商务印书馆</v>
      </c>
      <c r="F1160" s="7" t="str">
        <f>"J82/33"</f>
        <v>J82/33</v>
      </c>
    </row>
    <row r="1161" customHeight="1" spans="1:6">
      <c r="A1161" s="6">
        <v>1160</v>
      </c>
      <c r="B1161" s="7" t="str">
        <f>"978-7-100-19737-3"</f>
        <v>978-7-100-19737-3</v>
      </c>
      <c r="C1161" s="7" t="str">
        <f>"人生如戏 戏如人生：戏谚与戏曲文化"</f>
        <v>人生如戏 戏如人生：戏谚与戏曲文化</v>
      </c>
      <c r="D1161" s="7" t="str">
        <f>"李树新著"</f>
        <v>李树新著</v>
      </c>
      <c r="E1161" s="7" t="str">
        <f>"商务印书馆"</f>
        <v>商务印书馆</v>
      </c>
      <c r="F1161" s="7" t="str">
        <f>"J82/33"</f>
        <v>J82/33</v>
      </c>
    </row>
    <row r="1162" customHeight="1" spans="1:6">
      <c r="A1162" s="6">
        <v>1161</v>
      </c>
      <c r="B1162" s="8" t="s">
        <v>12069</v>
      </c>
      <c r="C1162" s="8" t="s">
        <v>12070</v>
      </c>
      <c r="D1162" s="8" t="s">
        <v>7631</v>
      </c>
      <c r="E1162" s="8" t="s">
        <v>3180</v>
      </c>
      <c r="F1162" s="8" t="s">
        <v>12071</v>
      </c>
    </row>
    <row r="1163" customHeight="1" spans="1:6">
      <c r="A1163" s="6">
        <v>1162</v>
      </c>
      <c r="B1163" s="8" t="s">
        <v>12069</v>
      </c>
      <c r="C1163" s="8" t="s">
        <v>12070</v>
      </c>
      <c r="D1163" s="8" t="s">
        <v>7631</v>
      </c>
      <c r="E1163" s="8" t="s">
        <v>3180</v>
      </c>
      <c r="F1163" s="8" t="s">
        <v>12071</v>
      </c>
    </row>
    <row r="1164" customHeight="1" spans="1:6">
      <c r="A1164" s="6">
        <v>1163</v>
      </c>
      <c r="B1164" s="8" t="s">
        <v>12069</v>
      </c>
      <c r="C1164" s="8" t="s">
        <v>12070</v>
      </c>
      <c r="D1164" s="8" t="s">
        <v>7631</v>
      </c>
      <c r="E1164" s="8" t="s">
        <v>3180</v>
      </c>
      <c r="F1164" s="8" t="s">
        <v>12071</v>
      </c>
    </row>
    <row r="1165" customHeight="1" spans="1:6">
      <c r="A1165" s="6">
        <v>1164</v>
      </c>
      <c r="B1165" s="8" t="s">
        <v>12072</v>
      </c>
      <c r="C1165" s="8" t="s">
        <v>12073</v>
      </c>
      <c r="D1165" s="8" t="s">
        <v>12074</v>
      </c>
      <c r="E1165" s="8" t="s">
        <v>10985</v>
      </c>
      <c r="F1165" s="8" t="s">
        <v>12075</v>
      </c>
    </row>
    <row r="1166" customHeight="1" spans="1:6">
      <c r="A1166" s="6">
        <v>1165</v>
      </c>
      <c r="B1166" s="8" t="s">
        <v>12072</v>
      </c>
      <c r="C1166" s="8" t="s">
        <v>12073</v>
      </c>
      <c r="D1166" s="8" t="s">
        <v>12074</v>
      </c>
      <c r="E1166" s="8" t="s">
        <v>10985</v>
      </c>
      <c r="F1166" s="8" t="s">
        <v>12075</v>
      </c>
    </row>
    <row r="1167" customHeight="1" spans="1:6">
      <c r="A1167" s="6">
        <v>1166</v>
      </c>
      <c r="B1167" s="7" t="str">
        <f>"978-7-5039-7055-9"</f>
        <v>978-7-5039-7055-9</v>
      </c>
      <c r="C1167" s="7" t="str">
        <f>"京剧面面观：京剧术语解析"</f>
        <v>京剧面面观：京剧术语解析</v>
      </c>
      <c r="D1167" s="7" t="str">
        <f>"王诗萌著"</f>
        <v>王诗萌著</v>
      </c>
      <c r="E1167" s="7" t="str">
        <f>"文化艺术出版社"</f>
        <v>文化艺术出版社</v>
      </c>
      <c r="F1167" s="7" t="str">
        <f>"J821-49/2"</f>
        <v>J821-49/2</v>
      </c>
    </row>
    <row r="1168" customHeight="1" spans="1:6">
      <c r="A1168" s="6">
        <v>1167</v>
      </c>
      <c r="B1168" s="7" t="str">
        <f>"978-7-5039-7055-9"</f>
        <v>978-7-5039-7055-9</v>
      </c>
      <c r="C1168" s="7" t="str">
        <f>"京剧面面观：京剧术语解析"</f>
        <v>京剧面面观：京剧术语解析</v>
      </c>
      <c r="D1168" s="7" t="str">
        <f>"王诗萌著"</f>
        <v>王诗萌著</v>
      </c>
      <c r="E1168" s="7" t="str">
        <f>"文化艺术出版社"</f>
        <v>文化艺术出版社</v>
      </c>
      <c r="F1168" s="7" t="str">
        <f>"J821-49/2"</f>
        <v>J821-49/2</v>
      </c>
    </row>
    <row r="1169" customHeight="1" spans="1:6">
      <c r="A1169" s="6">
        <v>1168</v>
      </c>
      <c r="B1169" s="7" t="str">
        <f>"978-7-104-05054-4"</f>
        <v>978-7-104-05054-4</v>
      </c>
      <c r="C1169" s="7" t="str">
        <f>"艺术高峰的攀登者&amp;舞台魅力的创新者"</f>
        <v>艺术高峰的攀登者&amp;舞台魅力的创新者</v>
      </c>
      <c r="D1169" s="7" t="str">
        <f>"马也， 冯俐著"</f>
        <v>马也， 冯俐著</v>
      </c>
      <c r="E1169" s="7" t="str">
        <f>"中国戏剧出版社"</f>
        <v>中国戏剧出版社</v>
      </c>
      <c r="F1169" s="7" t="str">
        <f>"J824/13"</f>
        <v>J824/13</v>
      </c>
    </row>
    <row r="1170" customHeight="1" spans="1:6">
      <c r="A1170" s="6">
        <v>1169</v>
      </c>
      <c r="B1170" s="7" t="str">
        <f>"978-7-104-05054-4"</f>
        <v>978-7-104-05054-4</v>
      </c>
      <c r="C1170" s="7" t="str">
        <f>"艺术高峰的攀登者&amp;舞台魅力的创新者"</f>
        <v>艺术高峰的攀登者&amp;舞台魅力的创新者</v>
      </c>
      <c r="D1170" s="7" t="str">
        <f>"马也， 冯俐著"</f>
        <v>马也， 冯俐著</v>
      </c>
      <c r="E1170" s="7" t="str">
        <f>"中国戏剧出版社"</f>
        <v>中国戏剧出版社</v>
      </c>
      <c r="F1170" s="7" t="str">
        <f>"J824/13"</f>
        <v>J824/13</v>
      </c>
    </row>
    <row r="1171" customHeight="1" spans="1:6">
      <c r="A1171" s="6">
        <v>1170</v>
      </c>
      <c r="B1171" s="7" t="str">
        <f>"978-7-5581-8928-9"</f>
        <v>978-7-5581-8928-9</v>
      </c>
      <c r="C1171" s="7" t="str">
        <f>"歌剧艺术鉴赏"</f>
        <v>歌剧艺术鉴赏</v>
      </c>
      <c r="D1171" s="7" t="str">
        <f>"史宏强著"</f>
        <v>史宏强著</v>
      </c>
      <c r="E1171" s="7" t="str">
        <f>"吉林出版集团股份有限公司"</f>
        <v>吉林出版集团股份有限公司</v>
      </c>
      <c r="F1171" s="7" t="str">
        <f>"J832/23"</f>
        <v>J832/23</v>
      </c>
    </row>
    <row r="1172" customHeight="1" spans="1:6">
      <c r="A1172" s="6">
        <v>1171</v>
      </c>
      <c r="B1172" s="7" t="str">
        <f>"978-7-5581-8928-9"</f>
        <v>978-7-5581-8928-9</v>
      </c>
      <c r="C1172" s="7" t="str">
        <f>"歌剧艺术鉴赏"</f>
        <v>歌剧艺术鉴赏</v>
      </c>
      <c r="D1172" s="7" t="str">
        <f>"史宏强著"</f>
        <v>史宏强著</v>
      </c>
      <c r="E1172" s="7" t="str">
        <f>"吉林出版集团股份有限公司"</f>
        <v>吉林出版集团股份有限公司</v>
      </c>
      <c r="F1172" s="7" t="str">
        <f>"J832/23"</f>
        <v>J832/23</v>
      </c>
    </row>
    <row r="1173" customHeight="1" spans="1:6">
      <c r="A1173" s="6">
        <v>1172</v>
      </c>
      <c r="B1173" s="8" t="s">
        <v>12076</v>
      </c>
      <c r="C1173" s="8" t="s">
        <v>12077</v>
      </c>
      <c r="D1173" s="8" t="s">
        <v>12078</v>
      </c>
      <c r="E1173" s="8" t="s">
        <v>2790</v>
      </c>
      <c r="F1173" s="8" t="s">
        <v>12079</v>
      </c>
    </row>
    <row r="1174" customHeight="1" spans="1:6">
      <c r="A1174" s="6">
        <v>1173</v>
      </c>
      <c r="B1174" s="8" t="s">
        <v>12076</v>
      </c>
      <c r="C1174" s="8" t="s">
        <v>12077</v>
      </c>
      <c r="D1174" s="8" t="s">
        <v>12078</v>
      </c>
      <c r="E1174" s="8" t="s">
        <v>2790</v>
      </c>
      <c r="F1174" s="8" t="s">
        <v>12079</v>
      </c>
    </row>
    <row r="1175" customHeight="1" spans="1:6">
      <c r="A1175" s="6">
        <v>1174</v>
      </c>
      <c r="B1175" s="8" t="s">
        <v>12080</v>
      </c>
      <c r="C1175" s="8" t="s">
        <v>12081</v>
      </c>
      <c r="D1175" s="8" t="s">
        <v>12082</v>
      </c>
      <c r="E1175" s="8" t="s">
        <v>330</v>
      </c>
      <c r="F1175" s="8" t="s">
        <v>12083</v>
      </c>
    </row>
    <row r="1176" customHeight="1" spans="1:6">
      <c r="A1176" s="6">
        <v>1175</v>
      </c>
      <c r="B1176" s="8" t="s">
        <v>12080</v>
      </c>
      <c r="C1176" s="8" t="s">
        <v>12081</v>
      </c>
      <c r="D1176" s="8" t="s">
        <v>12082</v>
      </c>
      <c r="E1176" s="8" t="s">
        <v>330</v>
      </c>
      <c r="F1176" s="8" t="s">
        <v>12083</v>
      </c>
    </row>
    <row r="1177" customHeight="1" spans="1:6">
      <c r="A1177" s="6">
        <v>1176</v>
      </c>
      <c r="B1177" s="9" t="str">
        <f>"978-7-5535-2078-0"</f>
        <v>978-7-5535-2078-0</v>
      </c>
      <c r="C1177" s="9" t="str">
        <f>"认识电影"</f>
        <v>认识电影</v>
      </c>
      <c r="D1177" s="9" t="str">
        <f>"(意) 路易斯·贾内梯著Louis Giannetti；焦雄屏译"</f>
        <v>(意) 路易斯·贾内梯著Louis Giannetti；焦雄屏译</v>
      </c>
      <c r="E1177" s="9" t="str">
        <f>"上海文化出版社"</f>
        <v>上海文化出版社</v>
      </c>
      <c r="F1177" s="9" t="str">
        <f>"J905.1/139-2"</f>
        <v>J905.1/139-2</v>
      </c>
    </row>
    <row r="1178" customHeight="1" spans="1:6">
      <c r="A1178" s="6">
        <v>1177</v>
      </c>
      <c r="B1178" s="9" t="str">
        <f>"978-7-5535-2078-0"</f>
        <v>978-7-5535-2078-0</v>
      </c>
      <c r="C1178" s="9" t="str">
        <f>"认识电影"</f>
        <v>认识电影</v>
      </c>
      <c r="D1178" s="9" t="str">
        <f>"(意) 路易斯·贾内梯著Louis Giannetti；焦雄屏译"</f>
        <v>(意) 路易斯·贾内梯著Louis Giannetti；焦雄屏译</v>
      </c>
      <c r="E1178" s="9" t="str">
        <f>"上海文化出版社"</f>
        <v>上海文化出版社</v>
      </c>
      <c r="F1178" s="9" t="str">
        <f>"J905.1/139-2"</f>
        <v>J905.1/139-2</v>
      </c>
    </row>
    <row r="1179" customHeight="1" spans="1:6">
      <c r="A1179" s="6">
        <v>1178</v>
      </c>
      <c r="B1179" s="7" t="str">
        <f>"978-7-208-17021-6"</f>
        <v>978-7-208-17021-6</v>
      </c>
      <c r="C1179" s="7" t="str">
        <f>"社会风景的寓言：中国电影文化：1988-2015"</f>
        <v>社会风景的寓言：中国电影文化：1988-2015</v>
      </c>
      <c r="D1179" s="7" t="str">
        <f>"张旭东著"</f>
        <v>张旭东著</v>
      </c>
      <c r="E1179" s="7" t="str">
        <f>"上海人民出版社"</f>
        <v>上海人民出版社</v>
      </c>
      <c r="F1179" s="7" t="str">
        <f>"J905.2/175"</f>
        <v>J905.2/175</v>
      </c>
    </row>
    <row r="1180" customHeight="1" spans="1:6">
      <c r="A1180" s="6">
        <v>1179</v>
      </c>
      <c r="B1180" s="7" t="str">
        <f>"978-7-208-17021-6"</f>
        <v>978-7-208-17021-6</v>
      </c>
      <c r="C1180" s="7" t="str">
        <f>"社会风景的寓言：中国电影文化：1988-2015"</f>
        <v>社会风景的寓言：中国电影文化：1988-2015</v>
      </c>
      <c r="D1180" s="7" t="str">
        <f>"张旭东著"</f>
        <v>张旭东著</v>
      </c>
      <c r="E1180" s="7" t="str">
        <f>"上海人民出版社"</f>
        <v>上海人民出版社</v>
      </c>
      <c r="F1180" s="7" t="str">
        <f>"J905.2/175"</f>
        <v>J905.2/175</v>
      </c>
    </row>
    <row r="1181" customHeight="1" spans="1:6">
      <c r="A1181" s="6">
        <v>1180</v>
      </c>
      <c r="B1181" s="7" t="str">
        <f>"978-7-5596-5245-4"</f>
        <v>978-7-5596-5245-4</v>
      </c>
      <c r="C1181" s="7" t="str">
        <f>"号脉电影"</f>
        <v>号脉电影</v>
      </c>
      <c r="D1181" s="7" t="str">
        <f>"周铁东著"</f>
        <v>周铁东著</v>
      </c>
      <c r="E1181" s="7" t="str">
        <f>"北京联合出版公司"</f>
        <v>北京联合出版公司</v>
      </c>
      <c r="F1181" s="7" t="str">
        <f>"J905.2-53/5=D"</f>
        <v>J905.2-53/5=D</v>
      </c>
    </row>
    <row r="1182" customHeight="1" spans="1:6">
      <c r="A1182" s="6">
        <v>1181</v>
      </c>
      <c r="B1182" s="7" t="str">
        <f>"978-7-5596-5245-4"</f>
        <v>978-7-5596-5245-4</v>
      </c>
      <c r="C1182" s="7" t="str">
        <f>"号脉电影"</f>
        <v>号脉电影</v>
      </c>
      <c r="D1182" s="7" t="str">
        <f>"周铁东著"</f>
        <v>周铁东著</v>
      </c>
      <c r="E1182" s="7" t="str">
        <f>"北京联合出版公司"</f>
        <v>北京联合出版公司</v>
      </c>
      <c r="F1182" s="7" t="str">
        <f>"J905.2-53/5=D"</f>
        <v>J905.2-53/5=D</v>
      </c>
    </row>
    <row r="1183" customHeight="1" spans="1:6">
      <c r="A1183" s="6">
        <v>1182</v>
      </c>
      <c r="B1183" s="9" t="str">
        <f>"978-7-5685-2458-2"</f>
        <v>978-7-5685-2458-2</v>
      </c>
      <c r="C1183" s="9" t="str">
        <f>"电影英语．钢铁侠：看电影学英语"</f>
        <v>电影英语．钢铁侠：看电影学英语</v>
      </c>
      <c r="D1183" s="9" t="str">
        <f>"徐鹏， 刘倩， 张懿如编著"</f>
        <v>徐鹏， 刘倩， 张懿如编著</v>
      </c>
      <c r="E1183" s="9" t="str">
        <f>"大连理工大学出版社"</f>
        <v>大连理工大学出版社</v>
      </c>
      <c r="F1183" s="9" t="str">
        <f>"J905.712/46"</f>
        <v>J905.712/46</v>
      </c>
    </row>
    <row r="1184" customHeight="1" spans="1:6">
      <c r="A1184" s="6">
        <v>1183</v>
      </c>
      <c r="B1184" s="8" t="s">
        <v>12084</v>
      </c>
      <c r="C1184" s="8" t="s">
        <v>12085</v>
      </c>
      <c r="D1184" s="8" t="s">
        <v>12086</v>
      </c>
      <c r="E1184" s="8" t="s">
        <v>360</v>
      </c>
      <c r="F1184" s="8" t="s">
        <v>12087</v>
      </c>
    </row>
    <row r="1185" customHeight="1" spans="1:6">
      <c r="A1185" s="6">
        <v>1184</v>
      </c>
      <c r="B1185" s="8" t="s">
        <v>12084</v>
      </c>
      <c r="C1185" s="8" t="s">
        <v>12085</v>
      </c>
      <c r="D1185" s="8" t="s">
        <v>12086</v>
      </c>
      <c r="E1185" s="8" t="s">
        <v>360</v>
      </c>
      <c r="F1185" s="8" t="s">
        <v>12087</v>
      </c>
    </row>
    <row r="1186" customHeight="1" spans="1:6">
      <c r="A1186" s="6">
        <v>1185</v>
      </c>
      <c r="B1186" s="7" t="str">
        <f>"978-7-5043-2727-7"</f>
        <v>978-7-5043-2727-7</v>
      </c>
      <c r="C1186" s="7" t="str">
        <f>"外国电影史"</f>
        <v>外国电影史</v>
      </c>
      <c r="D1186" s="7" t="str">
        <f>"郑雅玲， 胡滨著"</f>
        <v>郑雅玲， 胡滨著</v>
      </c>
      <c r="E1186" s="7" t="str">
        <f>"中国广播影视出版社"</f>
        <v>中国广播影视出版社</v>
      </c>
      <c r="F1186" s="7" t="str">
        <f>"J909.1/33"</f>
        <v>J909.1/33</v>
      </c>
    </row>
    <row r="1187" customHeight="1" spans="1:6">
      <c r="A1187" s="6">
        <v>1186</v>
      </c>
      <c r="B1187" s="7" t="str">
        <f>"978-7-5043-2727-7"</f>
        <v>978-7-5043-2727-7</v>
      </c>
      <c r="C1187" s="7" t="str">
        <f>"外国电影史"</f>
        <v>外国电影史</v>
      </c>
      <c r="D1187" s="7" t="str">
        <f>"郑雅玲， 胡滨著"</f>
        <v>郑雅玲， 胡滨著</v>
      </c>
      <c r="E1187" s="7" t="str">
        <f>"中国广播影视出版社"</f>
        <v>中国广播影视出版社</v>
      </c>
      <c r="F1187" s="7" t="str">
        <f>"J909.1/33"</f>
        <v>J909.1/33</v>
      </c>
    </row>
    <row r="1188" customHeight="1" spans="1:6">
      <c r="A1188" s="6">
        <v>1187</v>
      </c>
      <c r="B1188" s="7" t="str">
        <f>"978-7-5117-1498-5"</f>
        <v>978-7-5117-1498-5</v>
      </c>
      <c r="C1188" s="7" t="str">
        <f>"世界动画史"</f>
        <v>世界动画史</v>
      </c>
      <c r="D1188" s="7" t="str">
        <f>"史蒂芬·卡瓦利耶著；陈功译"</f>
        <v>史蒂芬·卡瓦利耶著；陈功译</v>
      </c>
      <c r="E1188" s="7" t="str">
        <f>"中央编译出版社"</f>
        <v>中央编译出版社</v>
      </c>
      <c r="F1188" s="7" t="str">
        <f>"J909.1/34"</f>
        <v>J909.1/34</v>
      </c>
    </row>
    <row r="1189" customHeight="1" spans="1:6">
      <c r="A1189" s="6">
        <v>1188</v>
      </c>
      <c r="B1189" s="7" t="str">
        <f>"978-7-5117-1498-5"</f>
        <v>978-7-5117-1498-5</v>
      </c>
      <c r="C1189" s="7" t="str">
        <f>"世界动画史"</f>
        <v>世界动画史</v>
      </c>
      <c r="D1189" s="7" t="str">
        <f>"史蒂芬·卡瓦利耶著；陈功译"</f>
        <v>史蒂芬·卡瓦利耶著；陈功译</v>
      </c>
      <c r="E1189" s="7" t="str">
        <f>"中央编译出版社"</f>
        <v>中央编译出版社</v>
      </c>
      <c r="F1189" s="7" t="str">
        <f>"J909.1/34"</f>
        <v>J909.1/34</v>
      </c>
    </row>
    <row r="1190" customHeight="1" spans="1:6">
      <c r="A1190" s="6">
        <v>1189</v>
      </c>
      <c r="B1190" s="7" t="str">
        <f>"978-7-5690-4099-9"</f>
        <v>978-7-5690-4099-9</v>
      </c>
      <c r="C1190" s="7" t="str">
        <f>"数字技术时代微电影的艺术制作研究"</f>
        <v>数字技术时代微电影的艺术制作研究</v>
      </c>
      <c r="D1190" s="7" t="str">
        <f>"孙婧著"</f>
        <v>孙婧著</v>
      </c>
      <c r="E1190" s="7" t="str">
        <f>"四川大学出版社"</f>
        <v>四川大学出版社</v>
      </c>
      <c r="F1190" s="7" t="str">
        <f>"J91/12=2D"</f>
        <v>J91/12=2D</v>
      </c>
    </row>
    <row r="1191" customHeight="1" spans="1:6">
      <c r="A1191" s="6">
        <v>1190</v>
      </c>
      <c r="B1191" s="7" t="str">
        <f>"978-7-5690-4099-9"</f>
        <v>978-7-5690-4099-9</v>
      </c>
      <c r="C1191" s="7" t="str">
        <f>"数字技术时代微电影的艺术制作研究"</f>
        <v>数字技术时代微电影的艺术制作研究</v>
      </c>
      <c r="D1191" s="7" t="str">
        <f>"孙婧著"</f>
        <v>孙婧著</v>
      </c>
      <c r="E1191" s="7" t="str">
        <f>"四川大学出版社"</f>
        <v>四川大学出版社</v>
      </c>
      <c r="F1191" s="7" t="str">
        <f>"J91/12=2D"</f>
        <v>J91/12=2D</v>
      </c>
    </row>
    <row r="1192" customHeight="1" spans="1:6">
      <c r="A1192" s="6">
        <v>1191</v>
      </c>
      <c r="B1192" s="7" t="str">
        <f>"978-7-115-55899-2"</f>
        <v>978-7-115-55899-2</v>
      </c>
      <c r="C1192" s="7" t="str">
        <f>"声音表演的艺术：配音艺术与创作技巧"</f>
        <v>声音表演的艺术：配音艺术与创作技巧</v>
      </c>
      <c r="D1192" s="7" t="str">
        <f>"(美) 詹姆斯·R. 阿尔伯格著；唐惠润， 成倍译"</f>
        <v>(美) 詹姆斯·R. 阿尔伯格著；唐惠润， 成倍译</v>
      </c>
      <c r="E1192" s="7" t="str">
        <f>"人民邮电出版社"</f>
        <v>人民邮电出版社</v>
      </c>
      <c r="F1192" s="7" t="str">
        <f>"J912/20"</f>
        <v>J912/20</v>
      </c>
    </row>
    <row r="1193" customHeight="1" spans="1:6">
      <c r="A1193" s="6">
        <v>1192</v>
      </c>
      <c r="B1193" s="7" t="str">
        <f>"978-7-115-55899-2"</f>
        <v>978-7-115-55899-2</v>
      </c>
      <c r="C1193" s="7" t="str">
        <f>"声音表演的艺术：配音艺术与创作技巧"</f>
        <v>声音表演的艺术：配音艺术与创作技巧</v>
      </c>
      <c r="D1193" s="7" t="str">
        <f>"(美) 詹姆斯·R. 阿尔伯格著；唐惠润， 成倍译"</f>
        <v>(美) 詹姆斯·R. 阿尔伯格著；唐惠润， 成倍译</v>
      </c>
      <c r="E1193" s="7" t="str">
        <f>"人民邮电出版社"</f>
        <v>人民邮电出版社</v>
      </c>
      <c r="F1193" s="7" t="str">
        <f>"J912/20"</f>
        <v>J912/20</v>
      </c>
    </row>
    <row r="1194" customHeight="1" spans="1:6">
      <c r="A1194" s="6">
        <v>1193</v>
      </c>
      <c r="B1194" s="7" t="str">
        <f>"978-7-5410-8996-1"</f>
        <v>978-7-5410-8996-1</v>
      </c>
      <c r="C1194" s="7" t="str">
        <f>"电影美术：总体造型设计"</f>
        <v>电影美术：总体造型设计</v>
      </c>
      <c r="D1194" s="7" t="str">
        <f>"周登富著"</f>
        <v>周登富著</v>
      </c>
      <c r="E1194" s="7" t="str">
        <f>"四川美术出版社"</f>
        <v>四川美术出版社</v>
      </c>
      <c r="F1194" s="7" t="str">
        <f>"J913/8"</f>
        <v>J913/8</v>
      </c>
    </row>
    <row r="1195" customHeight="1" spans="1:6">
      <c r="A1195" s="6">
        <v>1194</v>
      </c>
      <c r="B1195" s="7" t="str">
        <f>"978-7-5410-8996-1"</f>
        <v>978-7-5410-8996-1</v>
      </c>
      <c r="C1195" s="7" t="str">
        <f>"电影美术：总体造型设计"</f>
        <v>电影美术：总体造型设计</v>
      </c>
      <c r="D1195" s="7" t="str">
        <f>"周登富著"</f>
        <v>周登富著</v>
      </c>
      <c r="E1195" s="7" t="str">
        <f>"四川美术出版社"</f>
        <v>四川美术出版社</v>
      </c>
      <c r="F1195" s="7" t="str">
        <f>"J913/8"</f>
        <v>J913/8</v>
      </c>
    </row>
    <row r="1196" customHeight="1" spans="1:6">
      <c r="A1196" s="6">
        <v>1195</v>
      </c>
      <c r="B1196" s="7" t="str">
        <f>"978-7-100-19100-5"</f>
        <v>978-7-100-19100-5</v>
      </c>
      <c r="C1196" s="7" t="str">
        <f>"好莱坞：电影与意识形态：cinema et ideologie"</f>
        <v>好莱坞：电影与意识形态：cinema et ideologie</v>
      </c>
      <c r="D1196" s="7" t="str">
        <f>"(法) 雷吉斯·迪布瓦著；李丹丹， 李昕晖译"</f>
        <v>(法) 雷吉斯·迪布瓦著；李丹丹， 李昕晖译</v>
      </c>
      <c r="E1196" s="7" t="str">
        <f>"商务印书馆"</f>
        <v>商务印书馆</v>
      </c>
      <c r="F1196" s="7" t="str">
        <f>"J997.12/13-2"</f>
        <v>J997.12/13-2</v>
      </c>
    </row>
    <row r="1197" customHeight="1" spans="1:6">
      <c r="A1197" s="6">
        <v>1196</v>
      </c>
      <c r="B1197" s="7" t="str">
        <f>"978-7-100-19100-5"</f>
        <v>978-7-100-19100-5</v>
      </c>
      <c r="C1197" s="7" t="str">
        <f>"好莱坞：电影与意识形态：cinema et ideologie"</f>
        <v>好莱坞：电影与意识形态：cinema et ideologie</v>
      </c>
      <c r="D1197" s="7" t="str">
        <f>"(法) 雷吉斯·迪布瓦著；李丹丹， 李昕晖译"</f>
        <v>(法) 雷吉斯·迪布瓦著；李丹丹， 李昕晖译</v>
      </c>
      <c r="E1197" s="7" t="str">
        <f>"商务印书馆"</f>
        <v>商务印书馆</v>
      </c>
      <c r="F1197" s="7" t="str">
        <f>"J997.12/13-2"</f>
        <v>J997.12/13-2</v>
      </c>
    </row>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13</vt:i4>
      </vt:variant>
    </vt:vector>
  </HeadingPairs>
  <TitlesOfParts>
    <vt:vector size="13" baseType="lpstr">
      <vt:lpstr>A马、列、毛、邓</vt:lpstr>
      <vt:lpstr>B  哲学、宗教</vt:lpstr>
      <vt:lpstr>C 社会科学总论</vt:lpstr>
      <vt:lpstr>D  政治、法律</vt:lpstr>
      <vt:lpstr>F 经济</vt:lpstr>
      <vt:lpstr>G 文化、科学、教育、体育</vt:lpstr>
      <vt:lpstr>H 语言</vt:lpstr>
      <vt:lpstr>I 文学</vt:lpstr>
      <vt:lpstr>J 艺术</vt:lpstr>
      <vt:lpstr>K 历史、地理</vt:lpstr>
      <vt:lpstr>T 工业技术</vt:lpstr>
      <vt:lpstr>R 医学</vt:lpstr>
      <vt:lpstr>其他</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PC</cp:lastModifiedBy>
  <dcterms:created xsi:type="dcterms:W3CDTF">2021-10-13T07:01:00Z</dcterms:created>
  <dcterms:modified xsi:type="dcterms:W3CDTF">2022-06-01T01:48:46Z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CB47E53F3FB241E5BECD6281D37ED187</vt:lpwstr>
  </property>
  <property fmtid="{D5CDD505-2E9C-101B-9397-08002B2CF9AE}" pid="3" name="KSOProductBuildVer">
    <vt:lpwstr>2052-11.1.0.11115</vt:lpwstr>
  </property>
</Properties>
</file>