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B、C、D、E类" sheetId="1" r:id="rId1"/>
    <sheet name="F类" sheetId="2" r:id="rId2"/>
    <sheet name="G、H" sheetId="3" r:id="rId3"/>
    <sheet name="I" sheetId="4" r:id="rId4"/>
    <sheet name="J、K" sheetId="5" r:id="rId5"/>
    <sheet name="其他" sheetId="6" r:id="rId6"/>
  </sheets>
  <calcPr calcId="125725"/>
</workbook>
</file>

<file path=xl/calcChain.xml><?xml version="1.0" encoding="utf-8"?>
<calcChain xmlns="http://schemas.openxmlformats.org/spreadsheetml/2006/main">
  <c r="A233" i="2"/>
  <c r="B233"/>
  <c r="C233"/>
  <c r="D233"/>
  <c r="E233"/>
  <c r="A207"/>
  <c r="B207"/>
  <c r="C207"/>
  <c r="D207"/>
  <c r="E207"/>
  <c r="A167"/>
  <c r="B167"/>
  <c r="C167"/>
  <c r="D167"/>
  <c r="E167"/>
  <c r="A164"/>
  <c r="B164"/>
  <c r="C164"/>
  <c r="D164"/>
  <c r="E164"/>
  <c r="A155"/>
  <c r="B155"/>
  <c r="C155"/>
  <c r="D155"/>
  <c r="E155"/>
  <c r="A147"/>
  <c r="B147"/>
  <c r="C147"/>
  <c r="D147"/>
  <c r="E147"/>
  <c r="A144"/>
  <c r="B144"/>
  <c r="C144"/>
  <c r="D144"/>
  <c r="E144"/>
  <c r="A108"/>
  <c r="B108"/>
  <c r="C108"/>
  <c r="D108"/>
  <c r="E108"/>
  <c r="A94"/>
  <c r="B94"/>
  <c r="C94"/>
  <c r="D94"/>
  <c r="E94"/>
  <c r="A79"/>
  <c r="B79"/>
  <c r="C79"/>
  <c r="D79"/>
  <c r="E79"/>
  <c r="A78"/>
  <c r="B78"/>
  <c r="C78"/>
  <c r="D78"/>
  <c r="E78"/>
  <c r="A77"/>
  <c r="B77"/>
  <c r="C77"/>
  <c r="D77"/>
  <c r="E77"/>
  <c r="A76"/>
  <c r="B76"/>
  <c r="C76"/>
  <c r="D76"/>
  <c r="E76"/>
  <c r="A75"/>
  <c r="B75"/>
  <c r="C75"/>
  <c r="D75"/>
  <c r="E75"/>
  <c r="A74"/>
  <c r="B74"/>
  <c r="C74"/>
  <c r="D74"/>
  <c r="E74"/>
  <c r="A63"/>
  <c r="B63"/>
  <c r="C63"/>
  <c r="D63"/>
  <c r="E63"/>
  <c r="A62"/>
  <c r="B62"/>
  <c r="C62"/>
  <c r="D62"/>
  <c r="E62"/>
  <c r="A31"/>
  <c r="B31"/>
  <c r="C31"/>
  <c r="D31"/>
  <c r="E31"/>
  <c r="A9"/>
  <c r="B9"/>
  <c r="C9"/>
  <c r="D9"/>
  <c r="E9"/>
  <c r="A1"/>
  <c r="B1"/>
  <c r="C1"/>
  <c r="D1"/>
  <c r="E1"/>
  <c r="E1" i="6"/>
  <c r="D1"/>
  <c r="C1"/>
  <c r="B1"/>
  <c r="A1"/>
  <c r="E1" i="5"/>
  <c r="D1"/>
  <c r="C1"/>
  <c r="B1"/>
  <c r="A1"/>
  <c r="E1" i="4"/>
  <c r="D1"/>
  <c r="C1"/>
  <c r="B1"/>
  <c r="A1"/>
  <c r="E10" i="6"/>
  <c r="D10"/>
  <c r="C10"/>
  <c r="B10"/>
  <c r="A10"/>
  <c r="E9"/>
  <c r="D9"/>
  <c r="C9"/>
  <c r="B9"/>
  <c r="A9"/>
  <c r="E8"/>
  <c r="D8"/>
  <c r="C8"/>
  <c r="B8"/>
  <c r="A8"/>
  <c r="E7"/>
  <c r="D7"/>
  <c r="C7"/>
  <c r="B7"/>
  <c r="A7"/>
  <c r="E6"/>
  <c r="D6"/>
  <c r="C6"/>
  <c r="B6"/>
  <c r="A6"/>
  <c r="E5"/>
  <c r="D5"/>
  <c r="C5"/>
  <c r="B5"/>
  <c r="A5"/>
  <c r="E4"/>
  <c r="D4"/>
  <c r="C4"/>
  <c r="B4"/>
  <c r="A4"/>
  <c r="E3"/>
  <c r="D3"/>
  <c r="C3"/>
  <c r="B3"/>
  <c r="A3"/>
  <c r="E2"/>
  <c r="D2"/>
  <c r="C2"/>
  <c r="B2"/>
  <c r="A2"/>
  <c r="E254" i="5"/>
  <c r="D254"/>
  <c r="C254"/>
  <c r="B254"/>
  <c r="A254"/>
  <c r="E253"/>
  <c r="D253"/>
  <c r="C253"/>
  <c r="B253"/>
  <c r="A253"/>
  <c r="E252"/>
  <c r="D252"/>
  <c r="C252"/>
  <c r="B252"/>
  <c r="A252"/>
  <c r="E251"/>
  <c r="D251"/>
  <c r="C251"/>
  <c r="B251"/>
  <c r="A251"/>
  <c r="E250"/>
  <c r="D250"/>
  <c r="C250"/>
  <c r="B250"/>
  <c r="A250"/>
  <c r="E249"/>
  <c r="D249"/>
  <c r="C249"/>
  <c r="B249"/>
  <c r="A249"/>
  <c r="E248"/>
  <c r="D248"/>
  <c r="C248"/>
  <c r="B248"/>
  <c r="A248"/>
  <c r="E247"/>
  <c r="D247"/>
  <c r="C247"/>
  <c r="B247"/>
  <c r="A247"/>
  <c r="E246"/>
  <c r="D246"/>
  <c r="C246"/>
  <c r="B246"/>
  <c r="A246"/>
  <c r="E245"/>
  <c r="D245"/>
  <c r="C245"/>
  <c r="B245"/>
  <c r="A245"/>
  <c r="E244"/>
  <c r="D244"/>
  <c r="C244"/>
  <c r="B244"/>
  <c r="A244"/>
  <c r="E243"/>
  <c r="D243"/>
  <c r="C243"/>
  <c r="B243"/>
  <c r="A243"/>
  <c r="E242"/>
  <c r="D242"/>
  <c r="C242"/>
  <c r="B242"/>
  <c r="A242"/>
  <c r="E241"/>
  <c r="D241"/>
  <c r="C241"/>
  <c r="B241"/>
  <c r="A241"/>
  <c r="E240"/>
  <c r="D240"/>
  <c r="C240"/>
  <c r="B240"/>
  <c r="A240"/>
  <c r="E239"/>
  <c r="D239"/>
  <c r="C239"/>
  <c r="B239"/>
  <c r="A239"/>
  <c r="E238"/>
  <c r="D238"/>
  <c r="C238"/>
  <c r="B238"/>
  <c r="A238"/>
  <c r="E237"/>
  <c r="D237"/>
  <c r="C237"/>
  <c r="B237"/>
  <c r="A237"/>
  <c r="E236"/>
  <c r="D236"/>
  <c r="C236"/>
  <c r="B236"/>
  <c r="A236"/>
  <c r="E235"/>
  <c r="D235"/>
  <c r="C235"/>
  <c r="B235"/>
  <c r="A235"/>
  <c r="E234"/>
  <c r="D234"/>
  <c r="C234"/>
  <c r="B234"/>
  <c r="A234"/>
  <c r="E233"/>
  <c r="D233"/>
  <c r="C233"/>
  <c r="B233"/>
  <c r="A233"/>
  <c r="E232"/>
  <c r="D232"/>
  <c r="C232"/>
  <c r="B232"/>
  <c r="A232"/>
  <c r="E231"/>
  <c r="D231"/>
  <c r="C231"/>
  <c r="B231"/>
  <c r="A231"/>
  <c r="E230"/>
  <c r="D230"/>
  <c r="C230"/>
  <c r="B230"/>
  <c r="A230"/>
  <c r="E229"/>
  <c r="D229"/>
  <c r="C229"/>
  <c r="B229"/>
  <c r="A229"/>
  <c r="E228"/>
  <c r="D228"/>
  <c r="C228"/>
  <c r="B228"/>
  <c r="A228"/>
  <c r="E227"/>
  <c r="D227"/>
  <c r="C227"/>
  <c r="B227"/>
  <c r="A227"/>
  <c r="E226"/>
  <c r="D226"/>
  <c r="C226"/>
  <c r="B226"/>
  <c r="A226"/>
  <c r="E225"/>
  <c r="D225"/>
  <c r="C225"/>
  <c r="B225"/>
  <c r="A225"/>
  <c r="E224"/>
  <c r="D224"/>
  <c r="C224"/>
  <c r="B224"/>
  <c r="A224"/>
  <c r="E223"/>
  <c r="D223"/>
  <c r="C223"/>
  <c r="B223"/>
  <c r="A223"/>
  <c r="E222"/>
  <c r="D222"/>
  <c r="C222"/>
  <c r="B222"/>
  <c r="A222"/>
  <c r="E221"/>
  <c r="D221"/>
  <c r="C221"/>
  <c r="B221"/>
  <c r="A221"/>
  <c r="E220"/>
  <c r="D220"/>
  <c r="C220"/>
  <c r="B220"/>
  <c r="A220"/>
  <c r="E219"/>
  <c r="D219"/>
  <c r="C219"/>
  <c r="B219"/>
  <c r="A219"/>
  <c r="E218"/>
  <c r="D218"/>
  <c r="C218"/>
  <c r="B218"/>
  <c r="A218"/>
  <c r="E217"/>
  <c r="D217"/>
  <c r="C217"/>
  <c r="B217"/>
  <c r="A217"/>
  <c r="E216"/>
  <c r="D216"/>
  <c r="C216"/>
  <c r="B216"/>
  <c r="A216"/>
  <c r="E215"/>
  <c r="D215"/>
  <c r="C215"/>
  <c r="B215"/>
  <c r="A215"/>
  <c r="E214"/>
  <c r="D214"/>
  <c r="C214"/>
  <c r="B214"/>
  <c r="A214"/>
  <c r="E213"/>
  <c r="D213"/>
  <c r="C213"/>
  <c r="B213"/>
  <c r="A213"/>
  <c r="E212"/>
  <c r="D212"/>
  <c r="C212"/>
  <c r="B212"/>
  <c r="A212"/>
  <c r="E211"/>
  <c r="D211"/>
  <c r="C211"/>
  <c r="B211"/>
  <c r="A211"/>
  <c r="E210"/>
  <c r="D210"/>
  <c r="C210"/>
  <c r="B210"/>
  <c r="A210"/>
  <c r="E209"/>
  <c r="D209"/>
  <c r="C209"/>
  <c r="B209"/>
  <c r="A209"/>
  <c r="E208"/>
  <c r="D208"/>
  <c r="C208"/>
  <c r="B208"/>
  <c r="A208"/>
  <c r="E207"/>
  <c r="D207"/>
  <c r="C207"/>
  <c r="B207"/>
  <c r="A207"/>
  <c r="E206"/>
  <c r="D206"/>
  <c r="C206"/>
  <c r="B206"/>
  <c r="A206"/>
  <c r="E205"/>
  <c r="D205"/>
  <c r="C205"/>
  <c r="B205"/>
  <c r="A205"/>
  <c r="E204"/>
  <c r="D204"/>
  <c r="C204"/>
  <c r="B204"/>
  <c r="A204"/>
  <c r="E203"/>
  <c r="D203"/>
  <c r="C203"/>
  <c r="B203"/>
  <c r="A203"/>
  <c r="E202"/>
  <c r="D202"/>
  <c r="C202"/>
  <c r="B202"/>
  <c r="A202"/>
  <c r="E201"/>
  <c r="D201"/>
  <c r="C201"/>
  <c r="B201"/>
  <c r="A201"/>
  <c r="E200"/>
  <c r="D200"/>
  <c r="C200"/>
  <c r="B200"/>
  <c r="A200"/>
  <c r="E199"/>
  <c r="D199"/>
  <c r="C199"/>
  <c r="B199"/>
  <c r="A199"/>
  <c r="E198"/>
  <c r="D198"/>
  <c r="C198"/>
  <c r="B198"/>
  <c r="A198"/>
  <c r="E197"/>
  <c r="D197"/>
  <c r="C197"/>
  <c r="B197"/>
  <c r="A197"/>
  <c r="E196"/>
  <c r="D196"/>
  <c r="C196"/>
  <c r="B196"/>
  <c r="A196"/>
  <c r="E195"/>
  <c r="D195"/>
  <c r="C195"/>
  <c r="B195"/>
  <c r="A195"/>
  <c r="E194"/>
  <c r="D194"/>
  <c r="C194"/>
  <c r="B194"/>
  <c r="A194"/>
  <c r="E193"/>
  <c r="D193"/>
  <c r="C193"/>
  <c r="B193"/>
  <c r="A193"/>
  <c r="E192"/>
  <c r="D192"/>
  <c r="C192"/>
  <c r="B192"/>
  <c r="A192"/>
  <c r="E191"/>
  <c r="D191"/>
  <c r="C191"/>
  <c r="B191"/>
  <c r="A191"/>
  <c r="E190"/>
  <c r="D190"/>
  <c r="C190"/>
  <c r="B190"/>
  <c r="A190"/>
  <c r="E189"/>
  <c r="D189"/>
  <c r="C189"/>
  <c r="B189"/>
  <c r="A189"/>
  <c r="E188"/>
  <c r="D188"/>
  <c r="C188"/>
  <c r="B188"/>
  <c r="A188"/>
  <c r="E187"/>
  <c r="D187"/>
  <c r="C187"/>
  <c r="B187"/>
  <c r="A187"/>
  <c r="E186"/>
  <c r="D186"/>
  <c r="C186"/>
  <c r="B186"/>
  <c r="A186"/>
  <c r="E185"/>
  <c r="D185"/>
  <c r="C185"/>
  <c r="B185"/>
  <c r="A185"/>
  <c r="E184"/>
  <c r="D184"/>
  <c r="C184"/>
  <c r="B184"/>
  <c r="A184"/>
  <c r="E183"/>
  <c r="D183"/>
  <c r="C183"/>
  <c r="B183"/>
  <c r="A183"/>
  <c r="E182"/>
  <c r="D182"/>
  <c r="C182"/>
  <c r="B182"/>
  <c r="A182"/>
  <c r="E181"/>
  <c r="D181"/>
  <c r="C181"/>
  <c r="B181"/>
  <c r="A181"/>
  <c r="E180"/>
  <c r="D180"/>
  <c r="C180"/>
  <c r="B180"/>
  <c r="A180"/>
  <c r="E179"/>
  <c r="D179"/>
  <c r="C179"/>
  <c r="B179"/>
  <c r="A179"/>
  <c r="E178"/>
  <c r="D178"/>
  <c r="C178"/>
  <c r="B178"/>
  <c r="A178"/>
  <c r="E177"/>
  <c r="D177"/>
  <c r="C177"/>
  <c r="B177"/>
  <c r="A177"/>
  <c r="E176"/>
  <c r="D176"/>
  <c r="C176"/>
  <c r="B176"/>
  <c r="A176"/>
  <c r="E175"/>
  <c r="D175"/>
  <c r="C175"/>
  <c r="B175"/>
  <c r="A175"/>
  <c r="E174"/>
  <c r="D174"/>
  <c r="C174"/>
  <c r="B174"/>
  <c r="A174"/>
  <c r="E173"/>
  <c r="D173"/>
  <c r="C173"/>
  <c r="B173"/>
  <c r="A173"/>
  <c r="E172"/>
  <c r="D172"/>
  <c r="C172"/>
  <c r="B172"/>
  <c r="A172"/>
  <c r="E171"/>
  <c r="D171"/>
  <c r="C171"/>
  <c r="B171"/>
  <c r="A171"/>
  <c r="E170"/>
  <c r="D170"/>
  <c r="C170"/>
  <c r="B170"/>
  <c r="A170"/>
  <c r="E169"/>
  <c r="D169"/>
  <c r="C169"/>
  <c r="B169"/>
  <c r="A169"/>
  <c r="E168"/>
  <c r="D168"/>
  <c r="C168"/>
  <c r="B168"/>
  <c r="A168"/>
  <c r="E167"/>
  <c r="D167"/>
  <c r="C167"/>
  <c r="B167"/>
  <c r="A167"/>
  <c r="E166"/>
  <c r="D166"/>
  <c r="C166"/>
  <c r="B166"/>
  <c r="A166"/>
  <c r="E165"/>
  <c r="D165"/>
  <c r="C165"/>
  <c r="B165"/>
  <c r="A165"/>
  <c r="E164"/>
  <c r="D164"/>
  <c r="C164"/>
  <c r="B164"/>
  <c r="A164"/>
  <c r="E163"/>
  <c r="D163"/>
  <c r="C163"/>
  <c r="B163"/>
  <c r="A163"/>
  <c r="E162"/>
  <c r="D162"/>
  <c r="C162"/>
  <c r="B162"/>
  <c r="A162"/>
  <c r="E161"/>
  <c r="D161"/>
  <c r="C161"/>
  <c r="B161"/>
  <c r="A161"/>
  <c r="E160"/>
  <c r="D160"/>
  <c r="C160"/>
  <c r="B160"/>
  <c r="A160"/>
  <c r="E159"/>
  <c r="D159"/>
  <c r="C159"/>
  <c r="B159"/>
  <c r="A159"/>
  <c r="E158"/>
  <c r="D158"/>
  <c r="C158"/>
  <c r="B158"/>
  <c r="A158"/>
  <c r="E157"/>
  <c r="D157"/>
  <c r="C157"/>
  <c r="B157"/>
  <c r="A157"/>
  <c r="E156"/>
  <c r="D156"/>
  <c r="C156"/>
  <c r="B156"/>
  <c r="A156"/>
  <c r="E155"/>
  <c r="D155"/>
  <c r="C155"/>
  <c r="B155"/>
  <c r="A155"/>
  <c r="E154"/>
  <c r="D154"/>
  <c r="C154"/>
  <c r="B154"/>
  <c r="A154"/>
  <c r="E153"/>
  <c r="D153"/>
  <c r="C153"/>
  <c r="B153"/>
  <c r="A153"/>
  <c r="E152"/>
  <c r="D152"/>
  <c r="C152"/>
  <c r="B152"/>
  <c r="A152"/>
  <c r="E151"/>
  <c r="D151"/>
  <c r="C151"/>
  <c r="B151"/>
  <c r="A151"/>
  <c r="E150"/>
  <c r="D150"/>
  <c r="C150"/>
  <c r="B150"/>
  <c r="A150"/>
  <c r="E149"/>
  <c r="D149"/>
  <c r="C149"/>
  <c r="B149"/>
  <c r="A149"/>
  <c r="E148"/>
  <c r="D148"/>
  <c r="C148"/>
  <c r="B148"/>
  <c r="A148"/>
  <c r="E147"/>
  <c r="D147"/>
  <c r="C147"/>
  <c r="B147"/>
  <c r="A147"/>
  <c r="E146"/>
  <c r="D146"/>
  <c r="C146"/>
  <c r="B146"/>
  <c r="A146"/>
  <c r="E145"/>
  <c r="D145"/>
  <c r="C145"/>
  <c r="B145"/>
  <c r="A145"/>
  <c r="E144"/>
  <c r="D144"/>
  <c r="C144"/>
  <c r="B144"/>
  <c r="A144"/>
  <c r="E143"/>
  <c r="D143"/>
  <c r="C143"/>
  <c r="B143"/>
  <c r="A143"/>
  <c r="E142"/>
  <c r="D142"/>
  <c r="C142"/>
  <c r="B142"/>
  <c r="A142"/>
  <c r="E141"/>
  <c r="D141"/>
  <c r="C141"/>
  <c r="B141"/>
  <c r="A141"/>
  <c r="E140"/>
  <c r="D140"/>
  <c r="C140"/>
  <c r="B140"/>
  <c r="A140"/>
  <c r="E139"/>
  <c r="D139"/>
  <c r="C139"/>
  <c r="B139"/>
  <c r="A139"/>
  <c r="E138"/>
  <c r="D138"/>
  <c r="C138"/>
  <c r="B138"/>
  <c r="A138"/>
  <c r="E137"/>
  <c r="D137"/>
  <c r="C137"/>
  <c r="B137"/>
  <c r="A137"/>
  <c r="E136"/>
  <c r="D136"/>
  <c r="C136"/>
  <c r="B136"/>
  <c r="A136"/>
  <c r="E135"/>
  <c r="D135"/>
  <c r="C135"/>
  <c r="B135"/>
  <c r="A135"/>
  <c r="E134"/>
  <c r="D134"/>
  <c r="C134"/>
  <c r="B134"/>
  <c r="A134"/>
  <c r="E133"/>
  <c r="D133"/>
  <c r="C133"/>
  <c r="B133"/>
  <c r="A133"/>
  <c r="E132"/>
  <c r="D132"/>
  <c r="C132"/>
  <c r="B132"/>
  <c r="A132"/>
  <c r="E131"/>
  <c r="D131"/>
  <c r="C131"/>
  <c r="B131"/>
  <c r="A131"/>
  <c r="E130"/>
  <c r="D130"/>
  <c r="C130"/>
  <c r="B130"/>
  <c r="A130"/>
  <c r="E129"/>
  <c r="D129"/>
  <c r="C129"/>
  <c r="B129"/>
  <c r="A129"/>
  <c r="E128"/>
  <c r="D128"/>
  <c r="C128"/>
  <c r="B128"/>
  <c r="A128"/>
  <c r="E127"/>
  <c r="D127"/>
  <c r="C127"/>
  <c r="B127"/>
  <c r="A127"/>
  <c r="E126"/>
  <c r="D126"/>
  <c r="C126"/>
  <c r="B126"/>
  <c r="A126"/>
  <c r="E125"/>
  <c r="D125"/>
  <c r="C125"/>
  <c r="B125"/>
  <c r="A125"/>
  <c r="E124"/>
  <c r="D124"/>
  <c r="C124"/>
  <c r="B124"/>
  <c r="A124"/>
  <c r="E123"/>
  <c r="D123"/>
  <c r="C123"/>
  <c r="B123"/>
  <c r="A123"/>
  <c r="E122"/>
  <c r="D122"/>
  <c r="C122"/>
  <c r="B122"/>
  <c r="A122"/>
  <c r="E121"/>
  <c r="D121"/>
  <c r="C121"/>
  <c r="B121"/>
  <c r="A121"/>
  <c r="E120"/>
  <c r="D120"/>
  <c r="C120"/>
  <c r="B120"/>
  <c r="A120"/>
  <c r="E119"/>
  <c r="D119"/>
  <c r="C119"/>
  <c r="B119"/>
  <c r="A119"/>
  <c r="E118"/>
  <c r="D118"/>
  <c r="C118"/>
  <c r="B118"/>
  <c r="A118"/>
  <c r="E117"/>
  <c r="D117"/>
  <c r="C117"/>
  <c r="B117"/>
  <c r="A117"/>
  <c r="E116"/>
  <c r="D116"/>
  <c r="C116"/>
  <c r="B116"/>
  <c r="A116"/>
  <c r="E115"/>
  <c r="D115"/>
  <c r="C115"/>
  <c r="B115"/>
  <c r="A115"/>
  <c r="E114"/>
  <c r="D114"/>
  <c r="C114"/>
  <c r="B114"/>
  <c r="A114"/>
  <c r="E113"/>
  <c r="D113"/>
  <c r="C113"/>
  <c r="B113"/>
  <c r="A113"/>
  <c r="E112"/>
  <c r="D112"/>
  <c r="C112"/>
  <c r="B112"/>
  <c r="A112"/>
  <c r="E111"/>
  <c r="D111"/>
  <c r="C111"/>
  <c r="B111"/>
  <c r="A111"/>
  <c r="E110"/>
  <c r="D110"/>
  <c r="C110"/>
  <c r="B110"/>
  <c r="A110"/>
  <c r="E109"/>
  <c r="D109"/>
  <c r="C109"/>
  <c r="B109"/>
  <c r="A109"/>
  <c r="E108"/>
  <c r="D108"/>
  <c r="C108"/>
  <c r="B108"/>
  <c r="A108"/>
  <c r="E107"/>
  <c r="D107"/>
  <c r="C107"/>
  <c r="B107"/>
  <c r="A107"/>
  <c r="E106"/>
  <c r="D106"/>
  <c r="C106"/>
  <c r="B106"/>
  <c r="A106"/>
  <c r="E105"/>
  <c r="D105"/>
  <c r="C105"/>
  <c r="B105"/>
  <c r="A105"/>
  <c r="E104"/>
  <c r="D104"/>
  <c r="C104"/>
  <c r="B104"/>
  <c r="A104"/>
  <c r="E103"/>
  <c r="D103"/>
  <c r="C103"/>
  <c r="B103"/>
  <c r="A103"/>
  <c r="E102"/>
  <c r="D102"/>
  <c r="C102"/>
  <c r="B102"/>
  <c r="A102"/>
  <c r="E101"/>
  <c r="D101"/>
  <c r="C101"/>
  <c r="B101"/>
  <c r="A101"/>
  <c r="E100"/>
  <c r="D100"/>
  <c r="C100"/>
  <c r="B100"/>
  <c r="A100"/>
  <c r="E99"/>
  <c r="D99"/>
  <c r="C99"/>
  <c r="B99"/>
  <c r="A99"/>
  <c r="E98"/>
  <c r="D98"/>
  <c r="C98"/>
  <c r="B98"/>
  <c r="A98"/>
  <c r="E97"/>
  <c r="D97"/>
  <c r="C97"/>
  <c r="B97"/>
  <c r="A97"/>
  <c r="E96"/>
  <c r="D96"/>
  <c r="C96"/>
  <c r="B96"/>
  <c r="A96"/>
  <c r="E95"/>
  <c r="D95"/>
  <c r="C95"/>
  <c r="B95"/>
  <c r="A95"/>
  <c r="E94"/>
  <c r="D94"/>
  <c r="C94"/>
  <c r="B94"/>
  <c r="A94"/>
  <c r="E93"/>
  <c r="D93"/>
  <c r="C93"/>
  <c r="B93"/>
  <c r="A93"/>
  <c r="E92"/>
  <c r="D92"/>
  <c r="C92"/>
  <c r="B92"/>
  <c r="A92"/>
  <c r="E91"/>
  <c r="D91"/>
  <c r="C91"/>
  <c r="B91"/>
  <c r="A91"/>
  <c r="E90"/>
  <c r="D90"/>
  <c r="C90"/>
  <c r="B90"/>
  <c r="A90"/>
  <c r="E89"/>
  <c r="D89"/>
  <c r="C89"/>
  <c r="B89"/>
  <c r="A89"/>
  <c r="E88"/>
  <c r="D88"/>
  <c r="C88"/>
  <c r="B88"/>
  <c r="A88"/>
  <c r="E87"/>
  <c r="D87"/>
  <c r="C87"/>
  <c r="B87"/>
  <c r="A87"/>
  <c r="E86"/>
  <c r="D86"/>
  <c r="C86"/>
  <c r="B86"/>
  <c r="A86"/>
  <c r="E85"/>
  <c r="D85"/>
  <c r="C85"/>
  <c r="B85"/>
  <c r="A85"/>
  <c r="E84"/>
  <c r="D84"/>
  <c r="C84"/>
  <c r="B84"/>
  <c r="A84"/>
  <c r="E83"/>
  <c r="D83"/>
  <c r="C83"/>
  <c r="B83"/>
  <c r="A83"/>
  <c r="E82"/>
  <c r="D82"/>
  <c r="C82"/>
  <c r="B82"/>
  <c r="A82"/>
  <c r="E81"/>
  <c r="D81"/>
  <c r="C81"/>
  <c r="B81"/>
  <c r="A81"/>
  <c r="E80"/>
  <c r="D80"/>
  <c r="C80"/>
  <c r="B80"/>
  <c r="A80"/>
  <c r="E79"/>
  <c r="D79"/>
  <c r="C79"/>
  <c r="B79"/>
  <c r="A79"/>
  <c r="E78"/>
  <c r="D78"/>
  <c r="C78"/>
  <c r="B78"/>
  <c r="A78"/>
  <c r="E77"/>
  <c r="D77"/>
  <c r="C77"/>
  <c r="B77"/>
  <c r="A77"/>
  <c r="E76"/>
  <c r="D76"/>
  <c r="C76"/>
  <c r="B76"/>
  <c r="A76"/>
  <c r="E75"/>
  <c r="D75"/>
  <c r="C75"/>
  <c r="B75"/>
  <c r="A75"/>
  <c r="E74"/>
  <c r="D74"/>
  <c r="C74"/>
  <c r="B74"/>
  <c r="A74"/>
  <c r="E73"/>
  <c r="D73"/>
  <c r="C73"/>
  <c r="B73"/>
  <c r="A73"/>
  <c r="E72"/>
  <c r="D72"/>
  <c r="C72"/>
  <c r="B72"/>
  <c r="A72"/>
  <c r="E71"/>
  <c r="D71"/>
  <c r="C71"/>
  <c r="B71"/>
  <c r="A71"/>
  <c r="E70"/>
  <c r="D70"/>
  <c r="C70"/>
  <c r="B70"/>
  <c r="A70"/>
  <c r="E69"/>
  <c r="D69"/>
  <c r="C69"/>
  <c r="B69"/>
  <c r="A69"/>
  <c r="E68"/>
  <c r="D68"/>
  <c r="C68"/>
  <c r="B68"/>
  <c r="A68"/>
  <c r="E67"/>
  <c r="D67"/>
  <c r="C67"/>
  <c r="B67"/>
  <c r="A67"/>
  <c r="E66"/>
  <c r="D66"/>
  <c r="C66"/>
  <c r="B66"/>
  <c r="A66"/>
  <c r="E65"/>
  <c r="D65"/>
  <c r="C65"/>
  <c r="B65"/>
  <c r="A65"/>
  <c r="E64"/>
  <c r="D64"/>
  <c r="C64"/>
  <c r="B64"/>
  <c r="A64"/>
  <c r="E63"/>
  <c r="D63"/>
  <c r="C63"/>
  <c r="B63"/>
  <c r="A63"/>
  <c r="E62"/>
  <c r="D62"/>
  <c r="C62"/>
  <c r="B62"/>
  <c r="A62"/>
  <c r="E61"/>
  <c r="D61"/>
  <c r="C61"/>
  <c r="B61"/>
  <c r="A61"/>
  <c r="E60"/>
  <c r="D60"/>
  <c r="C60"/>
  <c r="B60"/>
  <c r="A60"/>
  <c r="E59"/>
  <c r="D59"/>
  <c r="C59"/>
  <c r="B59"/>
  <c r="A59"/>
  <c r="E58"/>
  <c r="D58"/>
  <c r="C58"/>
  <c r="B58"/>
  <c r="A58"/>
  <c r="E57"/>
  <c r="D57"/>
  <c r="C57"/>
  <c r="B57"/>
  <c r="A57"/>
  <c r="E56"/>
  <c r="D56"/>
  <c r="C56"/>
  <c r="B56"/>
  <c r="A56"/>
  <c r="E55"/>
  <c r="D55"/>
  <c r="C55"/>
  <c r="B55"/>
  <c r="A55"/>
  <c r="E54"/>
  <c r="D54"/>
  <c r="C54"/>
  <c r="B54"/>
  <c r="A54"/>
  <c r="E53"/>
  <c r="D53"/>
  <c r="C53"/>
  <c r="B53"/>
  <c r="A53"/>
  <c r="E52"/>
  <c r="D52"/>
  <c r="C52"/>
  <c r="B52"/>
  <c r="A52"/>
  <c r="E51"/>
  <c r="D51"/>
  <c r="C51"/>
  <c r="B51"/>
  <c r="A51"/>
  <c r="E50"/>
  <c r="D50"/>
  <c r="C50"/>
  <c r="B50"/>
  <c r="A50"/>
  <c r="E49"/>
  <c r="D49"/>
  <c r="C49"/>
  <c r="B49"/>
  <c r="A49"/>
  <c r="E48"/>
  <c r="D48"/>
  <c r="C48"/>
  <c r="B48"/>
  <c r="A48"/>
  <c r="E47"/>
  <c r="D47"/>
  <c r="C47"/>
  <c r="B47"/>
  <c r="A47"/>
  <c r="E46"/>
  <c r="D46"/>
  <c r="C46"/>
  <c r="B46"/>
  <c r="A46"/>
  <c r="E45"/>
  <c r="D45"/>
  <c r="C45"/>
  <c r="B45"/>
  <c r="A45"/>
  <c r="E44"/>
  <c r="D44"/>
  <c r="C44"/>
  <c r="B44"/>
  <c r="A44"/>
  <c r="E43"/>
  <c r="D43"/>
  <c r="C43"/>
  <c r="B43"/>
  <c r="A43"/>
  <c r="E42"/>
  <c r="D42"/>
  <c r="C42"/>
  <c r="B42"/>
  <c r="A42"/>
  <c r="E41"/>
  <c r="D41"/>
  <c r="C41"/>
  <c r="B41"/>
  <c r="A41"/>
  <c r="E40"/>
  <c r="D40"/>
  <c r="C40"/>
  <c r="B40"/>
  <c r="A40"/>
  <c r="E39"/>
  <c r="D39"/>
  <c r="C39"/>
  <c r="B39"/>
  <c r="A39"/>
  <c r="E38"/>
  <c r="D38"/>
  <c r="C38"/>
  <c r="B38"/>
  <c r="A38"/>
  <c r="E37"/>
  <c r="D37"/>
  <c r="C37"/>
  <c r="B37"/>
  <c r="A37"/>
  <c r="E36"/>
  <c r="D36"/>
  <c r="C36"/>
  <c r="B36"/>
  <c r="A36"/>
  <c r="E35"/>
  <c r="D35"/>
  <c r="C35"/>
  <c r="B35"/>
  <c r="A35"/>
  <c r="E34"/>
  <c r="D34"/>
  <c r="C34"/>
  <c r="B34"/>
  <c r="A34"/>
  <c r="E33"/>
  <c r="D33"/>
  <c r="C33"/>
  <c r="B33"/>
  <c r="A33"/>
  <c r="E32"/>
  <c r="D32"/>
  <c r="C32"/>
  <c r="B32"/>
  <c r="A32"/>
  <c r="E31"/>
  <c r="D31"/>
  <c r="C31"/>
  <c r="B31"/>
  <c r="A31"/>
  <c r="E30"/>
  <c r="D30"/>
  <c r="C30"/>
  <c r="B30"/>
  <c r="A30"/>
  <c r="E29"/>
  <c r="D29"/>
  <c r="C29"/>
  <c r="B29"/>
  <c r="A29"/>
  <c r="E28"/>
  <c r="D28"/>
  <c r="C28"/>
  <c r="B28"/>
  <c r="A28"/>
  <c r="E27"/>
  <c r="D27"/>
  <c r="C27"/>
  <c r="B27"/>
  <c r="A27"/>
  <c r="E26"/>
  <c r="D26"/>
  <c r="C26"/>
  <c r="B26"/>
  <c r="A26"/>
  <c r="E25"/>
  <c r="D25"/>
  <c r="C25"/>
  <c r="B25"/>
  <c r="A25"/>
  <c r="E24"/>
  <c r="D24"/>
  <c r="C24"/>
  <c r="B24"/>
  <c r="A24"/>
  <c r="E23"/>
  <c r="D23"/>
  <c r="C23"/>
  <c r="B23"/>
  <c r="A23"/>
  <c r="E22"/>
  <c r="D22"/>
  <c r="C22"/>
  <c r="B22"/>
  <c r="A22"/>
  <c r="E21"/>
  <c r="D21"/>
  <c r="C21"/>
  <c r="B21"/>
  <c r="A21"/>
  <c r="E20"/>
  <c r="D20"/>
  <c r="C20"/>
  <c r="B20"/>
  <c r="A20"/>
  <c r="E19"/>
  <c r="D19"/>
  <c r="C19"/>
  <c r="B19"/>
  <c r="A19"/>
  <c r="E18"/>
  <c r="D18"/>
  <c r="C18"/>
  <c r="B18"/>
  <c r="A18"/>
  <c r="E17"/>
  <c r="D17"/>
  <c r="C17"/>
  <c r="B17"/>
  <c r="A17"/>
  <c r="E16"/>
  <c r="D16"/>
  <c r="C16"/>
  <c r="B16"/>
  <c r="A16"/>
  <c r="E15"/>
  <c r="D15"/>
  <c r="C15"/>
  <c r="B15"/>
  <c r="A15"/>
  <c r="E14"/>
  <c r="D14"/>
  <c r="C14"/>
  <c r="B14"/>
  <c r="A14"/>
  <c r="E13"/>
  <c r="D13"/>
  <c r="C13"/>
  <c r="B13"/>
  <c r="A13"/>
  <c r="E12"/>
  <c r="D12"/>
  <c r="C12"/>
  <c r="B12"/>
  <c r="A12"/>
  <c r="E11"/>
  <c r="D11"/>
  <c r="C11"/>
  <c r="B11"/>
  <c r="A11"/>
  <c r="E10"/>
  <c r="D10"/>
  <c r="C10"/>
  <c r="B10"/>
  <c r="A10"/>
  <c r="E9"/>
  <c r="D9"/>
  <c r="C9"/>
  <c r="B9"/>
  <c r="A9"/>
  <c r="E8"/>
  <c r="D8"/>
  <c r="C8"/>
  <c r="B8"/>
  <c r="A8"/>
  <c r="E7"/>
  <c r="D7"/>
  <c r="C7"/>
  <c r="B7"/>
  <c r="A7"/>
  <c r="E6"/>
  <c r="D6"/>
  <c r="C6"/>
  <c r="B6"/>
  <c r="A6"/>
  <c r="E5"/>
  <c r="D5"/>
  <c r="C5"/>
  <c r="B5"/>
  <c r="A5"/>
  <c r="E4"/>
  <c r="D4"/>
  <c r="C4"/>
  <c r="B4"/>
  <c r="A4"/>
  <c r="E3"/>
  <c r="D3"/>
  <c r="C3"/>
  <c r="B3"/>
  <c r="A3"/>
  <c r="E2"/>
  <c r="D2"/>
  <c r="C2"/>
  <c r="B2"/>
  <c r="A2"/>
  <c r="E359" i="4"/>
  <c r="D359"/>
  <c r="C359"/>
  <c r="B359"/>
  <c r="A359"/>
  <c r="E358"/>
  <c r="D358"/>
  <c r="C358"/>
  <c r="B358"/>
  <c r="A358"/>
  <c r="E357"/>
  <c r="D357"/>
  <c r="C357"/>
  <c r="B357"/>
  <c r="A357"/>
  <c r="E356"/>
  <c r="D356"/>
  <c r="C356"/>
  <c r="B356"/>
  <c r="A356"/>
  <c r="E355"/>
  <c r="D355"/>
  <c r="C355"/>
  <c r="B355"/>
  <c r="A355"/>
  <c r="E354"/>
  <c r="D354"/>
  <c r="C354"/>
  <c r="B354"/>
  <c r="A354"/>
  <c r="E353"/>
  <c r="D353"/>
  <c r="C353"/>
  <c r="B353"/>
  <c r="A353"/>
  <c r="E352"/>
  <c r="D352"/>
  <c r="C352"/>
  <c r="B352"/>
  <c r="A352"/>
  <c r="E351"/>
  <c r="D351"/>
  <c r="C351"/>
  <c r="B351"/>
  <c r="A351"/>
  <c r="E350"/>
  <c r="D350"/>
  <c r="C350"/>
  <c r="B350"/>
  <c r="A350"/>
  <c r="E349"/>
  <c r="D349"/>
  <c r="C349"/>
  <c r="B349"/>
  <c r="A349"/>
  <c r="E348"/>
  <c r="D348"/>
  <c r="C348"/>
  <c r="B348"/>
  <c r="A348"/>
  <c r="E347"/>
  <c r="D347"/>
  <c r="C347"/>
  <c r="B347"/>
  <c r="A347"/>
  <c r="E346"/>
  <c r="D346"/>
  <c r="C346"/>
  <c r="B346"/>
  <c r="A346"/>
  <c r="E345"/>
  <c r="D345"/>
  <c r="C345"/>
  <c r="B345"/>
  <c r="A345"/>
  <c r="E344"/>
  <c r="D344"/>
  <c r="C344"/>
  <c r="B344"/>
  <c r="A344"/>
  <c r="E343"/>
  <c r="D343"/>
  <c r="C343"/>
  <c r="B343"/>
  <c r="A343"/>
  <c r="E342"/>
  <c r="D342"/>
  <c r="C342"/>
  <c r="B342"/>
  <c r="A342"/>
  <c r="E341"/>
  <c r="D341"/>
  <c r="C341"/>
  <c r="B341"/>
  <c r="A341"/>
  <c r="E340"/>
  <c r="D340"/>
  <c r="C340"/>
  <c r="B340"/>
  <c r="A340"/>
  <c r="E339"/>
  <c r="D339"/>
  <c r="C339"/>
  <c r="B339"/>
  <c r="A339"/>
  <c r="E338"/>
  <c r="D338"/>
  <c r="C338"/>
  <c r="B338"/>
  <c r="A338"/>
  <c r="E337"/>
  <c r="D337"/>
  <c r="C337"/>
  <c r="B337"/>
  <c r="A337"/>
  <c r="E336"/>
  <c r="D336"/>
  <c r="C336"/>
  <c r="B336"/>
  <c r="A336"/>
  <c r="E335"/>
  <c r="D335"/>
  <c r="C335"/>
  <c r="B335"/>
  <c r="A335"/>
  <c r="E334"/>
  <c r="D334"/>
  <c r="C334"/>
  <c r="B334"/>
  <c r="A334"/>
  <c r="E333"/>
  <c r="D333"/>
  <c r="C333"/>
  <c r="B333"/>
  <c r="A333"/>
  <c r="E332"/>
  <c r="D332"/>
  <c r="C332"/>
  <c r="B332"/>
  <c r="A332"/>
  <c r="E331"/>
  <c r="D331"/>
  <c r="C331"/>
  <c r="B331"/>
  <c r="A331"/>
  <c r="E330"/>
  <c r="D330"/>
  <c r="C330"/>
  <c r="B330"/>
  <c r="A330"/>
  <c r="E329"/>
  <c r="D329"/>
  <c r="C329"/>
  <c r="B329"/>
  <c r="A329"/>
  <c r="E328"/>
  <c r="D328"/>
  <c r="C328"/>
  <c r="B328"/>
  <c r="A328"/>
  <c r="E327"/>
  <c r="D327"/>
  <c r="C327"/>
  <c r="B327"/>
  <c r="A327"/>
  <c r="E326"/>
  <c r="D326"/>
  <c r="C326"/>
  <c r="B326"/>
  <c r="A326"/>
  <c r="E325"/>
  <c r="D325"/>
  <c r="C325"/>
  <c r="B325"/>
  <c r="A325"/>
  <c r="E324"/>
  <c r="D324"/>
  <c r="C324"/>
  <c r="B324"/>
  <c r="A324"/>
  <c r="E323"/>
  <c r="D323"/>
  <c r="C323"/>
  <c r="B323"/>
  <c r="A323"/>
  <c r="E322"/>
  <c r="D322"/>
  <c r="C322"/>
  <c r="B322"/>
  <c r="A322"/>
  <c r="E321"/>
  <c r="D321"/>
  <c r="C321"/>
  <c r="B321"/>
  <c r="A321"/>
  <c r="E320"/>
  <c r="D320"/>
  <c r="C320"/>
  <c r="B320"/>
  <c r="A320"/>
  <c r="E319"/>
  <c r="D319"/>
  <c r="C319"/>
  <c r="B319"/>
  <c r="A319"/>
  <c r="E318"/>
  <c r="D318"/>
  <c r="C318"/>
  <c r="B318"/>
  <c r="A318"/>
  <c r="E317"/>
  <c r="D317"/>
  <c r="C317"/>
  <c r="B317"/>
  <c r="A317"/>
  <c r="E316"/>
  <c r="D316"/>
  <c r="C316"/>
  <c r="B316"/>
  <c r="A316"/>
  <c r="E315"/>
  <c r="D315"/>
  <c r="C315"/>
  <c r="B315"/>
  <c r="A315"/>
  <c r="E314"/>
  <c r="D314"/>
  <c r="C314"/>
  <c r="B314"/>
  <c r="A314"/>
  <c r="E313"/>
  <c r="D313"/>
  <c r="C313"/>
  <c r="B313"/>
  <c r="A313"/>
  <c r="E312"/>
  <c r="D312"/>
  <c r="C312"/>
  <c r="B312"/>
  <c r="A312"/>
  <c r="E311"/>
  <c r="D311"/>
  <c r="C311"/>
  <c r="B311"/>
  <c r="A311"/>
  <c r="E310"/>
  <c r="D310"/>
  <c r="C310"/>
  <c r="B310"/>
  <c r="A310"/>
  <c r="E309"/>
  <c r="D309"/>
  <c r="C309"/>
  <c r="B309"/>
  <c r="A309"/>
  <c r="E308"/>
  <c r="D308"/>
  <c r="C308"/>
  <c r="B308"/>
  <c r="A308"/>
  <c r="E307"/>
  <c r="D307"/>
  <c r="C307"/>
  <c r="B307"/>
  <c r="A307"/>
  <c r="E306"/>
  <c r="D306"/>
  <c r="C306"/>
  <c r="B306"/>
  <c r="A306"/>
  <c r="E305"/>
  <c r="D305"/>
  <c r="C305"/>
  <c r="B305"/>
  <c r="A305"/>
  <c r="E304"/>
  <c r="D304"/>
  <c r="C304"/>
  <c r="B304"/>
  <c r="A304"/>
  <c r="E303"/>
  <c r="D303"/>
  <c r="C303"/>
  <c r="B303"/>
  <c r="A303"/>
  <c r="E302"/>
  <c r="D302"/>
  <c r="C302"/>
  <c r="B302"/>
  <c r="A302"/>
  <c r="E301"/>
  <c r="D301"/>
  <c r="C301"/>
  <c r="B301"/>
  <c r="A301"/>
  <c r="E300"/>
  <c r="D300"/>
  <c r="C300"/>
  <c r="B300"/>
  <c r="A300"/>
  <c r="E299"/>
  <c r="D299"/>
  <c r="C299"/>
  <c r="B299"/>
  <c r="A299"/>
  <c r="E298"/>
  <c r="D298"/>
  <c r="C298"/>
  <c r="B298"/>
  <c r="A298"/>
  <c r="E297"/>
  <c r="D297"/>
  <c r="C297"/>
  <c r="B297"/>
  <c r="A297"/>
  <c r="E296"/>
  <c r="D296"/>
  <c r="C296"/>
  <c r="B296"/>
  <c r="A296"/>
  <c r="E295"/>
  <c r="D295"/>
  <c r="C295"/>
  <c r="B295"/>
  <c r="A295"/>
  <c r="E294"/>
  <c r="D294"/>
  <c r="C294"/>
  <c r="B294"/>
  <c r="A294"/>
  <c r="E293"/>
  <c r="D293"/>
  <c r="C293"/>
  <c r="B293"/>
  <c r="A293"/>
  <c r="E292"/>
  <c r="D292"/>
  <c r="C292"/>
  <c r="B292"/>
  <c r="A292"/>
  <c r="E291"/>
  <c r="D291"/>
  <c r="C291"/>
  <c r="B291"/>
  <c r="A291"/>
  <c r="E290"/>
  <c r="D290"/>
  <c r="C290"/>
  <c r="B290"/>
  <c r="A290"/>
  <c r="E289"/>
  <c r="D289"/>
  <c r="C289"/>
  <c r="B289"/>
  <c r="A289"/>
  <c r="E288"/>
  <c r="D288"/>
  <c r="C288"/>
  <c r="B288"/>
  <c r="A288"/>
  <c r="E287"/>
  <c r="D287"/>
  <c r="C287"/>
  <c r="B287"/>
  <c r="A287"/>
  <c r="E286"/>
  <c r="D286"/>
  <c r="C286"/>
  <c r="B286"/>
  <c r="A286"/>
  <c r="E285"/>
  <c r="D285"/>
  <c r="C285"/>
  <c r="B285"/>
  <c r="A285"/>
  <c r="E284"/>
  <c r="D284"/>
  <c r="C284"/>
  <c r="B284"/>
  <c r="A284"/>
  <c r="E283"/>
  <c r="D283"/>
  <c r="C283"/>
  <c r="B283"/>
  <c r="A283"/>
  <c r="E282"/>
  <c r="D282"/>
  <c r="C282"/>
  <c r="B282"/>
  <c r="A282"/>
  <c r="E281"/>
  <c r="D281"/>
  <c r="C281"/>
  <c r="B281"/>
  <c r="A281"/>
  <c r="E280"/>
  <c r="D280"/>
  <c r="C280"/>
  <c r="B280"/>
  <c r="A280"/>
  <c r="E279"/>
  <c r="D279"/>
  <c r="C279"/>
  <c r="B279"/>
  <c r="A279"/>
  <c r="E278"/>
  <c r="D278"/>
  <c r="C278"/>
  <c r="B278"/>
  <c r="A278"/>
  <c r="E277"/>
  <c r="D277"/>
  <c r="C277"/>
  <c r="B277"/>
  <c r="A277"/>
  <c r="E276"/>
  <c r="D276"/>
  <c r="C276"/>
  <c r="B276"/>
  <c r="A276"/>
  <c r="E275"/>
  <c r="D275"/>
  <c r="C275"/>
  <c r="B275"/>
  <c r="A275"/>
  <c r="E274"/>
  <c r="D274"/>
  <c r="C274"/>
  <c r="B274"/>
  <c r="A274"/>
  <c r="E273"/>
  <c r="D273"/>
  <c r="C273"/>
  <c r="B273"/>
  <c r="A273"/>
  <c r="E272"/>
  <c r="D272"/>
  <c r="C272"/>
  <c r="B272"/>
  <c r="A272"/>
  <c r="E271"/>
  <c r="D271"/>
  <c r="C271"/>
  <c r="B271"/>
  <c r="A271"/>
  <c r="E270"/>
  <c r="D270"/>
  <c r="C270"/>
  <c r="B270"/>
  <c r="A270"/>
  <c r="E269"/>
  <c r="D269"/>
  <c r="C269"/>
  <c r="B269"/>
  <c r="A269"/>
  <c r="E268"/>
  <c r="D268"/>
  <c r="C268"/>
  <c r="B268"/>
  <c r="A268"/>
  <c r="E267"/>
  <c r="D267"/>
  <c r="C267"/>
  <c r="B267"/>
  <c r="A267"/>
  <c r="E266"/>
  <c r="D266"/>
  <c r="C266"/>
  <c r="B266"/>
  <c r="A266"/>
  <c r="E265"/>
  <c r="D265"/>
  <c r="C265"/>
  <c r="B265"/>
  <c r="A265"/>
  <c r="E264"/>
  <c r="D264"/>
  <c r="C264"/>
  <c r="B264"/>
  <c r="A264"/>
  <c r="E263"/>
  <c r="D263"/>
  <c r="C263"/>
  <c r="B263"/>
  <c r="A263"/>
  <c r="E262"/>
  <c r="D262"/>
  <c r="C262"/>
  <c r="B262"/>
  <c r="A262"/>
  <c r="E261"/>
  <c r="D261"/>
  <c r="C261"/>
  <c r="B261"/>
  <c r="A261"/>
  <c r="E260"/>
  <c r="D260"/>
  <c r="C260"/>
  <c r="B260"/>
  <c r="A260"/>
  <c r="E259"/>
  <c r="D259"/>
  <c r="C259"/>
  <c r="B259"/>
  <c r="A259"/>
  <c r="E258"/>
  <c r="D258"/>
  <c r="C258"/>
  <c r="B258"/>
  <c r="A258"/>
  <c r="E257"/>
  <c r="D257"/>
  <c r="C257"/>
  <c r="B257"/>
  <c r="A257"/>
  <c r="E256"/>
  <c r="D256"/>
  <c r="C256"/>
  <c r="B256"/>
  <c r="A256"/>
  <c r="E255"/>
  <c r="D255"/>
  <c r="C255"/>
  <c r="B255"/>
  <c r="A255"/>
  <c r="E254"/>
  <c r="D254"/>
  <c r="C254"/>
  <c r="B254"/>
  <c r="A254"/>
  <c r="E253"/>
  <c r="D253"/>
  <c r="C253"/>
  <c r="B253"/>
  <c r="A253"/>
  <c r="E252"/>
  <c r="D252"/>
  <c r="C252"/>
  <c r="B252"/>
  <c r="A252"/>
  <c r="E251"/>
  <c r="D251"/>
  <c r="C251"/>
  <c r="B251"/>
  <c r="A251"/>
  <c r="E250"/>
  <c r="D250"/>
  <c r="C250"/>
  <c r="B250"/>
  <c r="A250"/>
  <c r="E249"/>
  <c r="D249"/>
  <c r="C249"/>
  <c r="B249"/>
  <c r="A249"/>
  <c r="E248"/>
  <c r="D248"/>
  <c r="C248"/>
  <c r="B248"/>
  <c r="A248"/>
  <c r="E247"/>
  <c r="D247"/>
  <c r="C247"/>
  <c r="B247"/>
  <c r="A247"/>
  <c r="E246"/>
  <c r="D246"/>
  <c r="C246"/>
  <c r="B246"/>
  <c r="A246"/>
  <c r="E245"/>
  <c r="D245"/>
  <c r="C245"/>
  <c r="B245"/>
  <c r="A245"/>
  <c r="E244"/>
  <c r="D244"/>
  <c r="C244"/>
  <c r="B244"/>
  <c r="A244"/>
  <c r="E243"/>
  <c r="D243"/>
  <c r="C243"/>
  <c r="B243"/>
  <c r="A243"/>
  <c r="E242"/>
  <c r="D242"/>
  <c r="C242"/>
  <c r="B242"/>
  <c r="A242"/>
  <c r="E241"/>
  <c r="D241"/>
  <c r="C241"/>
  <c r="B241"/>
  <c r="A241"/>
  <c r="E240"/>
  <c r="D240"/>
  <c r="C240"/>
  <c r="B240"/>
  <c r="A240"/>
  <c r="E239"/>
  <c r="D239"/>
  <c r="C239"/>
  <c r="B239"/>
  <c r="A239"/>
  <c r="E238"/>
  <c r="D238"/>
  <c r="C238"/>
  <c r="B238"/>
  <c r="A238"/>
  <c r="E237"/>
  <c r="D237"/>
  <c r="C237"/>
  <c r="B237"/>
  <c r="A237"/>
  <c r="E236"/>
  <c r="D236"/>
  <c r="C236"/>
  <c r="B236"/>
  <c r="A236"/>
  <c r="E235"/>
  <c r="D235"/>
  <c r="C235"/>
  <c r="B235"/>
  <c r="A235"/>
  <c r="E234"/>
  <c r="D234"/>
  <c r="C234"/>
  <c r="B234"/>
  <c r="A234"/>
  <c r="E233"/>
  <c r="D233"/>
  <c r="C233"/>
  <c r="B233"/>
  <c r="A233"/>
  <c r="E232"/>
  <c r="D232"/>
  <c r="C232"/>
  <c r="B232"/>
  <c r="A232"/>
  <c r="E231"/>
  <c r="D231"/>
  <c r="C231"/>
  <c r="B231"/>
  <c r="A231"/>
  <c r="E230"/>
  <c r="D230"/>
  <c r="C230"/>
  <c r="B230"/>
  <c r="A230"/>
  <c r="E229"/>
  <c r="D229"/>
  <c r="C229"/>
  <c r="B229"/>
  <c r="A229"/>
  <c r="E228"/>
  <c r="D228"/>
  <c r="C228"/>
  <c r="B228"/>
  <c r="A228"/>
  <c r="E227"/>
  <c r="D227"/>
  <c r="C227"/>
  <c r="B227"/>
  <c r="A227"/>
  <c r="E226"/>
  <c r="D226"/>
  <c r="C226"/>
  <c r="B226"/>
  <c r="A226"/>
  <c r="E225"/>
  <c r="D225"/>
  <c r="C225"/>
  <c r="B225"/>
  <c r="A225"/>
  <c r="E224"/>
  <c r="D224"/>
  <c r="C224"/>
  <c r="B224"/>
  <c r="A224"/>
  <c r="E223"/>
  <c r="D223"/>
  <c r="C223"/>
  <c r="B223"/>
  <c r="A223"/>
  <c r="E222"/>
  <c r="D222"/>
  <c r="C222"/>
  <c r="B222"/>
  <c r="A222"/>
  <c r="E221"/>
  <c r="D221"/>
  <c r="C221"/>
  <c r="B221"/>
  <c r="A221"/>
  <c r="E220"/>
  <c r="D220"/>
  <c r="C220"/>
  <c r="B220"/>
  <c r="A220"/>
  <c r="E219"/>
  <c r="D219"/>
  <c r="C219"/>
  <c r="B219"/>
  <c r="A219"/>
  <c r="E218"/>
  <c r="D218"/>
  <c r="C218"/>
  <c r="B218"/>
  <c r="A218"/>
  <c r="E217"/>
  <c r="D217"/>
  <c r="C217"/>
  <c r="B217"/>
  <c r="A217"/>
  <c r="E216"/>
  <c r="D216"/>
  <c r="C216"/>
  <c r="B216"/>
  <c r="A216"/>
  <c r="E215"/>
  <c r="D215"/>
  <c r="C215"/>
  <c r="B215"/>
  <c r="A215"/>
  <c r="E214"/>
  <c r="D214"/>
  <c r="C214"/>
  <c r="B214"/>
  <c r="A214"/>
  <c r="E213"/>
  <c r="D213"/>
  <c r="C213"/>
  <c r="B213"/>
  <c r="A213"/>
  <c r="E212"/>
  <c r="D212"/>
  <c r="C212"/>
  <c r="B212"/>
  <c r="A212"/>
  <c r="E211"/>
  <c r="D211"/>
  <c r="C211"/>
  <c r="B211"/>
  <c r="A211"/>
  <c r="E210"/>
  <c r="D210"/>
  <c r="C210"/>
  <c r="B210"/>
  <c r="A210"/>
  <c r="E209"/>
  <c r="D209"/>
  <c r="C209"/>
  <c r="B209"/>
  <c r="A209"/>
  <c r="E208"/>
  <c r="D208"/>
  <c r="C208"/>
  <c r="B208"/>
  <c r="A208"/>
  <c r="E207"/>
  <c r="D207"/>
  <c r="C207"/>
  <c r="B207"/>
  <c r="A207"/>
  <c r="E206"/>
  <c r="D206"/>
  <c r="C206"/>
  <c r="B206"/>
  <c r="A206"/>
  <c r="E205"/>
  <c r="D205"/>
  <c r="C205"/>
  <c r="B205"/>
  <c r="A205"/>
  <c r="E204"/>
  <c r="D204"/>
  <c r="C204"/>
  <c r="B204"/>
  <c r="A204"/>
  <c r="E203"/>
  <c r="D203"/>
  <c r="C203"/>
  <c r="B203"/>
  <c r="A203"/>
  <c r="E202"/>
  <c r="D202"/>
  <c r="C202"/>
  <c r="B202"/>
  <c r="A202"/>
  <c r="E201"/>
  <c r="D201"/>
  <c r="C201"/>
  <c r="B201"/>
  <c r="A201"/>
  <c r="E200"/>
  <c r="D200"/>
  <c r="C200"/>
  <c r="B200"/>
  <c r="A200"/>
  <c r="E199"/>
  <c r="D199"/>
  <c r="C199"/>
  <c r="B199"/>
  <c r="A199"/>
  <c r="E198"/>
  <c r="D198"/>
  <c r="C198"/>
  <c r="B198"/>
  <c r="A198"/>
  <c r="E197"/>
  <c r="D197"/>
  <c r="C197"/>
  <c r="B197"/>
  <c r="A197"/>
  <c r="E196"/>
  <c r="D196"/>
  <c r="C196"/>
  <c r="B196"/>
  <c r="A196"/>
  <c r="E195"/>
  <c r="D195"/>
  <c r="C195"/>
  <c r="B195"/>
  <c r="A195"/>
  <c r="E194"/>
  <c r="D194"/>
  <c r="C194"/>
  <c r="B194"/>
  <c r="A194"/>
  <c r="E193"/>
  <c r="D193"/>
  <c r="C193"/>
  <c r="B193"/>
  <c r="A193"/>
  <c r="E192"/>
  <c r="D192"/>
  <c r="C192"/>
  <c r="B192"/>
  <c r="A192"/>
  <c r="E191"/>
  <c r="D191"/>
  <c r="C191"/>
  <c r="B191"/>
  <c r="A191"/>
  <c r="E190"/>
  <c r="D190"/>
  <c r="C190"/>
  <c r="B190"/>
  <c r="A190"/>
  <c r="E189"/>
  <c r="D189"/>
  <c r="C189"/>
  <c r="B189"/>
  <c r="A189"/>
  <c r="E188"/>
  <c r="D188"/>
  <c r="C188"/>
  <c r="B188"/>
  <c r="A188"/>
  <c r="E187"/>
  <c r="D187"/>
  <c r="C187"/>
  <c r="B187"/>
  <c r="A187"/>
  <c r="E186"/>
  <c r="D186"/>
  <c r="C186"/>
  <c r="B186"/>
  <c r="A186"/>
  <c r="E185"/>
  <c r="D185"/>
  <c r="C185"/>
  <c r="B185"/>
  <c r="A185"/>
  <c r="E184"/>
  <c r="D184"/>
  <c r="C184"/>
  <c r="B184"/>
  <c r="A184"/>
  <c r="E183"/>
  <c r="D183"/>
  <c r="C183"/>
  <c r="B183"/>
  <c r="A183"/>
  <c r="E182"/>
  <c r="D182"/>
  <c r="C182"/>
  <c r="B182"/>
  <c r="A182"/>
  <c r="E181"/>
  <c r="D181"/>
  <c r="C181"/>
  <c r="B181"/>
  <c r="A181"/>
  <c r="E180"/>
  <c r="D180"/>
  <c r="C180"/>
  <c r="B180"/>
  <c r="A180"/>
  <c r="E179"/>
  <c r="D179"/>
  <c r="C179"/>
  <c r="B179"/>
  <c r="A179"/>
  <c r="E178"/>
  <c r="D178"/>
  <c r="C178"/>
  <c r="B178"/>
  <c r="A178"/>
  <c r="E177"/>
  <c r="D177"/>
  <c r="C177"/>
  <c r="B177"/>
  <c r="A177"/>
  <c r="E176"/>
  <c r="D176"/>
  <c r="C176"/>
  <c r="B176"/>
  <c r="A176"/>
  <c r="E175"/>
  <c r="D175"/>
  <c r="C175"/>
  <c r="B175"/>
  <c r="A175"/>
  <c r="E174"/>
  <c r="D174"/>
  <c r="C174"/>
  <c r="B174"/>
  <c r="A174"/>
  <c r="E173"/>
  <c r="D173"/>
  <c r="C173"/>
  <c r="B173"/>
  <c r="A173"/>
  <c r="E172"/>
  <c r="D172"/>
  <c r="C172"/>
  <c r="B172"/>
  <c r="A172"/>
  <c r="E171"/>
  <c r="D171"/>
  <c r="C171"/>
  <c r="B171"/>
  <c r="A171"/>
  <c r="E170"/>
  <c r="D170"/>
  <c r="C170"/>
  <c r="B170"/>
  <c r="A170"/>
  <c r="E169"/>
  <c r="D169"/>
  <c r="C169"/>
  <c r="B169"/>
  <c r="A169"/>
  <c r="E168"/>
  <c r="D168"/>
  <c r="C168"/>
  <c r="B168"/>
  <c r="A168"/>
  <c r="E167"/>
  <c r="D167"/>
  <c r="C167"/>
  <c r="B167"/>
  <c r="A167"/>
  <c r="E166"/>
  <c r="D166"/>
  <c r="C166"/>
  <c r="B166"/>
  <c r="A166"/>
  <c r="E165"/>
  <c r="D165"/>
  <c r="C165"/>
  <c r="B165"/>
  <c r="A165"/>
  <c r="E164"/>
  <c r="D164"/>
  <c r="C164"/>
  <c r="B164"/>
  <c r="A164"/>
  <c r="E163"/>
  <c r="D163"/>
  <c r="C163"/>
  <c r="B163"/>
  <c r="A163"/>
  <c r="E162"/>
  <c r="D162"/>
  <c r="C162"/>
  <c r="B162"/>
  <c r="A162"/>
  <c r="E161"/>
  <c r="D161"/>
  <c r="C161"/>
  <c r="B161"/>
  <c r="A161"/>
  <c r="E160"/>
  <c r="D160"/>
  <c r="C160"/>
  <c r="B160"/>
  <c r="A160"/>
  <c r="E159"/>
  <c r="D159"/>
  <c r="C159"/>
  <c r="B159"/>
  <c r="A159"/>
  <c r="E158"/>
  <c r="D158"/>
  <c r="C158"/>
  <c r="B158"/>
  <c r="A158"/>
  <c r="E157"/>
  <c r="D157"/>
  <c r="C157"/>
  <c r="B157"/>
  <c r="A157"/>
  <c r="E156"/>
  <c r="D156"/>
  <c r="C156"/>
  <c r="B156"/>
  <c r="A156"/>
  <c r="E155"/>
  <c r="D155"/>
  <c r="C155"/>
  <c r="B155"/>
  <c r="A155"/>
  <c r="E154"/>
  <c r="D154"/>
  <c r="C154"/>
  <c r="B154"/>
  <c r="A154"/>
  <c r="E153"/>
  <c r="D153"/>
  <c r="C153"/>
  <c r="B153"/>
  <c r="A153"/>
  <c r="E152"/>
  <c r="D152"/>
  <c r="C152"/>
  <c r="B152"/>
  <c r="A152"/>
  <c r="E151"/>
  <c r="D151"/>
  <c r="C151"/>
  <c r="B151"/>
  <c r="A151"/>
  <c r="E150"/>
  <c r="D150"/>
  <c r="C150"/>
  <c r="B150"/>
  <c r="A150"/>
  <c r="E149"/>
  <c r="D149"/>
  <c r="C149"/>
  <c r="B149"/>
  <c r="A149"/>
  <c r="E148"/>
  <c r="D148"/>
  <c r="C148"/>
  <c r="B148"/>
  <c r="A148"/>
  <c r="E147"/>
  <c r="D147"/>
  <c r="C147"/>
  <c r="B147"/>
  <c r="A147"/>
  <c r="E146"/>
  <c r="D146"/>
  <c r="C146"/>
  <c r="B146"/>
  <c r="A146"/>
  <c r="E145"/>
  <c r="D145"/>
  <c r="C145"/>
  <c r="B145"/>
  <c r="A145"/>
  <c r="E144"/>
  <c r="D144"/>
  <c r="C144"/>
  <c r="B144"/>
  <c r="A144"/>
  <c r="E143"/>
  <c r="D143"/>
  <c r="C143"/>
  <c r="B143"/>
  <c r="A143"/>
  <c r="E142"/>
  <c r="D142"/>
  <c r="C142"/>
  <c r="B142"/>
  <c r="A142"/>
  <c r="E141"/>
  <c r="D141"/>
  <c r="C141"/>
  <c r="B141"/>
  <c r="A141"/>
  <c r="E140"/>
  <c r="D140"/>
  <c r="C140"/>
  <c r="B140"/>
  <c r="A140"/>
  <c r="E139"/>
  <c r="D139"/>
  <c r="C139"/>
  <c r="B139"/>
  <c r="A139"/>
  <c r="E138"/>
  <c r="D138"/>
  <c r="C138"/>
  <c r="B138"/>
  <c r="A138"/>
  <c r="E137"/>
  <c r="D137"/>
  <c r="C137"/>
  <c r="B137"/>
  <c r="A137"/>
  <c r="E136"/>
  <c r="D136"/>
  <c r="C136"/>
  <c r="B136"/>
  <c r="A136"/>
  <c r="E135"/>
  <c r="D135"/>
  <c r="C135"/>
  <c r="B135"/>
  <c r="A135"/>
  <c r="E134"/>
  <c r="D134"/>
  <c r="C134"/>
  <c r="B134"/>
  <c r="A134"/>
  <c r="E133"/>
  <c r="D133"/>
  <c r="C133"/>
  <c r="B133"/>
  <c r="A133"/>
  <c r="E132"/>
  <c r="D132"/>
  <c r="C132"/>
  <c r="B132"/>
  <c r="A132"/>
  <c r="E131"/>
  <c r="D131"/>
  <c r="C131"/>
  <c r="B131"/>
  <c r="A131"/>
  <c r="E130"/>
  <c r="D130"/>
  <c r="C130"/>
  <c r="B130"/>
  <c r="A130"/>
  <c r="E129"/>
  <c r="D129"/>
  <c r="C129"/>
  <c r="B129"/>
  <c r="A129"/>
  <c r="E128"/>
  <c r="D128"/>
  <c r="C128"/>
  <c r="B128"/>
  <c r="A128"/>
  <c r="E127"/>
  <c r="D127"/>
  <c r="C127"/>
  <c r="B127"/>
  <c r="A127"/>
  <c r="E126"/>
  <c r="D126"/>
  <c r="C126"/>
  <c r="B126"/>
  <c r="A126"/>
  <c r="E125"/>
  <c r="D125"/>
  <c r="C125"/>
  <c r="B125"/>
  <c r="A125"/>
  <c r="E124"/>
  <c r="D124"/>
  <c r="C124"/>
  <c r="B124"/>
  <c r="A124"/>
  <c r="E123"/>
  <c r="D123"/>
  <c r="C123"/>
  <c r="B123"/>
  <c r="A123"/>
  <c r="E122"/>
  <c r="D122"/>
  <c r="C122"/>
  <c r="B122"/>
  <c r="A122"/>
  <c r="E121"/>
  <c r="D121"/>
  <c r="C121"/>
  <c r="B121"/>
  <c r="A121"/>
  <c r="E120"/>
  <c r="D120"/>
  <c r="C120"/>
  <c r="B120"/>
  <c r="A120"/>
  <c r="E119"/>
  <c r="D119"/>
  <c r="C119"/>
  <c r="B119"/>
  <c r="A119"/>
  <c r="E118"/>
  <c r="D118"/>
  <c r="C118"/>
  <c r="B118"/>
  <c r="A118"/>
  <c r="E117"/>
  <c r="D117"/>
  <c r="C117"/>
  <c r="B117"/>
  <c r="A117"/>
  <c r="E116"/>
  <c r="D116"/>
  <c r="C116"/>
  <c r="B116"/>
  <c r="A116"/>
  <c r="E115"/>
  <c r="D115"/>
  <c r="C115"/>
  <c r="B115"/>
  <c r="A115"/>
  <c r="E114"/>
  <c r="D114"/>
  <c r="C114"/>
  <c r="B114"/>
  <c r="A114"/>
  <c r="E113"/>
  <c r="D113"/>
  <c r="C113"/>
  <c r="B113"/>
  <c r="A113"/>
  <c r="E112"/>
  <c r="D112"/>
  <c r="C112"/>
  <c r="B112"/>
  <c r="A112"/>
  <c r="E111"/>
  <c r="D111"/>
  <c r="C111"/>
  <c r="B111"/>
  <c r="A111"/>
  <c r="E110"/>
  <c r="D110"/>
  <c r="C110"/>
  <c r="B110"/>
  <c r="A110"/>
  <c r="E109"/>
  <c r="D109"/>
  <c r="C109"/>
  <c r="B109"/>
  <c r="A109"/>
  <c r="E108"/>
  <c r="D108"/>
  <c r="C108"/>
  <c r="B108"/>
  <c r="A108"/>
  <c r="E107"/>
  <c r="D107"/>
  <c r="C107"/>
  <c r="B107"/>
  <c r="A107"/>
  <c r="E106"/>
  <c r="D106"/>
  <c r="C106"/>
  <c r="B106"/>
  <c r="A106"/>
  <c r="E105"/>
  <c r="D105"/>
  <c r="C105"/>
  <c r="B105"/>
  <c r="A105"/>
  <c r="E104"/>
  <c r="D104"/>
  <c r="C104"/>
  <c r="B104"/>
  <c r="A104"/>
  <c r="E103"/>
  <c r="D103"/>
  <c r="C103"/>
  <c r="B103"/>
  <c r="A103"/>
  <c r="E102"/>
  <c r="D102"/>
  <c r="C102"/>
  <c r="B102"/>
  <c r="A102"/>
  <c r="E101"/>
  <c r="D101"/>
  <c r="C101"/>
  <c r="B101"/>
  <c r="A101"/>
  <c r="E100"/>
  <c r="D100"/>
  <c r="C100"/>
  <c r="B100"/>
  <c r="A100"/>
  <c r="E99"/>
  <c r="D99"/>
  <c r="C99"/>
  <c r="B99"/>
  <c r="A99"/>
  <c r="E98"/>
  <c r="D98"/>
  <c r="C98"/>
  <c r="B98"/>
  <c r="A98"/>
  <c r="E97"/>
  <c r="D97"/>
  <c r="C97"/>
  <c r="B97"/>
  <c r="A97"/>
  <c r="E96"/>
  <c r="D96"/>
  <c r="C96"/>
  <c r="B96"/>
  <c r="A96"/>
  <c r="E95"/>
  <c r="D95"/>
  <c r="C95"/>
  <c r="B95"/>
  <c r="A95"/>
  <c r="E94"/>
  <c r="D94"/>
  <c r="C94"/>
  <c r="B94"/>
  <c r="A94"/>
  <c r="E93"/>
  <c r="D93"/>
  <c r="C93"/>
  <c r="B93"/>
  <c r="A93"/>
  <c r="E92"/>
  <c r="D92"/>
  <c r="C92"/>
  <c r="B92"/>
  <c r="A92"/>
  <c r="E91"/>
  <c r="D91"/>
  <c r="C91"/>
  <c r="B91"/>
  <c r="A91"/>
  <c r="E90"/>
  <c r="D90"/>
  <c r="C90"/>
  <c r="B90"/>
  <c r="A90"/>
  <c r="E89"/>
  <c r="D89"/>
  <c r="C89"/>
  <c r="B89"/>
  <c r="A89"/>
  <c r="E88"/>
  <c r="D88"/>
  <c r="C88"/>
  <c r="B88"/>
  <c r="A88"/>
  <c r="E87"/>
  <c r="D87"/>
  <c r="C87"/>
  <c r="B87"/>
  <c r="A87"/>
  <c r="E86"/>
  <c r="D86"/>
  <c r="C86"/>
  <c r="B86"/>
  <c r="A86"/>
  <c r="E85"/>
  <c r="D85"/>
  <c r="C85"/>
  <c r="B85"/>
  <c r="A85"/>
  <c r="E84"/>
  <c r="D84"/>
  <c r="C84"/>
  <c r="B84"/>
  <c r="A84"/>
  <c r="E83"/>
  <c r="D83"/>
  <c r="C83"/>
  <c r="B83"/>
  <c r="A83"/>
  <c r="E82"/>
  <c r="D82"/>
  <c r="C82"/>
  <c r="B82"/>
  <c r="A82"/>
  <c r="E81"/>
  <c r="D81"/>
  <c r="C81"/>
  <c r="B81"/>
  <c r="A81"/>
  <c r="E80"/>
  <c r="D80"/>
  <c r="C80"/>
  <c r="B80"/>
  <c r="A80"/>
  <c r="E79"/>
  <c r="D79"/>
  <c r="C79"/>
  <c r="B79"/>
  <c r="A79"/>
  <c r="E78"/>
  <c r="D78"/>
  <c r="C78"/>
  <c r="B78"/>
  <c r="A78"/>
  <c r="E77"/>
  <c r="D77"/>
  <c r="C77"/>
  <c r="B77"/>
  <c r="A77"/>
  <c r="E76"/>
  <c r="D76"/>
  <c r="C76"/>
  <c r="B76"/>
  <c r="A76"/>
  <c r="E75"/>
  <c r="D75"/>
  <c r="C75"/>
  <c r="B75"/>
  <c r="A75"/>
  <c r="E74"/>
  <c r="D74"/>
  <c r="C74"/>
  <c r="B74"/>
  <c r="A74"/>
  <c r="E73"/>
  <c r="D73"/>
  <c r="C73"/>
  <c r="B73"/>
  <c r="A73"/>
  <c r="E72"/>
  <c r="D72"/>
  <c r="C72"/>
  <c r="B72"/>
  <c r="A72"/>
  <c r="E71"/>
  <c r="D71"/>
  <c r="C71"/>
  <c r="B71"/>
  <c r="A71"/>
  <c r="E70"/>
  <c r="D70"/>
  <c r="C70"/>
  <c r="B70"/>
  <c r="A70"/>
  <c r="E69"/>
  <c r="D69"/>
  <c r="C69"/>
  <c r="B69"/>
  <c r="A69"/>
  <c r="E68"/>
  <c r="D68"/>
  <c r="C68"/>
  <c r="B68"/>
  <c r="A68"/>
  <c r="E67"/>
  <c r="D67"/>
  <c r="C67"/>
  <c r="B67"/>
  <c r="A67"/>
  <c r="E66"/>
  <c r="D66"/>
  <c r="C66"/>
  <c r="B66"/>
  <c r="A66"/>
  <c r="E65"/>
  <c r="D65"/>
  <c r="C65"/>
  <c r="B65"/>
  <c r="A65"/>
  <c r="E64"/>
  <c r="D64"/>
  <c r="C64"/>
  <c r="B64"/>
  <c r="A64"/>
  <c r="E63"/>
  <c r="D63"/>
  <c r="C63"/>
  <c r="B63"/>
  <c r="A63"/>
  <c r="E62"/>
  <c r="D62"/>
  <c r="C62"/>
  <c r="B62"/>
  <c r="A62"/>
  <c r="E61"/>
  <c r="D61"/>
  <c r="C61"/>
  <c r="B61"/>
  <c r="A61"/>
  <c r="E60"/>
  <c r="D60"/>
  <c r="C60"/>
  <c r="B60"/>
  <c r="A60"/>
  <c r="E59"/>
  <c r="D59"/>
  <c r="C59"/>
  <c r="B59"/>
  <c r="A59"/>
  <c r="E58"/>
  <c r="D58"/>
  <c r="C58"/>
  <c r="B58"/>
  <c r="A58"/>
  <c r="E57"/>
  <c r="D57"/>
  <c r="C57"/>
  <c r="B57"/>
  <c r="A57"/>
  <c r="E56"/>
  <c r="D56"/>
  <c r="C56"/>
  <c r="B56"/>
  <c r="A56"/>
  <c r="E55"/>
  <c r="D55"/>
  <c r="C55"/>
  <c r="B55"/>
  <c r="A55"/>
  <c r="E54"/>
  <c r="D54"/>
  <c r="C54"/>
  <c r="B54"/>
  <c r="A54"/>
  <c r="E53"/>
  <c r="D53"/>
  <c r="C53"/>
  <c r="B53"/>
  <c r="A53"/>
  <c r="E52"/>
  <c r="D52"/>
  <c r="C52"/>
  <c r="B52"/>
  <c r="A52"/>
  <c r="E51"/>
  <c r="D51"/>
  <c r="C51"/>
  <c r="B51"/>
  <c r="A51"/>
  <c r="E50"/>
  <c r="D50"/>
  <c r="C50"/>
  <c r="B50"/>
  <c r="A50"/>
  <c r="E49"/>
  <c r="D49"/>
  <c r="C49"/>
  <c r="B49"/>
  <c r="A49"/>
  <c r="E48"/>
  <c r="D48"/>
  <c r="C48"/>
  <c r="B48"/>
  <c r="A48"/>
  <c r="E47"/>
  <c r="D47"/>
  <c r="C47"/>
  <c r="B47"/>
  <c r="A47"/>
  <c r="E46"/>
  <c r="D46"/>
  <c r="C46"/>
  <c r="B46"/>
  <c r="A46"/>
  <c r="E45"/>
  <c r="D45"/>
  <c r="C45"/>
  <c r="B45"/>
  <c r="A45"/>
  <c r="E44"/>
  <c r="D44"/>
  <c r="C44"/>
  <c r="B44"/>
  <c r="A44"/>
  <c r="E43"/>
  <c r="D43"/>
  <c r="C43"/>
  <c r="B43"/>
  <c r="A43"/>
  <c r="E42"/>
  <c r="D42"/>
  <c r="C42"/>
  <c r="B42"/>
  <c r="A42"/>
  <c r="E41"/>
  <c r="D41"/>
  <c r="C41"/>
  <c r="B41"/>
  <c r="A41"/>
  <c r="E40"/>
  <c r="D40"/>
  <c r="C40"/>
  <c r="B40"/>
  <c r="A40"/>
  <c r="E39"/>
  <c r="D39"/>
  <c r="C39"/>
  <c r="B39"/>
  <c r="A39"/>
  <c r="E38"/>
  <c r="D38"/>
  <c r="C38"/>
  <c r="B38"/>
  <c r="A38"/>
  <c r="E37"/>
  <c r="D37"/>
  <c r="C37"/>
  <c r="B37"/>
  <c r="A37"/>
  <c r="E36"/>
  <c r="D36"/>
  <c r="C36"/>
  <c r="B36"/>
  <c r="A36"/>
  <c r="E35"/>
  <c r="D35"/>
  <c r="C35"/>
  <c r="B35"/>
  <c r="A35"/>
  <c r="E34"/>
  <c r="D34"/>
  <c r="C34"/>
  <c r="B34"/>
  <c r="A34"/>
  <c r="E33"/>
  <c r="D33"/>
  <c r="C33"/>
  <c r="B33"/>
  <c r="A33"/>
  <c r="E32"/>
  <c r="D32"/>
  <c r="C32"/>
  <c r="B32"/>
  <c r="A32"/>
  <c r="E31"/>
  <c r="D31"/>
  <c r="C31"/>
  <c r="B31"/>
  <c r="A31"/>
  <c r="E30"/>
  <c r="D30"/>
  <c r="C30"/>
  <c r="B30"/>
  <c r="A30"/>
  <c r="E29"/>
  <c r="D29"/>
  <c r="C29"/>
  <c r="B29"/>
  <c r="A29"/>
  <c r="E28"/>
  <c r="D28"/>
  <c r="C28"/>
  <c r="B28"/>
  <c r="A28"/>
  <c r="E27"/>
  <c r="D27"/>
  <c r="C27"/>
  <c r="B27"/>
  <c r="A27"/>
  <c r="E26"/>
  <c r="D26"/>
  <c r="C26"/>
  <c r="B26"/>
  <c r="A26"/>
  <c r="E25"/>
  <c r="D25"/>
  <c r="C25"/>
  <c r="B25"/>
  <c r="A25"/>
  <c r="E24"/>
  <c r="D24"/>
  <c r="C24"/>
  <c r="B24"/>
  <c r="A24"/>
  <c r="E23"/>
  <c r="D23"/>
  <c r="C23"/>
  <c r="B23"/>
  <c r="A23"/>
  <c r="E22"/>
  <c r="D22"/>
  <c r="C22"/>
  <c r="B22"/>
  <c r="A22"/>
  <c r="E21"/>
  <c r="D21"/>
  <c r="C21"/>
  <c r="B21"/>
  <c r="A21"/>
  <c r="E20"/>
  <c r="D20"/>
  <c r="C20"/>
  <c r="B20"/>
  <c r="A20"/>
  <c r="E19"/>
  <c r="D19"/>
  <c r="C19"/>
  <c r="B19"/>
  <c r="A19"/>
  <c r="E18"/>
  <c r="D18"/>
  <c r="C18"/>
  <c r="B18"/>
  <c r="A18"/>
  <c r="E17"/>
  <c r="D17"/>
  <c r="C17"/>
  <c r="B17"/>
  <c r="A17"/>
  <c r="E16"/>
  <c r="D16"/>
  <c r="C16"/>
  <c r="B16"/>
  <c r="A16"/>
  <c r="E15"/>
  <c r="D15"/>
  <c r="C15"/>
  <c r="B15"/>
  <c r="A15"/>
  <c r="E14"/>
  <c r="D14"/>
  <c r="C14"/>
  <c r="B14"/>
  <c r="A14"/>
  <c r="E13"/>
  <c r="D13"/>
  <c r="C13"/>
  <c r="B13"/>
  <c r="A13"/>
  <c r="E12"/>
  <c r="D12"/>
  <c r="C12"/>
  <c r="B12"/>
  <c r="A12"/>
  <c r="E11"/>
  <c r="D11"/>
  <c r="C11"/>
  <c r="B11"/>
  <c r="A11"/>
  <c r="E10"/>
  <c r="D10"/>
  <c r="C10"/>
  <c r="B10"/>
  <c r="A10"/>
  <c r="E9"/>
  <c r="D9"/>
  <c r="C9"/>
  <c r="B9"/>
  <c r="A9"/>
  <c r="E8"/>
  <c r="D8"/>
  <c r="C8"/>
  <c r="B8"/>
  <c r="A8"/>
  <c r="E7"/>
  <c r="D7"/>
  <c r="C7"/>
  <c r="B7"/>
  <c r="A7"/>
  <c r="E6"/>
  <c r="D6"/>
  <c r="C6"/>
  <c r="B6"/>
  <c r="A6"/>
  <c r="E5"/>
  <c r="D5"/>
  <c r="C5"/>
  <c r="B5"/>
  <c r="A5"/>
  <c r="E4"/>
  <c r="D4"/>
  <c r="C4"/>
  <c r="B4"/>
  <c r="A4"/>
  <c r="E3"/>
  <c r="D3"/>
  <c r="C3"/>
  <c r="B3"/>
  <c r="A3"/>
  <c r="E2"/>
  <c r="D2"/>
  <c r="C2"/>
  <c r="B2"/>
  <c r="A2"/>
  <c r="A84" i="3"/>
  <c r="E1"/>
  <c r="D1"/>
  <c r="C1"/>
  <c r="B1"/>
  <c r="A1"/>
  <c r="E156"/>
  <c r="D156"/>
  <c r="C156"/>
  <c r="B156"/>
  <c r="A156"/>
  <c r="E155"/>
  <c r="D155"/>
  <c r="C155"/>
  <c r="B155"/>
  <c r="A155"/>
  <c r="E154"/>
  <c r="D154"/>
  <c r="C154"/>
  <c r="B154"/>
  <c r="A154"/>
  <c r="E153"/>
  <c r="D153"/>
  <c r="C153"/>
  <c r="B153"/>
  <c r="A153"/>
  <c r="E152"/>
  <c r="D152"/>
  <c r="C152"/>
  <c r="B152"/>
  <c r="A152"/>
  <c r="E151"/>
  <c r="D151"/>
  <c r="C151"/>
  <c r="B151"/>
  <c r="A151"/>
  <c r="E150"/>
  <c r="D150"/>
  <c r="C150"/>
  <c r="B150"/>
  <c r="A150"/>
  <c r="E149"/>
  <c r="D149"/>
  <c r="C149"/>
  <c r="B149"/>
  <c r="A149"/>
  <c r="E148"/>
  <c r="D148"/>
  <c r="C148"/>
  <c r="B148"/>
  <c r="A148"/>
  <c r="E147"/>
  <c r="D147"/>
  <c r="C147"/>
  <c r="B147"/>
  <c r="A147"/>
  <c r="E146"/>
  <c r="D146"/>
  <c r="C146"/>
  <c r="B146"/>
  <c r="A146"/>
  <c r="E145"/>
  <c r="D145"/>
  <c r="C145"/>
  <c r="B145"/>
  <c r="A145"/>
  <c r="E144"/>
  <c r="D144"/>
  <c r="C144"/>
  <c r="B144"/>
  <c r="A144"/>
  <c r="E143"/>
  <c r="D143"/>
  <c r="C143"/>
  <c r="B143"/>
  <c r="A143"/>
  <c r="E142"/>
  <c r="D142"/>
  <c r="C142"/>
  <c r="B142"/>
  <c r="A142"/>
  <c r="E141"/>
  <c r="D141"/>
  <c r="C141"/>
  <c r="B141"/>
  <c r="A141"/>
  <c r="E140"/>
  <c r="D140"/>
  <c r="C140"/>
  <c r="B140"/>
  <c r="A140"/>
  <c r="E139"/>
  <c r="D139"/>
  <c r="C139"/>
  <c r="B139"/>
  <c r="A139"/>
  <c r="E138"/>
  <c r="D138"/>
  <c r="C138"/>
  <c r="B138"/>
  <c r="A138"/>
  <c r="E137"/>
  <c r="D137"/>
  <c r="C137"/>
  <c r="B137"/>
  <c r="A137"/>
  <c r="E136"/>
  <c r="D136"/>
  <c r="C136"/>
  <c r="B136"/>
  <c r="A136"/>
  <c r="E135"/>
  <c r="D135"/>
  <c r="C135"/>
  <c r="B135"/>
  <c r="A135"/>
  <c r="E134"/>
  <c r="D134"/>
  <c r="C134"/>
  <c r="B134"/>
  <c r="A134"/>
  <c r="E133"/>
  <c r="D133"/>
  <c r="C133"/>
  <c r="B133"/>
  <c r="A133"/>
  <c r="E132"/>
  <c r="D132"/>
  <c r="C132"/>
  <c r="B132"/>
  <c r="A132"/>
  <c r="E131"/>
  <c r="D131"/>
  <c r="C131"/>
  <c r="B131"/>
  <c r="A131"/>
  <c r="E130"/>
  <c r="D130"/>
  <c r="C130"/>
  <c r="B130"/>
  <c r="A130"/>
  <c r="E129"/>
  <c r="D129"/>
  <c r="C129"/>
  <c r="B129"/>
  <c r="A129"/>
  <c r="E128"/>
  <c r="D128"/>
  <c r="C128"/>
  <c r="B128"/>
  <c r="A128"/>
  <c r="E127"/>
  <c r="D127"/>
  <c r="C127"/>
  <c r="B127"/>
  <c r="A127"/>
  <c r="E126"/>
  <c r="D126"/>
  <c r="C126"/>
  <c r="B126"/>
  <c r="A126"/>
  <c r="E125"/>
  <c r="D125"/>
  <c r="C125"/>
  <c r="B125"/>
  <c r="A125"/>
  <c r="E124"/>
  <c r="D124"/>
  <c r="C124"/>
  <c r="B124"/>
  <c r="A124"/>
  <c r="E123"/>
  <c r="D123"/>
  <c r="C123"/>
  <c r="B123"/>
  <c r="A123"/>
  <c r="E122"/>
  <c r="D122"/>
  <c r="C122"/>
  <c r="B122"/>
  <c r="A122"/>
  <c r="E121"/>
  <c r="D121"/>
  <c r="C121"/>
  <c r="B121"/>
  <c r="A121"/>
  <c r="E120"/>
  <c r="D120"/>
  <c r="C120"/>
  <c r="B120"/>
  <c r="A120"/>
  <c r="E119"/>
  <c r="D119"/>
  <c r="C119"/>
  <c r="B119"/>
  <c r="A119"/>
  <c r="E118"/>
  <c r="D118"/>
  <c r="C118"/>
  <c r="B118"/>
  <c r="A118"/>
  <c r="E117"/>
  <c r="D117"/>
  <c r="C117"/>
  <c r="B117"/>
  <c r="A117"/>
  <c r="E116"/>
  <c r="D116"/>
  <c r="C116"/>
  <c r="B116"/>
  <c r="A116"/>
  <c r="E115"/>
  <c r="D115"/>
  <c r="C115"/>
  <c r="B115"/>
  <c r="A115"/>
  <c r="E114"/>
  <c r="D114"/>
  <c r="C114"/>
  <c r="B114"/>
  <c r="A114"/>
  <c r="E113"/>
  <c r="D113"/>
  <c r="C113"/>
  <c r="B113"/>
  <c r="A113"/>
  <c r="E112"/>
  <c r="D112"/>
  <c r="C112"/>
  <c r="B112"/>
  <c r="A112"/>
  <c r="E111"/>
  <c r="D111"/>
  <c r="C111"/>
  <c r="B111"/>
  <c r="A111"/>
  <c r="E110"/>
  <c r="D110"/>
  <c r="C110"/>
  <c r="B110"/>
  <c r="A110"/>
  <c r="E109"/>
  <c r="D109"/>
  <c r="C109"/>
  <c r="B109"/>
  <c r="A109"/>
  <c r="E108"/>
  <c r="D108"/>
  <c r="C108"/>
  <c r="B108"/>
  <c r="A108"/>
  <c r="E107"/>
  <c r="D107"/>
  <c r="C107"/>
  <c r="B107"/>
  <c r="A107"/>
  <c r="E106"/>
  <c r="D106"/>
  <c r="C106"/>
  <c r="B106"/>
  <c r="A106"/>
  <c r="E105"/>
  <c r="D105"/>
  <c r="C105"/>
  <c r="B105"/>
  <c r="A105"/>
  <c r="E104"/>
  <c r="D104"/>
  <c r="C104"/>
  <c r="B104"/>
  <c r="A104"/>
  <c r="E103"/>
  <c r="D103"/>
  <c r="C103"/>
  <c r="B103"/>
  <c r="A103"/>
  <c r="E102"/>
  <c r="D102"/>
  <c r="C102"/>
  <c r="B102"/>
  <c r="A102"/>
  <c r="E101"/>
  <c r="D101"/>
  <c r="C101"/>
  <c r="B101"/>
  <c r="A101"/>
  <c r="E100"/>
  <c r="D100"/>
  <c r="C100"/>
  <c r="B100"/>
  <c r="A100"/>
  <c r="E99"/>
  <c r="D99"/>
  <c r="C99"/>
  <c r="B99"/>
  <c r="A99"/>
  <c r="E98"/>
  <c r="D98"/>
  <c r="C98"/>
  <c r="B98"/>
  <c r="A98"/>
  <c r="E97"/>
  <c r="D97"/>
  <c r="C97"/>
  <c r="B97"/>
  <c r="A97"/>
  <c r="E96"/>
  <c r="D96"/>
  <c r="C96"/>
  <c r="B96"/>
  <c r="A96"/>
  <c r="E95"/>
  <c r="D95"/>
  <c r="C95"/>
  <c r="B95"/>
  <c r="A95"/>
  <c r="E94"/>
  <c r="D94"/>
  <c r="C94"/>
  <c r="B94"/>
  <c r="A94"/>
  <c r="E93"/>
  <c r="D93"/>
  <c r="C93"/>
  <c r="B93"/>
  <c r="A93"/>
  <c r="E92"/>
  <c r="D92"/>
  <c r="C92"/>
  <c r="B92"/>
  <c r="A92"/>
  <c r="E91"/>
  <c r="D91"/>
  <c r="C91"/>
  <c r="B91"/>
  <c r="A91"/>
  <c r="E90"/>
  <c r="D90"/>
  <c r="C90"/>
  <c r="B90"/>
  <c r="A90"/>
  <c r="E89"/>
  <c r="D89"/>
  <c r="C89"/>
  <c r="B89"/>
  <c r="A89"/>
  <c r="E88"/>
  <c r="D88"/>
  <c r="C88"/>
  <c r="B88"/>
  <c r="A88"/>
  <c r="E87"/>
  <c r="D87"/>
  <c r="C87"/>
  <c r="B87"/>
  <c r="A87"/>
  <c r="E86"/>
  <c r="D86"/>
  <c r="C86"/>
  <c r="B86"/>
  <c r="A86"/>
  <c r="E85"/>
  <c r="D85"/>
  <c r="C85"/>
  <c r="B85"/>
  <c r="A85"/>
  <c r="E84"/>
  <c r="D84"/>
  <c r="C84"/>
  <c r="B84"/>
  <c r="E83"/>
  <c r="D83"/>
  <c r="C83"/>
  <c r="B83"/>
  <c r="A83"/>
  <c r="E82"/>
  <c r="D82"/>
  <c r="C82"/>
  <c r="B82"/>
  <c r="A82"/>
  <c r="E81"/>
  <c r="D81"/>
  <c r="C81"/>
  <c r="B81"/>
  <c r="A81"/>
  <c r="E80"/>
  <c r="D80"/>
  <c r="C80"/>
  <c r="B80"/>
  <c r="A80"/>
  <c r="E79"/>
  <c r="D79"/>
  <c r="C79"/>
  <c r="B79"/>
  <c r="A79"/>
  <c r="E78"/>
  <c r="D78"/>
  <c r="C78"/>
  <c r="B78"/>
  <c r="A78"/>
  <c r="E77"/>
  <c r="D77"/>
  <c r="C77"/>
  <c r="B77"/>
  <c r="A77"/>
  <c r="E76"/>
  <c r="D76"/>
  <c r="C76"/>
  <c r="B76"/>
  <c r="A76"/>
  <c r="E75"/>
  <c r="D75"/>
  <c r="C75"/>
  <c r="B75"/>
  <c r="A75"/>
  <c r="E74"/>
  <c r="D74"/>
  <c r="C74"/>
  <c r="B74"/>
  <c r="A74"/>
  <c r="E73"/>
  <c r="D73"/>
  <c r="C73"/>
  <c r="B73"/>
  <c r="A73"/>
  <c r="E72"/>
  <c r="D72"/>
  <c r="C72"/>
  <c r="B72"/>
  <c r="A72"/>
  <c r="E71"/>
  <c r="D71"/>
  <c r="C71"/>
  <c r="B71"/>
  <c r="A71"/>
  <c r="E70"/>
  <c r="D70"/>
  <c r="C70"/>
  <c r="B70"/>
  <c r="A70"/>
  <c r="E69"/>
  <c r="D69"/>
  <c r="C69"/>
  <c r="B69"/>
  <c r="A69"/>
  <c r="E68"/>
  <c r="D68"/>
  <c r="C68"/>
  <c r="B68"/>
  <c r="A68"/>
  <c r="E67"/>
  <c r="D67"/>
  <c r="C67"/>
  <c r="B67"/>
  <c r="A67"/>
  <c r="E66"/>
  <c r="D66"/>
  <c r="C66"/>
  <c r="B66"/>
  <c r="A66"/>
  <c r="E65"/>
  <c r="D65"/>
  <c r="C65"/>
  <c r="B65"/>
  <c r="A65"/>
  <c r="E64"/>
  <c r="D64"/>
  <c r="C64"/>
  <c r="B64"/>
  <c r="A64"/>
  <c r="E63"/>
  <c r="D63"/>
  <c r="C63"/>
  <c r="B63"/>
  <c r="A63"/>
  <c r="E62"/>
  <c r="D62"/>
  <c r="C62"/>
  <c r="B62"/>
  <c r="A62"/>
  <c r="E61"/>
  <c r="D61"/>
  <c r="C61"/>
  <c r="B61"/>
  <c r="A61"/>
  <c r="E60"/>
  <c r="D60"/>
  <c r="C60"/>
  <c r="B60"/>
  <c r="A60"/>
  <c r="E59"/>
  <c r="D59"/>
  <c r="C59"/>
  <c r="B59"/>
  <c r="A59"/>
  <c r="E58"/>
  <c r="D58"/>
  <c r="C58"/>
  <c r="B58"/>
  <c r="A58"/>
  <c r="E57"/>
  <c r="D57"/>
  <c r="C57"/>
  <c r="B57"/>
  <c r="A57"/>
  <c r="E56"/>
  <c r="D56"/>
  <c r="C56"/>
  <c r="B56"/>
  <c r="A56"/>
  <c r="E55"/>
  <c r="D55"/>
  <c r="C55"/>
  <c r="B55"/>
  <c r="A55"/>
  <c r="E54"/>
  <c r="D54"/>
  <c r="C54"/>
  <c r="B54"/>
  <c r="A54"/>
  <c r="E53"/>
  <c r="D53"/>
  <c r="C53"/>
  <c r="B53"/>
  <c r="A53"/>
  <c r="E52"/>
  <c r="D52"/>
  <c r="C52"/>
  <c r="B52"/>
  <c r="A52"/>
  <c r="E51"/>
  <c r="D51"/>
  <c r="C51"/>
  <c r="B51"/>
  <c r="A51"/>
  <c r="E50"/>
  <c r="D50"/>
  <c r="C50"/>
  <c r="B50"/>
  <c r="A50"/>
  <c r="E49"/>
  <c r="D49"/>
  <c r="C49"/>
  <c r="B49"/>
  <c r="A49"/>
  <c r="E48"/>
  <c r="D48"/>
  <c r="C48"/>
  <c r="B48"/>
  <c r="A48"/>
  <c r="E47"/>
  <c r="D47"/>
  <c r="C47"/>
  <c r="B47"/>
  <c r="A47"/>
  <c r="E46"/>
  <c r="D46"/>
  <c r="C46"/>
  <c r="B46"/>
  <c r="A46"/>
  <c r="E45"/>
  <c r="D45"/>
  <c r="C45"/>
  <c r="B45"/>
  <c r="A45"/>
  <c r="E44"/>
  <c r="D44"/>
  <c r="C44"/>
  <c r="B44"/>
  <c r="A44"/>
  <c r="E43"/>
  <c r="D43"/>
  <c r="C43"/>
  <c r="B43"/>
  <c r="A43"/>
  <c r="E42"/>
  <c r="D42"/>
  <c r="C42"/>
  <c r="B42"/>
  <c r="A42"/>
  <c r="E41"/>
  <c r="D41"/>
  <c r="C41"/>
  <c r="B41"/>
  <c r="A41"/>
  <c r="E40"/>
  <c r="D40"/>
  <c r="C40"/>
  <c r="B40"/>
  <c r="A40"/>
  <c r="E39"/>
  <c r="D39"/>
  <c r="C39"/>
  <c r="B39"/>
  <c r="A39"/>
  <c r="E38"/>
  <c r="D38"/>
  <c r="C38"/>
  <c r="B38"/>
  <c r="A38"/>
  <c r="E37"/>
  <c r="D37"/>
  <c r="C37"/>
  <c r="B37"/>
  <c r="A37"/>
  <c r="E36"/>
  <c r="D36"/>
  <c r="C36"/>
  <c r="B36"/>
  <c r="A36"/>
  <c r="E35"/>
  <c r="D35"/>
  <c r="C35"/>
  <c r="B35"/>
  <c r="A35"/>
  <c r="E34"/>
  <c r="D34"/>
  <c r="C34"/>
  <c r="B34"/>
  <c r="A34"/>
  <c r="E33"/>
  <c r="D33"/>
  <c r="C33"/>
  <c r="B33"/>
  <c r="A33"/>
  <c r="E32"/>
  <c r="D32"/>
  <c r="C32"/>
  <c r="B32"/>
  <c r="A32"/>
  <c r="E31"/>
  <c r="D31"/>
  <c r="C31"/>
  <c r="B31"/>
  <c r="A31"/>
  <c r="E30"/>
  <c r="D30"/>
  <c r="C30"/>
  <c r="B30"/>
  <c r="A30"/>
  <c r="E29"/>
  <c r="D29"/>
  <c r="C29"/>
  <c r="B29"/>
  <c r="A29"/>
  <c r="E28"/>
  <c r="D28"/>
  <c r="C28"/>
  <c r="B28"/>
  <c r="A28"/>
  <c r="E27"/>
  <c r="D27"/>
  <c r="C27"/>
  <c r="B27"/>
  <c r="A27"/>
  <c r="E26"/>
  <c r="D26"/>
  <c r="C26"/>
  <c r="B26"/>
  <c r="A26"/>
  <c r="E25"/>
  <c r="D25"/>
  <c r="C25"/>
  <c r="B25"/>
  <c r="A25"/>
  <c r="E24"/>
  <c r="D24"/>
  <c r="C24"/>
  <c r="B24"/>
  <c r="A24"/>
  <c r="E23"/>
  <c r="D23"/>
  <c r="C23"/>
  <c r="B23"/>
  <c r="A23"/>
  <c r="E22"/>
  <c r="D22"/>
  <c r="C22"/>
  <c r="B22"/>
  <c r="A22"/>
  <c r="E21"/>
  <c r="D21"/>
  <c r="C21"/>
  <c r="B21"/>
  <c r="A21"/>
  <c r="E20"/>
  <c r="D20"/>
  <c r="C20"/>
  <c r="B20"/>
  <c r="A20"/>
  <c r="E19"/>
  <c r="D19"/>
  <c r="C19"/>
  <c r="B19"/>
  <c r="A19"/>
  <c r="E18"/>
  <c r="D18"/>
  <c r="C18"/>
  <c r="B18"/>
  <c r="A18"/>
  <c r="E17"/>
  <c r="D17"/>
  <c r="C17"/>
  <c r="B17"/>
  <c r="A17"/>
  <c r="E16"/>
  <c r="D16"/>
  <c r="C16"/>
  <c r="B16"/>
  <c r="A16"/>
  <c r="E15"/>
  <c r="D15"/>
  <c r="C15"/>
  <c r="B15"/>
  <c r="A15"/>
  <c r="E14"/>
  <c r="D14"/>
  <c r="C14"/>
  <c r="B14"/>
  <c r="A14"/>
  <c r="E13"/>
  <c r="D13"/>
  <c r="C13"/>
  <c r="B13"/>
  <c r="A13"/>
  <c r="E12"/>
  <c r="D12"/>
  <c r="C12"/>
  <c r="B12"/>
  <c r="A12"/>
  <c r="E11"/>
  <c r="D11"/>
  <c r="C11"/>
  <c r="B11"/>
  <c r="A11"/>
  <c r="E10"/>
  <c r="D10"/>
  <c r="C10"/>
  <c r="B10"/>
  <c r="A10"/>
  <c r="E9"/>
  <c r="D9"/>
  <c r="C9"/>
  <c r="B9"/>
  <c r="A9"/>
  <c r="E8"/>
  <c r="D8"/>
  <c r="C8"/>
  <c r="B8"/>
  <c r="A8"/>
  <c r="E7"/>
  <c r="D7"/>
  <c r="C7"/>
  <c r="B7"/>
  <c r="A7"/>
  <c r="E6"/>
  <c r="D6"/>
  <c r="C6"/>
  <c r="B6"/>
  <c r="A6"/>
  <c r="E5"/>
  <c r="D5"/>
  <c r="C5"/>
  <c r="B5"/>
  <c r="A5"/>
  <c r="E4"/>
  <c r="D4"/>
  <c r="C4"/>
  <c r="B4"/>
  <c r="A4"/>
  <c r="E3"/>
  <c r="D3"/>
  <c r="C3"/>
  <c r="B3"/>
  <c r="A3"/>
  <c r="E2"/>
  <c r="D2"/>
  <c r="C2"/>
  <c r="B2"/>
  <c r="A2"/>
  <c r="E1" i="1"/>
  <c r="E238" i="2"/>
  <c r="D238"/>
  <c r="C238"/>
  <c r="B238"/>
  <c r="A238"/>
  <c r="E237"/>
  <c r="D237"/>
  <c r="C237"/>
  <c r="B237"/>
  <c r="A237"/>
  <c r="E236"/>
  <c r="D236"/>
  <c r="C236"/>
  <c r="B236"/>
  <c r="A236"/>
  <c r="E235"/>
  <c r="D235"/>
  <c r="C235"/>
  <c r="B235"/>
  <c r="A235"/>
  <c r="E234"/>
  <c r="D234"/>
  <c r="C234"/>
  <c r="B234"/>
  <c r="A234"/>
  <c r="E232"/>
  <c r="D232"/>
  <c r="C232"/>
  <c r="B232"/>
  <c r="A232"/>
  <c r="E231"/>
  <c r="D231"/>
  <c r="C231"/>
  <c r="B231"/>
  <c r="A231"/>
  <c r="E230"/>
  <c r="D230"/>
  <c r="C230"/>
  <c r="B230"/>
  <c r="A230"/>
  <c r="E229"/>
  <c r="D229"/>
  <c r="C229"/>
  <c r="B229"/>
  <c r="A229"/>
  <c r="E228"/>
  <c r="D228"/>
  <c r="C228"/>
  <c r="B228"/>
  <c r="A228"/>
  <c r="E227"/>
  <c r="D227"/>
  <c r="C227"/>
  <c r="B227"/>
  <c r="A227"/>
  <c r="E226"/>
  <c r="D226"/>
  <c r="C226"/>
  <c r="B226"/>
  <c r="A226"/>
  <c r="E225"/>
  <c r="D225"/>
  <c r="C225"/>
  <c r="B225"/>
  <c r="A225"/>
  <c r="E224"/>
  <c r="D224"/>
  <c r="C224"/>
  <c r="B224"/>
  <c r="A224"/>
  <c r="E223"/>
  <c r="D223"/>
  <c r="C223"/>
  <c r="B223"/>
  <c r="A223"/>
  <c r="E222"/>
  <c r="D222"/>
  <c r="C222"/>
  <c r="B222"/>
  <c r="A222"/>
  <c r="E221"/>
  <c r="D221"/>
  <c r="C221"/>
  <c r="B221"/>
  <c r="A221"/>
  <c r="E220"/>
  <c r="D220"/>
  <c r="C220"/>
  <c r="B220"/>
  <c r="A220"/>
  <c r="E219"/>
  <c r="D219"/>
  <c r="C219"/>
  <c r="B219"/>
  <c r="A219"/>
  <c r="E218"/>
  <c r="D218"/>
  <c r="C218"/>
  <c r="B218"/>
  <c r="A218"/>
  <c r="E217"/>
  <c r="D217"/>
  <c r="C217"/>
  <c r="B217"/>
  <c r="A217"/>
  <c r="E216"/>
  <c r="D216"/>
  <c r="C216"/>
  <c r="B216"/>
  <c r="A216"/>
  <c r="E215"/>
  <c r="D215"/>
  <c r="C215"/>
  <c r="A215"/>
  <c r="E214"/>
  <c r="D214"/>
  <c r="C214"/>
  <c r="B214"/>
  <c r="A214"/>
  <c r="E213"/>
  <c r="D213"/>
  <c r="C213"/>
  <c r="B213"/>
  <c r="A213"/>
  <c r="E212"/>
  <c r="D212"/>
  <c r="C212"/>
  <c r="B212"/>
  <c r="A212"/>
  <c r="E211"/>
  <c r="D211"/>
  <c r="C211"/>
  <c r="B211"/>
  <c r="A211"/>
  <c r="E210"/>
  <c r="D210"/>
  <c r="C210"/>
  <c r="B210"/>
  <c r="A210"/>
  <c r="E209"/>
  <c r="D209"/>
  <c r="C209"/>
  <c r="B209"/>
  <c r="A209"/>
  <c r="E208"/>
  <c r="D208"/>
  <c r="C208"/>
  <c r="B208"/>
  <c r="A208"/>
  <c r="E206"/>
  <c r="D206"/>
  <c r="C206"/>
  <c r="B206"/>
  <c r="A206"/>
  <c r="E205"/>
  <c r="D205"/>
  <c r="C205"/>
  <c r="B205"/>
  <c r="A205"/>
  <c r="E204"/>
  <c r="D204"/>
  <c r="C204"/>
  <c r="B204"/>
  <c r="A204"/>
  <c r="E203"/>
  <c r="D203"/>
  <c r="C203"/>
  <c r="B203"/>
  <c r="A203"/>
  <c r="E202"/>
  <c r="D202"/>
  <c r="C202"/>
  <c r="B202"/>
  <c r="A202"/>
  <c r="E201"/>
  <c r="D201"/>
  <c r="C201"/>
  <c r="B201"/>
  <c r="A201"/>
  <c r="E200"/>
  <c r="D200"/>
  <c r="C200"/>
  <c r="B200"/>
  <c r="A200"/>
  <c r="E199"/>
  <c r="D199"/>
  <c r="C199"/>
  <c r="B199"/>
  <c r="A199"/>
  <c r="E198"/>
  <c r="D198"/>
  <c r="C198"/>
  <c r="B198"/>
  <c r="A198"/>
  <c r="E197"/>
  <c r="D197"/>
  <c r="C197"/>
  <c r="B197"/>
  <c r="A197"/>
  <c r="E196"/>
  <c r="D196"/>
  <c r="C196"/>
  <c r="B196"/>
  <c r="A196"/>
  <c r="E195"/>
  <c r="D195"/>
  <c r="C195"/>
  <c r="B195"/>
  <c r="A195"/>
  <c r="E194"/>
  <c r="D194"/>
  <c r="C194"/>
  <c r="B194"/>
  <c r="A194"/>
  <c r="E193"/>
  <c r="D193"/>
  <c r="C193"/>
  <c r="B193"/>
  <c r="A193"/>
  <c r="E192"/>
  <c r="D192"/>
  <c r="C192"/>
  <c r="B192"/>
  <c r="A192"/>
  <c r="E191"/>
  <c r="D191"/>
  <c r="C191"/>
  <c r="B191"/>
  <c r="A191"/>
  <c r="E190"/>
  <c r="D190"/>
  <c r="C190"/>
  <c r="B190"/>
  <c r="A190"/>
  <c r="E189"/>
  <c r="D189"/>
  <c r="C189"/>
  <c r="B189"/>
  <c r="A189"/>
  <c r="E188"/>
  <c r="D188"/>
  <c r="C188"/>
  <c r="B188"/>
  <c r="A188"/>
  <c r="E187"/>
  <c r="D187"/>
  <c r="C187"/>
  <c r="B187"/>
  <c r="A187"/>
  <c r="E186"/>
  <c r="D186"/>
  <c r="C186"/>
  <c r="B186"/>
  <c r="A186"/>
  <c r="E185"/>
  <c r="D185"/>
  <c r="C185"/>
  <c r="B185"/>
  <c r="A185"/>
  <c r="E184"/>
  <c r="D184"/>
  <c r="C184"/>
  <c r="B184"/>
  <c r="A184"/>
  <c r="E183"/>
  <c r="D183"/>
  <c r="C183"/>
  <c r="B183"/>
  <c r="A183"/>
  <c r="E182"/>
  <c r="D182"/>
  <c r="C182"/>
  <c r="B182"/>
  <c r="A182"/>
  <c r="E181"/>
  <c r="D181"/>
  <c r="C181"/>
  <c r="B181"/>
  <c r="A181"/>
  <c r="E180"/>
  <c r="D180"/>
  <c r="C180"/>
  <c r="B180"/>
  <c r="A180"/>
  <c r="E179"/>
  <c r="D179"/>
  <c r="C179"/>
  <c r="B179"/>
  <c r="A179"/>
  <c r="E178"/>
  <c r="D178"/>
  <c r="C178"/>
  <c r="A178"/>
  <c r="E177"/>
  <c r="D177"/>
  <c r="C177"/>
  <c r="B177"/>
  <c r="A177"/>
  <c r="E176"/>
  <c r="D176"/>
  <c r="C176"/>
  <c r="B176"/>
  <c r="A176"/>
  <c r="E175"/>
  <c r="D175"/>
  <c r="C175"/>
  <c r="B175"/>
  <c r="A175"/>
  <c r="E174"/>
  <c r="D174"/>
  <c r="C174"/>
  <c r="B174"/>
  <c r="A174"/>
  <c r="E173"/>
  <c r="D173"/>
  <c r="C173"/>
  <c r="B173"/>
  <c r="A173"/>
  <c r="E172"/>
  <c r="D172"/>
  <c r="C172"/>
  <c r="B172"/>
  <c r="A172"/>
  <c r="E171"/>
  <c r="D171"/>
  <c r="C171"/>
  <c r="B171"/>
  <c r="A171"/>
  <c r="E170"/>
  <c r="D170"/>
  <c r="C170"/>
  <c r="B170"/>
  <c r="A170"/>
  <c r="E169"/>
  <c r="D169"/>
  <c r="C169"/>
  <c r="B169"/>
  <c r="A169"/>
  <c r="E168"/>
  <c r="D168"/>
  <c r="C168"/>
  <c r="B168"/>
  <c r="A168"/>
  <c r="E166"/>
  <c r="D166"/>
  <c r="C166"/>
  <c r="B166"/>
  <c r="A166"/>
  <c r="E165"/>
  <c r="D165"/>
  <c r="C165"/>
  <c r="B165"/>
  <c r="A165"/>
  <c r="E163"/>
  <c r="D163"/>
  <c r="C163"/>
  <c r="B163"/>
  <c r="A163"/>
  <c r="E162"/>
  <c r="D162"/>
  <c r="C162"/>
  <c r="B162"/>
  <c r="A162"/>
  <c r="E161"/>
  <c r="D161"/>
  <c r="C161"/>
  <c r="B161"/>
  <c r="A161"/>
  <c r="E160"/>
  <c r="D160"/>
  <c r="C160"/>
  <c r="B160"/>
  <c r="A160"/>
  <c r="E159"/>
  <c r="D159"/>
  <c r="C159"/>
  <c r="B159"/>
  <c r="A159"/>
  <c r="E158"/>
  <c r="D158"/>
  <c r="C158"/>
  <c r="B158"/>
  <c r="A158"/>
  <c r="E157"/>
  <c r="D157"/>
  <c r="C157"/>
  <c r="B157"/>
  <c r="A157"/>
  <c r="E156"/>
  <c r="D156"/>
  <c r="C156"/>
  <c r="B156"/>
  <c r="A156"/>
  <c r="E154"/>
  <c r="D154"/>
  <c r="C154"/>
  <c r="B154"/>
  <c r="A154"/>
  <c r="E153"/>
  <c r="D153"/>
  <c r="C153"/>
  <c r="B153"/>
  <c r="A153"/>
  <c r="E152"/>
  <c r="D152"/>
  <c r="C152"/>
  <c r="B152"/>
  <c r="A152"/>
  <c r="E151"/>
  <c r="D151"/>
  <c r="C151"/>
  <c r="B151"/>
  <c r="A151"/>
  <c r="E150"/>
  <c r="D150"/>
  <c r="C150"/>
  <c r="B150"/>
  <c r="A150"/>
  <c r="E149"/>
  <c r="D149"/>
  <c r="C149"/>
  <c r="B149"/>
  <c r="A149"/>
  <c r="E148"/>
  <c r="D148"/>
  <c r="C148"/>
  <c r="B148"/>
  <c r="A148"/>
  <c r="E146"/>
  <c r="D146"/>
  <c r="C146"/>
  <c r="B146"/>
  <c r="A146"/>
  <c r="E145"/>
  <c r="D145"/>
  <c r="C145"/>
  <c r="B145"/>
  <c r="A145"/>
  <c r="E143"/>
  <c r="D143"/>
  <c r="C143"/>
  <c r="B143"/>
  <c r="A143"/>
  <c r="E142"/>
  <c r="D142"/>
  <c r="C142"/>
  <c r="B142"/>
  <c r="A142"/>
  <c r="E141"/>
  <c r="D141"/>
  <c r="C141"/>
  <c r="B141"/>
  <c r="A141"/>
  <c r="E140"/>
  <c r="D140"/>
  <c r="C140"/>
  <c r="B140"/>
  <c r="A140"/>
  <c r="E139"/>
  <c r="D139"/>
  <c r="C139"/>
  <c r="B139"/>
  <c r="A139"/>
  <c r="E138"/>
  <c r="D138"/>
  <c r="C138"/>
  <c r="B138"/>
  <c r="A138"/>
  <c r="E137"/>
  <c r="D137"/>
  <c r="C137"/>
  <c r="B137"/>
  <c r="A137"/>
  <c r="E136"/>
  <c r="D136"/>
  <c r="C136"/>
  <c r="B136"/>
  <c r="A136"/>
  <c r="E135"/>
  <c r="D135"/>
  <c r="C135"/>
  <c r="B135"/>
  <c r="A135"/>
  <c r="E134"/>
  <c r="D134"/>
  <c r="C134"/>
  <c r="B134"/>
  <c r="A134"/>
  <c r="E133"/>
  <c r="D133"/>
  <c r="C133"/>
  <c r="B133"/>
  <c r="A133"/>
  <c r="E132"/>
  <c r="D132"/>
  <c r="C132"/>
  <c r="B132"/>
  <c r="A132"/>
  <c r="E131"/>
  <c r="D131"/>
  <c r="C131"/>
  <c r="B131"/>
  <c r="A131"/>
  <c r="E130"/>
  <c r="D130"/>
  <c r="C130"/>
  <c r="B130"/>
  <c r="A130"/>
  <c r="E129"/>
  <c r="D129"/>
  <c r="C129"/>
  <c r="B129"/>
  <c r="A129"/>
  <c r="E128"/>
  <c r="D128"/>
  <c r="C128"/>
  <c r="B128"/>
  <c r="A128"/>
  <c r="E127"/>
  <c r="D127"/>
  <c r="C127"/>
  <c r="B127"/>
  <c r="A127"/>
  <c r="E126"/>
  <c r="D126"/>
  <c r="C126"/>
  <c r="B126"/>
  <c r="A126"/>
  <c r="E125"/>
  <c r="D125"/>
  <c r="C125"/>
  <c r="B125"/>
  <c r="A125"/>
  <c r="E124"/>
  <c r="D124"/>
  <c r="C124"/>
  <c r="B124"/>
  <c r="A124"/>
  <c r="E123"/>
  <c r="D123"/>
  <c r="C123"/>
  <c r="B123"/>
  <c r="A123"/>
  <c r="E122"/>
  <c r="D122"/>
  <c r="C122"/>
  <c r="B122"/>
  <c r="A122"/>
  <c r="E121"/>
  <c r="D121"/>
  <c r="C121"/>
  <c r="B121"/>
  <c r="A121"/>
  <c r="E120"/>
  <c r="D120"/>
  <c r="C120"/>
  <c r="B120"/>
  <c r="A120"/>
  <c r="E119"/>
  <c r="D119"/>
  <c r="C119"/>
  <c r="B119"/>
  <c r="A119"/>
  <c r="E118"/>
  <c r="D118"/>
  <c r="C118"/>
  <c r="B118"/>
  <c r="A118"/>
  <c r="E117"/>
  <c r="D117"/>
  <c r="C117"/>
  <c r="B117"/>
  <c r="A117"/>
  <c r="E116"/>
  <c r="D116"/>
  <c r="C116"/>
  <c r="B116"/>
  <c r="A116"/>
  <c r="E115"/>
  <c r="D115"/>
  <c r="C115"/>
  <c r="B115"/>
  <c r="A115"/>
  <c r="E114"/>
  <c r="D114"/>
  <c r="C114"/>
  <c r="B114"/>
  <c r="A114"/>
  <c r="E113"/>
  <c r="D113"/>
  <c r="C113"/>
  <c r="B113"/>
  <c r="A113"/>
  <c r="E112"/>
  <c r="D112"/>
  <c r="C112"/>
  <c r="B112"/>
  <c r="A112"/>
  <c r="E111"/>
  <c r="D111"/>
  <c r="C111"/>
  <c r="B111"/>
  <c r="A111"/>
  <c r="E110"/>
  <c r="D110"/>
  <c r="C110"/>
  <c r="B110"/>
  <c r="A110"/>
  <c r="E109"/>
  <c r="D109"/>
  <c r="C109"/>
  <c r="B109"/>
  <c r="A109"/>
  <c r="E107"/>
  <c r="D107"/>
  <c r="C107"/>
  <c r="B107"/>
  <c r="A107"/>
  <c r="E106"/>
  <c r="D106"/>
  <c r="C106"/>
  <c r="B106"/>
  <c r="A106"/>
  <c r="E105"/>
  <c r="D105"/>
  <c r="C105"/>
  <c r="B105"/>
  <c r="A105"/>
  <c r="E104"/>
  <c r="D104"/>
  <c r="C104"/>
  <c r="B104"/>
  <c r="A104"/>
  <c r="E103"/>
  <c r="D103"/>
  <c r="C103"/>
  <c r="B103"/>
  <c r="A103"/>
  <c r="E102"/>
  <c r="D102"/>
  <c r="C102"/>
  <c r="B102"/>
  <c r="A102"/>
  <c r="E101"/>
  <c r="D101"/>
  <c r="C101"/>
  <c r="B101"/>
  <c r="A101"/>
  <c r="E100"/>
  <c r="D100"/>
  <c r="C100"/>
  <c r="B100"/>
  <c r="A100"/>
  <c r="E99"/>
  <c r="D99"/>
  <c r="C99"/>
  <c r="B99"/>
  <c r="A99"/>
  <c r="E98"/>
  <c r="D98"/>
  <c r="C98"/>
  <c r="B98"/>
  <c r="A98"/>
  <c r="E97"/>
  <c r="D97"/>
  <c r="C97"/>
  <c r="B97"/>
  <c r="A97"/>
  <c r="E96"/>
  <c r="D96"/>
  <c r="C96"/>
  <c r="B96"/>
  <c r="A96"/>
  <c r="E95"/>
  <c r="D95"/>
  <c r="C95"/>
  <c r="B95"/>
  <c r="A95"/>
  <c r="E93"/>
  <c r="D93"/>
  <c r="C93"/>
  <c r="B93"/>
  <c r="A93"/>
  <c r="E92"/>
  <c r="D92"/>
  <c r="C92"/>
  <c r="B92"/>
  <c r="A92"/>
  <c r="E91"/>
  <c r="D91"/>
  <c r="C91"/>
  <c r="B91"/>
  <c r="A91"/>
  <c r="E90"/>
  <c r="D90"/>
  <c r="C90"/>
  <c r="B90"/>
  <c r="A90"/>
  <c r="E89"/>
  <c r="D89"/>
  <c r="C89"/>
  <c r="B89"/>
  <c r="A89"/>
  <c r="E88"/>
  <c r="D88"/>
  <c r="C88"/>
  <c r="B88"/>
  <c r="A88"/>
  <c r="E87"/>
  <c r="D87"/>
  <c r="C87"/>
  <c r="B87"/>
  <c r="A87"/>
  <c r="E86"/>
  <c r="D86"/>
  <c r="C86"/>
  <c r="B86"/>
  <c r="A86"/>
  <c r="E85"/>
  <c r="D85"/>
  <c r="C85"/>
  <c r="B85"/>
  <c r="A85"/>
  <c r="E84"/>
  <c r="D84"/>
  <c r="C84"/>
  <c r="B84"/>
  <c r="A84"/>
  <c r="E83"/>
  <c r="D83"/>
  <c r="C83"/>
  <c r="B83"/>
  <c r="A83"/>
  <c r="E82"/>
  <c r="D82"/>
  <c r="C82"/>
  <c r="B82"/>
  <c r="A82"/>
  <c r="E81"/>
  <c r="D81"/>
  <c r="C81"/>
  <c r="B81"/>
  <c r="A81"/>
  <c r="E80"/>
  <c r="D80"/>
  <c r="C80"/>
  <c r="B80"/>
  <c r="A80"/>
  <c r="E73"/>
  <c r="D73"/>
  <c r="C73"/>
  <c r="B73"/>
  <c r="A73"/>
  <c r="E72"/>
  <c r="D72"/>
  <c r="C72"/>
  <c r="B72"/>
  <c r="A72"/>
  <c r="E71"/>
  <c r="D71"/>
  <c r="C71"/>
  <c r="B71"/>
  <c r="A71"/>
  <c r="E70"/>
  <c r="D70"/>
  <c r="C70"/>
  <c r="B70"/>
  <c r="A70"/>
  <c r="E69"/>
  <c r="D69"/>
  <c r="C69"/>
  <c r="B69"/>
  <c r="A69"/>
  <c r="E68"/>
  <c r="D68"/>
  <c r="C68"/>
  <c r="B68"/>
  <c r="A68"/>
  <c r="E67"/>
  <c r="D67"/>
  <c r="C67"/>
  <c r="B67"/>
  <c r="A67"/>
  <c r="E66"/>
  <c r="D66"/>
  <c r="C66"/>
  <c r="B66"/>
  <c r="A66"/>
  <c r="E65"/>
  <c r="D65"/>
  <c r="C65"/>
  <c r="B65"/>
  <c r="A65"/>
  <c r="E64"/>
  <c r="D64"/>
  <c r="C64"/>
  <c r="B64"/>
  <c r="A64"/>
  <c r="E61"/>
  <c r="D61"/>
  <c r="C61"/>
  <c r="B61"/>
  <c r="A61"/>
  <c r="E60"/>
  <c r="D60"/>
  <c r="C60"/>
  <c r="B60"/>
  <c r="A60"/>
  <c r="E59"/>
  <c r="D59"/>
  <c r="C59"/>
  <c r="B59"/>
  <c r="A59"/>
  <c r="E58"/>
  <c r="D58"/>
  <c r="C58"/>
  <c r="B58"/>
  <c r="A58"/>
  <c r="E57"/>
  <c r="D57"/>
  <c r="C57"/>
  <c r="B57"/>
  <c r="A57"/>
  <c r="E56"/>
  <c r="D56"/>
  <c r="C56"/>
  <c r="B56"/>
  <c r="A56"/>
  <c r="E55"/>
  <c r="D55"/>
  <c r="C55"/>
  <c r="B55"/>
  <c r="A55"/>
  <c r="E54"/>
  <c r="D54"/>
  <c r="C54"/>
  <c r="B54"/>
  <c r="A54"/>
  <c r="E53"/>
  <c r="D53"/>
  <c r="C53"/>
  <c r="B53"/>
  <c r="A53"/>
  <c r="E52"/>
  <c r="D52"/>
  <c r="C52"/>
  <c r="B52"/>
  <c r="A52"/>
  <c r="E51"/>
  <c r="D51"/>
  <c r="C51"/>
  <c r="B51"/>
  <c r="A51"/>
  <c r="E50"/>
  <c r="D50"/>
  <c r="C50"/>
  <c r="B50"/>
  <c r="A50"/>
  <c r="E49"/>
  <c r="D49"/>
  <c r="C49"/>
  <c r="B49"/>
  <c r="A49"/>
  <c r="E48"/>
  <c r="D48"/>
  <c r="C48"/>
  <c r="B48"/>
  <c r="A48"/>
  <c r="E47"/>
  <c r="D47"/>
  <c r="C47"/>
  <c r="B47"/>
  <c r="A47"/>
  <c r="E46"/>
  <c r="D46"/>
  <c r="C46"/>
  <c r="B46"/>
  <c r="A46"/>
  <c r="E45"/>
  <c r="D45"/>
  <c r="C45"/>
  <c r="B45"/>
  <c r="A45"/>
  <c r="E44"/>
  <c r="D44"/>
  <c r="C44"/>
  <c r="B44"/>
  <c r="A44"/>
  <c r="E43"/>
  <c r="D43"/>
  <c r="C43"/>
  <c r="B43"/>
  <c r="A43"/>
  <c r="E42"/>
  <c r="D42"/>
  <c r="C42"/>
  <c r="B42"/>
  <c r="A42"/>
  <c r="E41"/>
  <c r="D41"/>
  <c r="C41"/>
  <c r="B41"/>
  <c r="A41"/>
  <c r="E40"/>
  <c r="D40"/>
  <c r="C40"/>
  <c r="B40"/>
  <c r="A40"/>
  <c r="E39"/>
  <c r="D39"/>
  <c r="C39"/>
  <c r="B39"/>
  <c r="A39"/>
  <c r="E38"/>
  <c r="D38"/>
  <c r="C38"/>
  <c r="B38"/>
  <c r="A38"/>
  <c r="E37"/>
  <c r="D37"/>
  <c r="C37"/>
  <c r="B37"/>
  <c r="A37"/>
  <c r="E36"/>
  <c r="D36"/>
  <c r="C36"/>
  <c r="B36"/>
  <c r="A36"/>
  <c r="E35"/>
  <c r="D35"/>
  <c r="C35"/>
  <c r="B35"/>
  <c r="A35"/>
  <c r="E34"/>
  <c r="D34"/>
  <c r="C34"/>
  <c r="B34"/>
  <c r="A34"/>
  <c r="E33"/>
  <c r="D33"/>
  <c r="C33"/>
  <c r="B33"/>
  <c r="A33"/>
  <c r="E32"/>
  <c r="D32"/>
  <c r="C32"/>
  <c r="B32"/>
  <c r="A32"/>
  <c r="E30"/>
  <c r="D30"/>
  <c r="C30"/>
  <c r="B30"/>
  <c r="A30"/>
  <c r="E29"/>
  <c r="D29"/>
  <c r="C29"/>
  <c r="B29"/>
  <c r="A29"/>
  <c r="E28"/>
  <c r="D28"/>
  <c r="C28"/>
  <c r="B28"/>
  <c r="A28"/>
  <c r="E27"/>
  <c r="D27"/>
  <c r="C27"/>
  <c r="B27"/>
  <c r="A27"/>
  <c r="E26"/>
  <c r="D26"/>
  <c r="C26"/>
  <c r="B26"/>
  <c r="A26"/>
  <c r="E25"/>
  <c r="D25"/>
  <c r="C25"/>
  <c r="B25"/>
  <c r="A25"/>
  <c r="E24"/>
  <c r="D24"/>
  <c r="C24"/>
  <c r="B24"/>
  <c r="A24"/>
  <c r="E23"/>
  <c r="D23"/>
  <c r="C23"/>
  <c r="B23"/>
  <c r="A23"/>
  <c r="E22"/>
  <c r="D22"/>
  <c r="C22"/>
  <c r="B22"/>
  <c r="A22"/>
  <c r="E21"/>
  <c r="D21"/>
  <c r="C21"/>
  <c r="B21"/>
  <c r="A21"/>
  <c r="E20"/>
  <c r="D20"/>
  <c r="C20"/>
  <c r="B20"/>
  <c r="A20"/>
  <c r="E19"/>
  <c r="D19"/>
  <c r="C19"/>
  <c r="B19"/>
  <c r="A19"/>
  <c r="E18"/>
  <c r="D18"/>
  <c r="C18"/>
  <c r="B18"/>
  <c r="A18"/>
  <c r="E17"/>
  <c r="D17"/>
  <c r="C17"/>
  <c r="B17"/>
  <c r="A17"/>
  <c r="E16"/>
  <c r="D16"/>
  <c r="C16"/>
  <c r="B16"/>
  <c r="A16"/>
  <c r="E15"/>
  <c r="D15"/>
  <c r="C15"/>
  <c r="B15"/>
  <c r="A15"/>
  <c r="E14"/>
  <c r="D14"/>
  <c r="C14"/>
  <c r="B14"/>
  <c r="A14"/>
  <c r="E13"/>
  <c r="D13"/>
  <c r="C13"/>
  <c r="B13"/>
  <c r="A13"/>
  <c r="E12"/>
  <c r="D12"/>
  <c r="C12"/>
  <c r="B12"/>
  <c r="A12"/>
  <c r="E11"/>
  <c r="D11"/>
  <c r="C11"/>
  <c r="B11"/>
  <c r="A11"/>
  <c r="E10"/>
  <c r="D10"/>
  <c r="C10"/>
  <c r="B10"/>
  <c r="A10"/>
  <c r="E8"/>
  <c r="D8"/>
  <c r="C8"/>
  <c r="B8"/>
  <c r="A8"/>
  <c r="E7"/>
  <c r="D7"/>
  <c r="C7"/>
  <c r="B7"/>
  <c r="A7"/>
  <c r="E6"/>
  <c r="D6"/>
  <c r="C6"/>
  <c r="B6"/>
  <c r="A6"/>
  <c r="E5"/>
  <c r="D5"/>
  <c r="C5"/>
  <c r="B5"/>
  <c r="A5"/>
  <c r="E4"/>
  <c r="D4"/>
  <c r="C4"/>
  <c r="B4"/>
  <c r="A4"/>
  <c r="E3"/>
  <c r="D3"/>
  <c r="C3"/>
  <c r="B3"/>
  <c r="A3"/>
  <c r="E2"/>
  <c r="D2"/>
  <c r="C2"/>
  <c r="B2"/>
  <c r="A2"/>
  <c r="D17" i="1"/>
  <c r="A17"/>
  <c r="E17"/>
  <c r="C17"/>
  <c r="B17"/>
  <c r="D7"/>
  <c r="A7"/>
  <c r="E7"/>
  <c r="C7"/>
  <c r="B7"/>
  <c r="D15"/>
  <c r="A15"/>
  <c r="E15"/>
  <c r="C15"/>
  <c r="B15"/>
  <c r="D2"/>
  <c r="A2"/>
  <c r="E2"/>
  <c r="C2"/>
  <c r="B2"/>
  <c r="D12"/>
  <c r="A12"/>
  <c r="E12"/>
  <c r="C12"/>
  <c r="B12"/>
  <c r="D13"/>
  <c r="A13"/>
  <c r="E13"/>
  <c r="C13"/>
  <c r="B13"/>
  <c r="D16"/>
  <c r="A16"/>
  <c r="E16"/>
  <c r="C16"/>
  <c r="B16"/>
  <c r="D3"/>
  <c r="A3"/>
  <c r="E3"/>
  <c r="C3"/>
  <c r="B3"/>
  <c r="D4"/>
  <c r="A4"/>
  <c r="E4"/>
  <c r="C4"/>
  <c r="B4"/>
  <c r="D5"/>
  <c r="A5"/>
  <c r="E5"/>
  <c r="C5"/>
  <c r="B5"/>
  <c r="D9"/>
  <c r="A9"/>
  <c r="E9"/>
  <c r="C9"/>
  <c r="B9"/>
  <c r="D11"/>
  <c r="A11"/>
  <c r="E11"/>
  <c r="C11"/>
  <c r="B11"/>
  <c r="D6"/>
  <c r="A6"/>
  <c r="E6"/>
  <c r="C6"/>
  <c r="B6"/>
  <c r="D10"/>
  <c r="A10"/>
  <c r="E10"/>
  <c r="C10"/>
  <c r="B10"/>
  <c r="D14"/>
  <c r="A14"/>
  <c r="E14"/>
  <c r="C14"/>
  <c r="B14"/>
  <c r="D8"/>
  <c r="A8"/>
  <c r="E8"/>
  <c r="C8"/>
  <c r="B8"/>
  <c r="D1"/>
  <c r="A1"/>
  <c r="C1"/>
  <c r="B1"/>
</calcChain>
</file>

<file path=xl/sharedStrings.xml><?xml version="1.0" encoding="utf-8"?>
<sst xmlns="http://schemas.openxmlformats.org/spreadsheetml/2006/main" count="2" uniqueCount="2">
  <si>
    <t>="互联网创意产品运营模式：“互联网+文化创意”的微观机制：the micro-mechanism of "internet + cultural creativity""</t>
  </si>
  <si>
    <t>="“基”不可失：教你实现“1个亿”的小目标：how to achieve the goal of "one hundred million""</t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</si>
</sst>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0" fillId="0" borderId="0" xfId="0" applyFill="1">
      <alignment vertical="center"/>
    </xf>
    <xf numFmtId="0" fontId="5" fillId="2" borderId="1" xfId="0" applyFont="1" applyFill="1" applyBorder="1">
      <alignment vertical="center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E17"/>
  <sheetViews>
    <sheetView tabSelected="1" workbookViewId="0">
      <selection activeCell="D4" sqref="D4"/>
    </sheetView>
  </sheetViews>
  <sheetFormatPr defaultRowHeight="13.5"/>
  <cols>
    <col min="1" max="1" width="19.5" style="1" customWidth="1"/>
    <col min="2" max="2" width="55.375" style="2" customWidth="1"/>
    <col min="3" max="3" width="20" style="3" customWidth="1"/>
    <col min="4" max="4" width="24.5" style="3" customWidth="1"/>
    <col min="5" max="5" width="18.375" style="3" customWidth="1"/>
  </cols>
  <sheetData>
    <row r="1" spans="1:5" s="9" customFormat="1" ht="29.25" customHeight="1">
      <c r="A1" s="4" t="str">
        <f>"ISBN"</f>
        <v>ISBN</v>
      </c>
      <c r="B1" s="5" t="str">
        <f>"题名"</f>
        <v>题名</v>
      </c>
      <c r="C1" s="4" t="str">
        <f>"责任者"</f>
        <v>责任者</v>
      </c>
      <c r="D1" s="4" t="str">
        <f>"出版社"</f>
        <v>出版社</v>
      </c>
      <c r="E1" s="4" t="str">
        <f>"索书号"</f>
        <v>索书号</v>
      </c>
    </row>
    <row r="2" spans="1:5" ht="21.95" customHeight="1">
      <c r="A2" s="6" t="str">
        <f>"978-7-5426-5692-6"</f>
        <v>978-7-5426-5692-6</v>
      </c>
      <c r="B2" s="7" t="str">
        <f>"战国子家叙论 史学方法导论 史记研究"</f>
        <v>战国子家叙论 史学方法导论 史记研究</v>
      </c>
      <c r="C2" s="8" t="str">
        <f>"傅斯年著"</f>
        <v>傅斯年著</v>
      </c>
      <c r="D2" s="8" t="str">
        <f>"上海三联书店"</f>
        <v>上海三联书店</v>
      </c>
      <c r="E2" s="8" t="str">
        <f>"B220.5/45"</f>
        <v>B220.5/45</v>
      </c>
    </row>
    <row r="3" spans="1:5" ht="21.95" customHeight="1">
      <c r="A3" s="6" t="str">
        <f>"978-7-5404-8348-7"</f>
        <v>978-7-5404-8348-7</v>
      </c>
      <c r="B3" s="7" t="str">
        <f>"心灵七游戏"</f>
        <v>心灵七游戏</v>
      </c>
      <c r="C3" s="8" t="str">
        <f>"毕淑敏作品"</f>
        <v>毕淑敏作品</v>
      </c>
      <c r="D3" s="8" t="str">
        <f>"湖南文艺出版社"</f>
        <v>湖南文艺出版社</v>
      </c>
      <c r="E3" s="8" t="str">
        <f>"B841.7/77"</f>
        <v>B841.7/77</v>
      </c>
    </row>
    <row r="4" spans="1:5" ht="21.95" customHeight="1">
      <c r="A4" s="6" t="str">
        <f>"978-7-5459-1376-7"</f>
        <v>978-7-5459-1376-7</v>
      </c>
      <c r="B4" s="7" t="str">
        <f>"男人这种人：在绝望中寻找希望的男性学"</f>
        <v>男人这种人：在绝望中寻找希望的男性学</v>
      </c>
      <c r="C4" s="8" t="str">
        <f>"(日) 田中俊之著"</f>
        <v>(日) 田中俊之著</v>
      </c>
      <c r="D4" s="8" t="str">
        <f>"鹭江出版社"</f>
        <v>鹭江出版社</v>
      </c>
      <c r="E4" s="8" t="str">
        <f>"B848.4/3150"</f>
        <v>B848.4/3150</v>
      </c>
    </row>
    <row r="5" spans="1:5" ht="21.95" customHeight="1">
      <c r="A5" s="6" t="str">
        <f>"978-7-5596-0878-9"</f>
        <v>978-7-5596-0878-9</v>
      </c>
      <c r="B5" s="7" t="str">
        <f>"你只是看起来很努力"</f>
        <v>你只是看起来很努力</v>
      </c>
      <c r="C5" s="8" t="str">
        <f>"李尚龙著"</f>
        <v>李尚龙著</v>
      </c>
      <c r="D5" s="8" t="str">
        <f>"北京联合出版公司"</f>
        <v>北京联合出版公司</v>
      </c>
      <c r="E5" s="8" t="str">
        <f>"B848.4-49/437=D"</f>
        <v>B848.4-49/437=D</v>
      </c>
    </row>
    <row r="6" spans="1:5" ht="21.95" customHeight="1">
      <c r="A6" s="6" t="str">
        <f>"978-7-301-28516-9"</f>
        <v>978-7-301-28516-9</v>
      </c>
      <c r="B6" s="7" t="str">
        <f>"诸神纪"</f>
        <v>诸神纪</v>
      </c>
      <c r="C6" s="8" t="str">
        <f>"严优著"</f>
        <v>严优著</v>
      </c>
      <c r="D6" s="8" t="str">
        <f>"北京大学出版社"</f>
        <v>北京大学出版社</v>
      </c>
      <c r="E6" s="8" t="str">
        <f>"B932.2/17"</f>
        <v>B932.2/17</v>
      </c>
    </row>
    <row r="7" spans="1:5" ht="21.95" customHeight="1">
      <c r="A7" s="6" t="str">
        <f>"978-7-03-054389-9"</f>
        <v>978-7-03-054389-9</v>
      </c>
      <c r="B7" s="7" t="str">
        <f>"管理学汉英词义比较"</f>
        <v>管理学汉英词义比较</v>
      </c>
      <c r="C7" s="8" t="str">
        <f>"吴崇， 魏红武著"</f>
        <v>吴崇， 魏红武著</v>
      </c>
      <c r="D7" s="8" t="str">
        <f>"科学出版社"</f>
        <v>科学出版社</v>
      </c>
      <c r="E7" s="8" t="str">
        <f>"C93-05/61"</f>
        <v>C93-05/61</v>
      </c>
    </row>
    <row r="8" spans="1:5" ht="21.95" customHeight="1">
      <c r="A8" s="6" t="str">
        <f>"978-7-5404-8514-6"</f>
        <v>978-7-5404-8514-6</v>
      </c>
      <c r="B8" s="7" t="str">
        <f>"高情商领导力"</f>
        <v>高情商领导力</v>
      </c>
      <c r="C8" s="8" t="str">
        <f>"(美) 丹尼尔·戈尔曼著"</f>
        <v>(美) 丹尼尔·戈尔曼著</v>
      </c>
      <c r="D8" s="8" t="str">
        <f>"湖南文艺出版社"</f>
        <v>湖南文艺出版社</v>
      </c>
      <c r="E8" s="8" t="str">
        <f>"C933/318"</f>
        <v>C933/318</v>
      </c>
    </row>
    <row r="9" spans="1:5" ht="21.95" customHeight="1">
      <c r="A9" s="6" t="str">
        <f>"978-7-5098-3580-7"</f>
        <v>978-7-5098-3580-7</v>
      </c>
      <c r="B9" s="7" t="str">
        <f>"党章学习读本"</f>
        <v>党章学习读本</v>
      </c>
      <c r="C9" s="8" t="str">
        <f>"本书编写组"</f>
        <v>本书编写组</v>
      </c>
      <c r="D9" s="8" t="str">
        <f>"中共党史出版社"</f>
        <v>中共党史出版社</v>
      </c>
      <c r="E9" s="8" t="str">
        <f>"D219/47=2D"</f>
        <v>D219/47=2D</v>
      </c>
    </row>
    <row r="10" spans="1:5" ht="21.95" customHeight="1">
      <c r="A10" s="6" t="str">
        <f>"978-7-5339-4824-5"</f>
        <v>978-7-5339-4824-5</v>
      </c>
      <c r="B10" s="7" t="str">
        <f>"给青年的十二封信"</f>
        <v>给青年的十二封信</v>
      </c>
      <c r="C10" s="8" t="str">
        <f>"朱光潜著"</f>
        <v>朱光潜著</v>
      </c>
      <c r="D10" s="8" t="str">
        <f>"浙江文艺出版社"</f>
        <v>浙江文艺出版社</v>
      </c>
      <c r="E10" s="8" t="str">
        <f>"D432.63/18"</f>
        <v>D432.63/18</v>
      </c>
    </row>
    <row r="11" spans="1:5" ht="21.95" customHeight="1">
      <c r="A11" s="6" t="str">
        <f>"978-7-01-019097-6"</f>
        <v>978-7-01-019097-6</v>
      </c>
      <c r="B11" s="7" t="str">
        <f>"政府工作报告．2018"</f>
        <v>政府工作报告．2018</v>
      </c>
      <c r="C11" s="8" t="str">
        <f>" "</f>
        <v xml:space="preserve"> </v>
      </c>
      <c r="D11" s="8" t="str">
        <f>"人民出版社"</f>
        <v>人民出版社</v>
      </c>
      <c r="E11" s="8" t="str">
        <f>"D623/24"</f>
        <v>D623/24</v>
      </c>
    </row>
    <row r="12" spans="1:5" ht="21.95" customHeight="1">
      <c r="A12" s="6" t="str">
        <f>"978-7-5086-7820-7"</f>
        <v>978-7-5086-7820-7</v>
      </c>
      <c r="B12" s="7" t="str">
        <f>"公益向右 商业向左：社会企业与社会影响力投资"</f>
        <v>公益向右 商业向左：社会企业与社会影响力投资</v>
      </c>
      <c r="C12" s="8" t="str">
        <f>"徐永光著"</f>
        <v>徐永光著</v>
      </c>
      <c r="D12" s="8" t="str">
        <f>"中信出版集团股份有限公司"</f>
        <v>中信出版集团股份有限公司</v>
      </c>
      <c r="E12" s="8" t="str">
        <f>"D632.1/152"</f>
        <v>D632.1/152</v>
      </c>
    </row>
    <row r="13" spans="1:5" ht="21.95" customHeight="1">
      <c r="A13" s="6" t="str">
        <f>"978-7-302-49475-1"</f>
        <v>978-7-302-49475-1</v>
      </c>
      <c r="B13" s="7" t="str">
        <f>"清廉·贪腐全解码：中国古代清官贪官故事镜鉴"</f>
        <v>清廉·贪腐全解码：中国古代清官贪官故事镜鉴</v>
      </c>
      <c r="C13" s="8" t="str">
        <f>"杨同柱主编"</f>
        <v>杨同柱主编</v>
      </c>
      <c r="D13" s="8" t="str">
        <f>"清华大学出版社"</f>
        <v>清华大学出版社</v>
      </c>
      <c r="E13" s="8" t="str">
        <f>"D691.49/9"</f>
        <v>D691.49/9</v>
      </c>
    </row>
    <row r="14" spans="1:5" ht="21.95" customHeight="1">
      <c r="A14" s="6" t="str">
        <f>"978-7-5426-5455-7"</f>
        <v>978-7-5426-5455-7</v>
      </c>
      <c r="B14" s="7" t="str">
        <f>"枢密院考"</f>
        <v>枢密院考</v>
      </c>
      <c r="C14" s="8" t="str">
        <f>"(英) A.V. 戴雪等著"</f>
        <v>(英) A.V. 戴雪等著</v>
      </c>
      <c r="D14" s="8" t="str">
        <f>"上海三联书店"</f>
        <v>上海三联书店</v>
      </c>
      <c r="E14" s="8" t="str">
        <f>"D756.19/1"</f>
        <v>D756.19/1</v>
      </c>
    </row>
    <row r="15" spans="1:5" ht="21.95" customHeight="1">
      <c r="A15" s="6" t="str">
        <f>"978-7-5086-7312-7"</f>
        <v>978-7-5086-7312-7</v>
      </c>
      <c r="B15" s="7" t="str">
        <f>"民主的假面：即将逝去的美国光环"</f>
        <v>民主的假面：即将逝去的美国光环</v>
      </c>
      <c r="C15" s="8" t="str">
        <f>"(美) 马克·莱文著"</f>
        <v>(美) 马克·莱文著</v>
      </c>
      <c r="D15" s="8" t="str">
        <f>"中信出版集团股份有限公司"</f>
        <v>中信出版集团股份有限公司</v>
      </c>
      <c r="E15" s="8" t="str">
        <f>"D771.2/52"</f>
        <v>D771.2/52</v>
      </c>
    </row>
    <row r="16" spans="1:5" ht="35.25" customHeight="1">
      <c r="A16" s="6" t="str">
        <f>"978-7-301-28049-2"</f>
        <v>978-7-301-28049-2</v>
      </c>
      <c r="B16" s="7" t="str">
        <f>"夏洛克的困惑：莎士比亚与早期现代英国法律思想研究：Shakespeare and the law in early modern England"</f>
        <v>夏洛克的困惑：莎士比亚与早期现代英国法律思想研究：Shakespeare and the law in early modern England</v>
      </c>
      <c r="C16" s="8" t="str">
        <f>"冯伟著"</f>
        <v>冯伟著</v>
      </c>
      <c r="D16" s="8" t="str">
        <f>"北京大学出版社"</f>
        <v>北京大学出版社</v>
      </c>
      <c r="E16" s="8" t="str">
        <f>"D909.561/1"</f>
        <v>D909.561/1</v>
      </c>
    </row>
    <row r="17" spans="1:5" ht="21.95" customHeight="1">
      <c r="A17" s="6" t="str">
        <f>"978-7-108-06084-6"</f>
        <v>978-7-108-06084-6</v>
      </c>
      <c r="B17" s="7" t="str">
        <f>"1944:龙陵会战"</f>
        <v>1944:龙陵会战</v>
      </c>
      <c r="C17" s="8" t="str">
        <f>"余戈著"</f>
        <v>余戈著</v>
      </c>
      <c r="D17" s="8" t="str">
        <f>"三联书店"</f>
        <v>三联书店</v>
      </c>
      <c r="E17" s="8" t="str">
        <f>"E296.933/1"</f>
        <v>E296.933/1</v>
      </c>
    </row>
  </sheetData>
  <sortState ref="A2:F2010">
    <sortCondition ref="E1"/>
  </sortState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E238"/>
  <sheetViews>
    <sheetView topLeftCell="A244" zoomScaleNormal="100" workbookViewId="0">
      <selection activeCell="B167" sqref="B167"/>
    </sheetView>
  </sheetViews>
  <sheetFormatPr defaultRowHeight="21.95" customHeight="1"/>
  <cols>
    <col min="1" max="1" width="19.25" customWidth="1"/>
    <col min="2" max="2" width="62.25" customWidth="1"/>
    <col min="3" max="3" width="27.625" customWidth="1"/>
    <col min="4" max="4" width="25.875" customWidth="1"/>
    <col min="5" max="5" width="16.875" customWidth="1"/>
  </cols>
  <sheetData>
    <row r="1" spans="1:5" s="10" customFormat="1" ht="27" customHeight="1">
      <c r="A1" s="4" t="str">
        <f>"ISBN"</f>
        <v>ISBN</v>
      </c>
      <c r="B1" s="5" t="str">
        <f>"题名"</f>
        <v>题名</v>
      </c>
      <c r="C1" s="4" t="str">
        <f>"责任者"</f>
        <v>责任者</v>
      </c>
      <c r="D1" s="4" t="str">
        <f>"出版社"</f>
        <v>出版社</v>
      </c>
      <c r="E1" s="4" t="str">
        <f>"索书号"</f>
        <v>索书号</v>
      </c>
    </row>
    <row r="2" spans="1:5" ht="21.95" customHeight="1">
      <c r="A2" s="6" t="str">
        <f>"978-7-5086-6525-2"</f>
        <v>978-7-5086-6525-2</v>
      </c>
      <c r="B2" s="7" t="str">
        <f>"新经济学：解读现代经济：making sense of the modern economy"</f>
        <v>新经济学：解读现代经济：making sense of the modern economy</v>
      </c>
      <c r="C2" s="8" t="str">
        <f>"(英) 理查德·戴维斯主编"</f>
        <v>(英) 理查德·戴维斯主编</v>
      </c>
      <c r="D2" s="8" t="str">
        <f t="shared" ref="D2:D6" si="0">"中信出版集团股份有限公司"</f>
        <v>中信出版集团股份有限公司</v>
      </c>
      <c r="E2" s="8" t="str">
        <f>"F0/518"</f>
        <v>F0/518</v>
      </c>
    </row>
    <row r="3" spans="1:5" ht="21.95" customHeight="1">
      <c r="A3" s="6" t="str">
        <f>"978-7-5086-6246-6"</f>
        <v>978-7-5086-6246-6</v>
      </c>
      <c r="B3" s="7" t="str">
        <f>"高尚的经济学"</f>
        <v>高尚的经济学</v>
      </c>
      <c r="C3" s="8" t="str">
        <f>"(英) 黛安娜·科伊尔著"</f>
        <v>(英) 黛安娜·科伊尔著</v>
      </c>
      <c r="D3" s="8" t="str">
        <f t="shared" si="0"/>
        <v>中信出版集团股份有限公司</v>
      </c>
      <c r="E3" s="8" t="str">
        <f>"F0/519=2D"</f>
        <v>F0/519=2D</v>
      </c>
    </row>
    <row r="4" spans="1:5" ht="21.95" customHeight="1">
      <c r="A4" s="6" t="str">
        <f>"978-7-5086-6116-2"</f>
        <v>978-7-5086-6116-2</v>
      </c>
      <c r="B4" s="7" t="str">
        <f>"分享经济：国家战略新引擎与新路径"</f>
        <v>分享经济：国家战略新引擎与新路径</v>
      </c>
      <c r="C4" s="8" t="str">
        <f>"朱克力， 张孝荣编著"</f>
        <v>朱克力， 张孝荣编著</v>
      </c>
      <c r="D4" s="8" t="str">
        <f t="shared" si="0"/>
        <v>中信出版集团股份有限公司</v>
      </c>
      <c r="E4" s="8" t="str">
        <f>"F0/520"</f>
        <v>F0/520</v>
      </c>
    </row>
    <row r="5" spans="1:5" ht="21.95" customHeight="1">
      <c r="A5" s="6" t="str">
        <f>"978-7-5086-7316-5"</f>
        <v>978-7-5086-7316-5</v>
      </c>
      <c r="B5" s="7" t="str">
        <f>"资本的限度"</f>
        <v>资本的限度</v>
      </c>
      <c r="C5" s="8" t="str">
        <f>"(英)大卫·哈维著"</f>
        <v>(英)大卫·哈维著</v>
      </c>
      <c r="D5" s="8" t="str">
        <f t="shared" si="0"/>
        <v>中信出版集团股份有限公司</v>
      </c>
      <c r="E5" s="8" t="str">
        <f>"F014.391/3"</f>
        <v>F014.391/3</v>
      </c>
    </row>
    <row r="6" spans="1:5" ht="21.95" customHeight="1">
      <c r="A6" s="6" t="str">
        <f>"978-7-5086-7385-1"</f>
        <v>978-7-5086-7385-1</v>
      </c>
      <c r="B6" s="7" t="str">
        <f>"经济奇点：共享经济、创造性破坏与未来社会"</f>
        <v>经济奇点：共享经济、创造性破坏与未来社会</v>
      </c>
      <c r="C6" s="8" t="str">
        <f>"(美) 史蒂文·希尔著"</f>
        <v>(美) 史蒂文·希尔著</v>
      </c>
      <c r="D6" s="8" t="str">
        <f t="shared" si="0"/>
        <v>中信出版集团股份有限公司</v>
      </c>
      <c r="E6" s="8" t="str">
        <f>"F014.9/3"</f>
        <v>F014.9/3</v>
      </c>
    </row>
    <row r="7" spans="1:5" ht="21.95" customHeight="1">
      <c r="A7" s="6" t="str">
        <f>"978-7-5143-4995-5"</f>
        <v>978-7-5143-4995-5</v>
      </c>
      <c r="B7" s="7" t="str">
        <f>"社交币"</f>
        <v>社交币</v>
      </c>
      <c r="C7" s="8" t="str">
        <f>"张凯元著"</f>
        <v>张凯元著</v>
      </c>
      <c r="D7" s="8" t="str">
        <f>"现代出版社"</f>
        <v>现代出版社</v>
      </c>
      <c r="E7" s="8" t="str">
        <f>"F014.9-49/1"</f>
        <v>F014.9-49/1</v>
      </c>
    </row>
    <row r="8" spans="1:5" ht="21.95" customHeight="1">
      <c r="A8" s="6" t="str">
        <f>"978-7-302-48079-2"</f>
        <v>978-7-302-48079-2</v>
      </c>
      <c r="B8" s="7" t="str">
        <f>"宏观经济学"</f>
        <v>宏观经济学</v>
      </c>
      <c r="C8" s="8" t="str">
        <f>"刘树， 王倩主编"</f>
        <v>刘树， 王倩主编</v>
      </c>
      <c r="D8" s="8" t="str">
        <f>"清华大学出版社"</f>
        <v>清华大学出版社</v>
      </c>
      <c r="E8" s="8" t="str">
        <f>"F015/140"</f>
        <v>F015/140</v>
      </c>
    </row>
    <row r="9" spans="1:5" ht="21.95" customHeight="1">
      <c r="A9" s="6" t="str">
        <f>"978-7-5086-7258-8"</f>
        <v>978-7-5086-7258-8</v>
      </c>
      <c r="B9" s="7" t="str">
        <f>"哈佛极简宏观经济学"</f>
        <v>哈佛极简宏观经济学</v>
      </c>
      <c r="C9" s="8" t="str">
        <f>"(美) 戴维·莫斯著"</f>
        <v>(美) 戴维·莫斯著</v>
      </c>
      <c r="D9" s="8" t="str">
        <f t="shared" ref="D9:D11" si="1">"中信出版集团股份有限公司"</f>
        <v>中信出版集团股份有限公司</v>
      </c>
      <c r="E9" s="8" t="str">
        <f>"F015/141"</f>
        <v>F015/141</v>
      </c>
    </row>
    <row r="10" spans="1:5" ht="21.95" customHeight="1">
      <c r="A10" s="6" t="str">
        <f>"978-7-5086-8194-8"</f>
        <v>978-7-5086-8194-8</v>
      </c>
      <c r="B10" s="7" t="str">
        <f>"注意力经济：如何把大众的注意力变成生意"</f>
        <v>注意力经济：如何把大众的注意力变成生意</v>
      </c>
      <c r="C10" s="8" t="str">
        <f>"(美) 吴修铭著"</f>
        <v>(美) 吴修铭著</v>
      </c>
      <c r="D10" s="8" t="str">
        <f t="shared" si="1"/>
        <v>中信出版集团股份有限公司</v>
      </c>
      <c r="E10" s="8" t="str">
        <f>"F019/7"</f>
        <v>F019/7</v>
      </c>
    </row>
    <row r="11" spans="1:5" ht="21.95" customHeight="1">
      <c r="A11" s="6" t="str">
        <f>"978-7-5086-8688-2"</f>
        <v>978-7-5086-8688-2</v>
      </c>
      <c r="B11" s="7" t="str">
        <f>"算法之美：指导工作与生活的算法"</f>
        <v>算法之美：指导工作与生活的算法</v>
      </c>
      <c r="C11" s="8" t="str">
        <f>"(美) 布莱恩·克里斯汀， 汤姆·格里菲思著"</f>
        <v>(美) 布莱恩·克里斯汀， 汤姆·格里菲思著</v>
      </c>
      <c r="D11" s="8" t="str">
        <f t="shared" si="1"/>
        <v>中信出版集团股份有限公司</v>
      </c>
      <c r="E11" s="8" t="str">
        <f>"F0-39/2"</f>
        <v>F0-39/2</v>
      </c>
    </row>
    <row r="12" spans="1:5" ht="21.95" customHeight="1">
      <c r="A12" s="6" t="str">
        <f>"978-7-115-37892-7"</f>
        <v>978-7-115-37892-7</v>
      </c>
      <c r="B12" s="7" t="str">
        <f>"图解力．人人都能看懂的经济学"</f>
        <v>图解力．人人都能看懂的经济学</v>
      </c>
      <c r="C12" s="8" t="str">
        <f>"王嵘"</f>
        <v>王嵘</v>
      </c>
      <c r="D12" s="8" t="str">
        <f>"人民邮电出版社"</f>
        <v>人民邮电出版社</v>
      </c>
      <c r="E12" s="8" t="str">
        <f>"F0-49/202"</f>
        <v>F0-49/202</v>
      </c>
    </row>
    <row r="13" spans="1:5" ht="40.5" customHeight="1">
      <c r="A13" s="6" t="str">
        <f>"978-7-5086-6943-4"</f>
        <v>978-7-5086-6943-4</v>
      </c>
      <c r="B13" s="7" t="str">
        <f>"天才的回声：经济学大师与他们塑造的世界：an introduction to modern economic thought"</f>
        <v>天才的回声：经济学大师与他们塑造的世界：an introduction to modern economic thought</v>
      </c>
      <c r="C13" s="8" t="str">
        <f>"(美) 托德·布赫霍尔茨著"</f>
        <v>(美) 托德·布赫霍尔茨著</v>
      </c>
      <c r="D13" s="8" t="str">
        <f>"中信出版集团股份有限公司"</f>
        <v>中信出版集团股份有限公司</v>
      </c>
      <c r="E13" s="8" t="str">
        <f>"F0-49/203=2D"</f>
        <v>F0-49/203=2D</v>
      </c>
    </row>
    <row r="14" spans="1:5" ht="21.95" customHeight="1">
      <c r="A14" s="6" t="str">
        <f>"978-7-301-26947-3"</f>
        <v>978-7-301-26947-3</v>
      </c>
      <c r="B14" s="7" t="str">
        <f>"经济学是什么"</f>
        <v>经济学是什么</v>
      </c>
      <c r="C14" s="8" t="str">
        <f>"梁小民著"</f>
        <v>梁小民著</v>
      </c>
      <c r="D14" s="8" t="str">
        <f>"北京大学出版社"</f>
        <v>北京大学出版社</v>
      </c>
      <c r="E14" s="8" t="str">
        <f>"F0-49/204"</f>
        <v>F0-49/204</v>
      </c>
    </row>
    <row r="15" spans="1:5" ht="41.25" customHeight="1">
      <c r="A15" s="6" t="str">
        <f>"978-7-5086-6417-0"</f>
        <v>978-7-5086-6417-0</v>
      </c>
      <c r="B15" s="7" t="str">
        <f>"魔鬼经济学．02：拥有清晰思维的艺术．02：Global cooling， patriotic prostitutes， and why suicide bombers should buy life insurance"</f>
        <v>魔鬼经济学．02：拥有清晰思维的艺术．02：Global cooling， patriotic prostitutes， and why suicide bombers should buy life insurance</v>
      </c>
      <c r="C15" s="8" t="str">
        <f>"(美) 史蒂芬·列维特， 史蒂芬·都伯纳著"</f>
        <v>(美) 史蒂芬·列维特， 史蒂芬·都伯纳著</v>
      </c>
      <c r="D15" s="8" t="str">
        <f>"中信出版集团股份有限公司"</f>
        <v>中信出版集团股份有限公司</v>
      </c>
      <c r="E15" s="8" t="str">
        <f>"F0-49/205"</f>
        <v>F0-49/205</v>
      </c>
    </row>
    <row r="16" spans="1:5" ht="21.95" customHeight="1">
      <c r="A16" s="6" t="str">
        <f>"978-7-5086-8522-9"</f>
        <v>978-7-5086-8522-9</v>
      </c>
      <c r="B16" s="7" t="str">
        <f>"塑造世界经济的50项伟大发明"</f>
        <v>塑造世界经济的50项伟大发明</v>
      </c>
      <c r="C16" s="8" t="str">
        <f>"(英) 蒂姆·哈福德著"</f>
        <v>(英) 蒂姆·哈福德著</v>
      </c>
      <c r="D16" s="8" t="str">
        <f>"中信出版集团股份有限公司"</f>
        <v>中信出版集团股份有限公司</v>
      </c>
      <c r="E16" s="8" t="str">
        <f>"F0-49/206"</f>
        <v>F0-49/206</v>
      </c>
    </row>
    <row r="17" spans="1:5" ht="36.75" customHeight="1">
      <c r="A17" s="6" t="str">
        <f>"978-7-5096-5694-5"</f>
        <v>978-7-5096-5694-5</v>
      </c>
      <c r="B17" s="7" t="str">
        <f>"跨越黑天鹅和灰犀牛的坎：坏听力时代的财智逻辑：black swan and gray rhino"</f>
        <v>跨越黑天鹅和灰犀牛的坎：坏听力时代的财智逻辑：black swan and gray rhino</v>
      </c>
      <c r="C17" s="8" t="str">
        <f>"潘启雯著"</f>
        <v>潘启雯著</v>
      </c>
      <c r="D17" s="8" t="str">
        <f>"经济管理出版社"</f>
        <v>经济管理出版社</v>
      </c>
      <c r="E17" s="8" t="str">
        <f>"F0-53/140"</f>
        <v>F0-53/140</v>
      </c>
    </row>
    <row r="18" spans="1:5" ht="21.95" customHeight="1">
      <c r="A18" s="6" t="str">
        <f>"978-7-301-25869-9"</f>
        <v>978-7-301-25869-9</v>
      </c>
      <c r="B18" s="7" t="str">
        <f>"经济学通识"</f>
        <v>经济学通识</v>
      </c>
      <c r="C18" s="8" t="str">
        <f>"薛兆丰著"</f>
        <v>薛兆丰著</v>
      </c>
      <c r="D18" s="8" t="str">
        <f>"北京大学出版社"</f>
        <v>北京大学出版社</v>
      </c>
      <c r="E18" s="8" t="str">
        <f>"F0-53/141=2D"</f>
        <v>F0-53/141=2D</v>
      </c>
    </row>
    <row r="19" spans="1:5" ht="21.95" customHeight="1">
      <c r="A19" s="6" t="str">
        <f>"978-7-03-056850-2"</f>
        <v>978-7-03-056850-2</v>
      </c>
      <c r="B19" s="7" t="str">
        <f>"流域经济评论．第三辑"</f>
        <v>流域经济评论．第三辑</v>
      </c>
      <c r="C19" s="8" t="str">
        <f>"文传浩主编"</f>
        <v>文传浩主编</v>
      </c>
      <c r="D19" s="8" t="str">
        <f>"科学出版社"</f>
        <v>科学出版社</v>
      </c>
      <c r="E19" s="8" t="str">
        <f>"F061.5-53/2"</f>
        <v>F061.5-53/2</v>
      </c>
    </row>
    <row r="20" spans="1:5" ht="21.95" customHeight="1">
      <c r="A20" s="6" t="str">
        <f>"978-7-5096-4906-0"</f>
        <v>978-7-5096-4906-0</v>
      </c>
      <c r="B20" s="7" t="str">
        <f>"科技创新平台"</f>
        <v>科技创新平台</v>
      </c>
      <c r="C20" s="8" t="str">
        <f>"施利毅， 陈秋玲主编"</f>
        <v>施利毅， 陈秋玲主编</v>
      </c>
      <c r="D20" s="8" t="str">
        <f>"经济管理出版社"</f>
        <v>经济管理出版社</v>
      </c>
      <c r="E20" s="8" t="str">
        <f>"F062.4/66"</f>
        <v>F062.4/66</v>
      </c>
    </row>
    <row r="21" spans="1:5" ht="21.95" customHeight="1">
      <c r="A21" s="6" t="str">
        <f>"978-7-5086-8324-9"</f>
        <v>978-7-5086-8324-9</v>
      </c>
      <c r="B21" s="7" t="str">
        <f>"超级技术：改变未来社会和商业的技术趋势：technology in 2050"</f>
        <v>超级技术：改变未来社会和商业的技术趋势：technology in 2050</v>
      </c>
      <c r="C21" s="8" t="str">
        <f>"(美) 梅琳达·盖茨等著"</f>
        <v>(美) 梅琳达·盖茨等著</v>
      </c>
      <c r="D21" s="8" t="str">
        <f>"中信出版集团股份有限公司"</f>
        <v>中信出版集团股份有限公司</v>
      </c>
      <c r="E21" s="8" t="str">
        <f>"F062.4/67"</f>
        <v>F062.4/67</v>
      </c>
    </row>
    <row r="22" spans="1:5" ht="21.95" customHeight="1">
      <c r="A22" s="6" t="str">
        <f>"978-7-301-29237-2"</f>
        <v>978-7-301-29237-2</v>
      </c>
      <c r="B22" s="7" t="str">
        <f>"生活中的行为经济学"</f>
        <v>生活中的行为经济学</v>
      </c>
      <c r="C22" s="8" t="str">
        <f>"董志勇著"</f>
        <v>董志勇著</v>
      </c>
      <c r="D22" s="8" t="str">
        <f>"北京大学出版社"</f>
        <v>北京大学出版社</v>
      </c>
      <c r="E22" s="8" t="str">
        <f>"F069.9/50"</f>
        <v>F069.9/50</v>
      </c>
    </row>
    <row r="23" spans="1:5" ht="21.95" customHeight="1">
      <c r="A23" s="6" t="str">
        <f>"978-7-5086-8451-2"</f>
        <v>978-7-5086-8451-2</v>
      </c>
      <c r="B23" s="7" t="str">
        <f>"“错误”的行为：行为经济学的形成"</f>
        <v>“错误”的行为：行为经济学的形成</v>
      </c>
      <c r="C23" s="8" t="str">
        <f>"(美) 理查德·塞勒著"</f>
        <v>(美) 理查德·塞勒著</v>
      </c>
      <c r="D23" s="8" t="str">
        <f>"中信出版集团股份有限公司"</f>
        <v>中信出版集团股份有限公司</v>
      </c>
      <c r="E23" s="8" t="str">
        <f>"F069.9-49/2=2D"</f>
        <v>F069.9-49/2=2D</v>
      </c>
    </row>
    <row r="24" spans="1:5" ht="38.25" customHeight="1">
      <c r="A24" s="6" t="str">
        <f>"978-7-5096-5324-1"</f>
        <v>978-7-5096-5324-1</v>
      </c>
      <c r="B24" s="7" t="str">
        <f>"李嘉图等价定理的理论与实践：热点经济问题探究：a research based on the theoretical and empirical study"</f>
        <v>李嘉图等价定理的理论与实践：热点经济问题探究：a research based on the theoretical and empirical study</v>
      </c>
      <c r="C24" s="8" t="str">
        <f>"邹蕴涵著"</f>
        <v>邹蕴涵著</v>
      </c>
      <c r="D24" s="8" t="str">
        <f>"经济管理出版社"</f>
        <v>经济管理出版社</v>
      </c>
      <c r="E24" s="8" t="str">
        <f>"F091.33/31"</f>
        <v>F091.33/31</v>
      </c>
    </row>
    <row r="25" spans="1:5" ht="21.95" customHeight="1">
      <c r="A25" s="6" t="str">
        <f>"978-7-5426-6120-3"</f>
        <v>978-7-5426-6120-3</v>
      </c>
      <c r="B25" s="7" t="str">
        <f>"自由·法治·秩序：哈耶克的“自生自发秩序”思想研究"</f>
        <v>自由·法治·秩序：哈耶克的“自生自发秩序”思想研究</v>
      </c>
      <c r="C25" s="8" t="str">
        <f>"夏纪森著"</f>
        <v>夏纪森著</v>
      </c>
      <c r="D25" s="8" t="str">
        <f>"上海三联书店"</f>
        <v>上海三联书店</v>
      </c>
      <c r="E25" s="8" t="str">
        <f>"F095.615/1"</f>
        <v>F095.615/1</v>
      </c>
    </row>
    <row r="26" spans="1:5" ht="36.75" customHeight="1">
      <c r="A26" s="6" t="str">
        <f>"978-7-5086-8016-3"</f>
        <v>978-7-5086-8016-3</v>
      </c>
      <c r="B26" s="7" t="str">
        <f>"定见未来：正确观察世界的11个思维模式：reset your thinking and see the future"</f>
        <v>定见未来：正确观察世界的11个思维模式：reset your thinking and see the future</v>
      </c>
      <c r="C26" s="8" t="str">
        <f>"(美) 约翰·奈斯比特著"</f>
        <v>(美) 约翰·奈斯比特著</v>
      </c>
      <c r="D26" s="8" t="str">
        <f t="shared" ref="D26:D29" si="2">"中信出版集团股份有限公司"</f>
        <v>中信出版集团股份有限公司</v>
      </c>
      <c r="E26" s="8" t="str">
        <f>"F11/97"</f>
        <v>F11/97</v>
      </c>
    </row>
    <row r="27" spans="1:5" ht="33" customHeight="1">
      <c r="A27" s="6" t="str">
        <f>"978-7-5086-6901-4"</f>
        <v>978-7-5086-6901-4</v>
      </c>
      <c r="B27" s="7" t="str">
        <f>"正常的终结：理解世界经济新常态：the great crisis and the future of growth"</f>
        <v>正常的终结：理解世界经济新常态：the great crisis and the future of growth</v>
      </c>
      <c r="C27" s="8" t="str">
        <f>"(美) 詹姆斯·K.加尔布雷斯著"</f>
        <v>(美) 詹姆斯·K.加尔布雷斯著</v>
      </c>
      <c r="D27" s="8" t="str">
        <f t="shared" si="2"/>
        <v>中信出版集团股份有限公司</v>
      </c>
      <c r="E27" s="8" t="str">
        <f>"F11/98"</f>
        <v>F11/98</v>
      </c>
    </row>
    <row r="28" spans="1:5" ht="37.5" customHeight="1">
      <c r="A28" s="6" t="str">
        <f>"978-7-5086-6357-9"</f>
        <v>978-7-5086-6357-9</v>
      </c>
      <c r="B28" s="7" t="str">
        <f>"经济增长的迷雾：经济学家的发展政策为何失败：economists' adventures and misadventures in the tropics"</f>
        <v>经济增长的迷雾：经济学家的发展政策为何失败：economists' adventures and misadventures in the tropics</v>
      </c>
      <c r="C28" s="8" t="str">
        <f>"(美) 威廉·伊斯特利著"</f>
        <v>(美) 威廉·伊斯特利著</v>
      </c>
      <c r="D28" s="8" t="str">
        <f t="shared" si="2"/>
        <v>中信出版集团股份有限公司</v>
      </c>
      <c r="E28" s="8" t="str">
        <f>"F112.1/19"</f>
        <v>F112.1/19</v>
      </c>
    </row>
    <row r="29" spans="1:5" ht="21.95" customHeight="1">
      <c r="A29" s="6" t="str">
        <f>"978-7-5086-7880-1"</f>
        <v>978-7-5086-7880-1</v>
      </c>
      <c r="B29" s="7" t="str">
        <f>"资本与共谋：全球经济发展的政治逻辑"</f>
        <v>资本与共谋：全球经济发展的政治逻辑</v>
      </c>
      <c r="C29" s="8" t="str">
        <f>"(美) 希尔顿·L.鲁特著"</f>
        <v>(美) 希尔顿·L.鲁特著</v>
      </c>
      <c r="D29" s="8" t="str">
        <f t="shared" si="2"/>
        <v>中信出版集团股份有限公司</v>
      </c>
      <c r="E29" s="8" t="str">
        <f>"F113.4/66"</f>
        <v>F113.4/66</v>
      </c>
    </row>
    <row r="30" spans="1:5" ht="21.95" customHeight="1">
      <c r="A30" s="6" t="str">
        <f>"978-7-03-053994-6"</f>
        <v>978-7-03-053994-6</v>
      </c>
      <c r="B30" s="7" t="str">
        <f>"世界现代化报告：新时期的现代化和多样性：第二届世界现代化论坛文集"</f>
        <v>世界现代化报告：新时期的现代化和多样性：第二届世界现代化论坛文集</v>
      </c>
      <c r="C30" s="8" t="str">
        <f>"阿尔伯特·马蒂内利， 何传启主编"</f>
        <v>阿尔伯特·马蒂内利， 何传启主编</v>
      </c>
      <c r="D30" s="8" t="str">
        <f>"科学出版社"</f>
        <v>科学出版社</v>
      </c>
      <c r="E30" s="8" t="str">
        <f>"F113.4/67"</f>
        <v>F113.4/67</v>
      </c>
    </row>
    <row r="31" spans="1:5" ht="21.95" customHeight="1">
      <c r="A31" s="6" t="str">
        <f>"978-7-5096-4387-7"</f>
        <v>978-7-5096-4387-7</v>
      </c>
      <c r="B31" s="7" t="str">
        <f>"经济增长与居民幸福增长"</f>
        <v>经济增长与居民幸福增长</v>
      </c>
      <c r="C31" s="8" t="str">
        <f>"祝灵敏著"</f>
        <v>祝灵敏著</v>
      </c>
      <c r="D31" s="8" t="str">
        <f>"经济管理出版社"</f>
        <v>经济管理出版社</v>
      </c>
      <c r="E31" s="8" t="str">
        <f>"F113.4/68"</f>
        <v>F113.4/68</v>
      </c>
    </row>
    <row r="32" spans="1:5" ht="21.95" customHeight="1">
      <c r="A32" s="6" t="str">
        <f>"978-7-5086-8833-6"</f>
        <v>978-7-5086-8833-6</v>
      </c>
      <c r="B32" s="7" t="str">
        <f>"科技前哨：深度剖析全球12大热点技术产业机会"</f>
        <v>科技前哨：深度剖析全球12大热点技术产业机会</v>
      </c>
      <c r="C32" s="8" t="str">
        <f>"王煜全主编"</f>
        <v>王煜全主编</v>
      </c>
      <c r="D32" s="8" t="str">
        <f>"中信出版集团股份有限公司"</f>
        <v>中信出版集团股份有限公司</v>
      </c>
      <c r="E32" s="8" t="str">
        <f>"F113.4/69"</f>
        <v>F113.4/69</v>
      </c>
    </row>
    <row r="33" spans="1:5" ht="37.5" customHeight="1">
      <c r="A33" s="6" t="str">
        <f>"978-7-5086-5074-6"</f>
        <v>978-7-5086-5074-6</v>
      </c>
      <c r="B33" s="7" t="str">
        <f>"转型与冲击：马丁·沃尔夫谈未来全球经济：what we've learned-and have still to learn-from the financial crisis"</f>
        <v>转型与冲击：马丁·沃尔夫谈未来全球经济：what we've learned-and have still to learn-from the financial crisis</v>
      </c>
      <c r="C33" s="8" t="str">
        <f>"(英) 马丁·沃尔夫著"</f>
        <v>(英) 马丁·沃尔夫著</v>
      </c>
      <c r="D33" s="8" t="str">
        <f>"中信出版社"</f>
        <v>中信出版社</v>
      </c>
      <c r="E33" s="8" t="str">
        <f>"F113.4/70"</f>
        <v>F113.4/70</v>
      </c>
    </row>
    <row r="34" spans="1:5" ht="21.95" customHeight="1">
      <c r="A34" s="6" t="str">
        <f>"978-7-302-49157-6"</f>
        <v>978-7-302-49157-6</v>
      </c>
      <c r="B34" s="7" t="str">
        <f>"创新秩序重构：未来30年世界与中国大变局"</f>
        <v>创新秩序重构：未来30年世界与中国大变局</v>
      </c>
      <c r="C34" s="8" t="str">
        <f>"吴家喜著"</f>
        <v>吴家喜著</v>
      </c>
      <c r="D34" s="8" t="str">
        <f>"清华大学出版社"</f>
        <v>清华大学出版社</v>
      </c>
      <c r="E34" s="8" t="str">
        <f>"F114.3/2"</f>
        <v>F114.3/2</v>
      </c>
    </row>
    <row r="35" spans="1:5" ht="21.95" customHeight="1">
      <c r="A35" s="6" t="str">
        <f>"978-7-5096-5103-2"</f>
        <v>978-7-5096-5103-2</v>
      </c>
      <c r="B35" s="7" t="str">
        <f>"经济全球化与我国产业优化升级"</f>
        <v>经济全球化与我国产业优化升级</v>
      </c>
      <c r="C35" s="8" t="str">
        <f>"曹剑飞著"</f>
        <v>曹剑飞著</v>
      </c>
      <c r="D35" s="8" t="str">
        <f>"经济管理出版社"</f>
        <v>经济管理出版社</v>
      </c>
      <c r="E35" s="8" t="str">
        <f>"F114.41/34"</f>
        <v>F114.41/34</v>
      </c>
    </row>
    <row r="36" spans="1:5" ht="21.95" customHeight="1">
      <c r="A36" s="6" t="str">
        <f>"978-7-5086-6731-7"</f>
        <v>978-7-5086-6731-7</v>
      </c>
      <c r="B36" s="7" t="str">
        <f>"美洲金银和西方世界的兴起"</f>
        <v>美洲金银和西方世界的兴起</v>
      </c>
      <c r="C36" s="8" t="str">
        <f>"张宇燕， 高程著"</f>
        <v>张宇燕， 高程著</v>
      </c>
      <c r="D36" s="8" t="str">
        <f t="shared" ref="D36:D38" si="3">"中信出版集团股份有限公司"</f>
        <v>中信出版集团股份有限公司</v>
      </c>
      <c r="E36" s="8" t="str">
        <f>"F119/25"</f>
        <v>F119/25</v>
      </c>
    </row>
    <row r="37" spans="1:5" ht="46.5" customHeight="1">
      <c r="A37" s="6" t="str">
        <f>"978-7-5086-6550-4"</f>
        <v>978-7-5086-6550-4</v>
      </c>
      <c r="B37" s="7" t="str">
        <f>"镜厅：大萧条， 大衰退， 我们做对了什么， 又做错了什么：the great depression， the great recession， and the uses-and misuses-of history"</f>
        <v>镜厅：大萧条， 大衰退， 我们做对了什么， 又做错了什么：the great depression， the great recession， and the uses-and misuses-of history</v>
      </c>
      <c r="C37" s="8" t="str">
        <f>"(美) 巴里·埃森格林著"</f>
        <v>(美) 巴里·埃森格林著</v>
      </c>
      <c r="D37" s="8" t="str">
        <f t="shared" si="3"/>
        <v>中信出版集团股份有限公司</v>
      </c>
      <c r="E37" s="8" t="str">
        <f>"F119/26"</f>
        <v>F119/26</v>
      </c>
    </row>
    <row r="38" spans="1:5" ht="21.95" customHeight="1">
      <c r="A38" s="6" t="str">
        <f>"978-7-5086-5871-1"</f>
        <v>978-7-5086-5871-1</v>
      </c>
      <c r="B38" s="7" t="str">
        <f>"平衡木上的中国"</f>
        <v>平衡木上的中国</v>
      </c>
      <c r="C38" s="8" t="str">
        <f>"熊易寒著"</f>
        <v>熊易寒著</v>
      </c>
      <c r="D38" s="8" t="str">
        <f t="shared" si="3"/>
        <v>中信出版集团股份有限公司</v>
      </c>
      <c r="E38" s="8" t="str">
        <f>"F12/146"</f>
        <v>F12/146</v>
      </c>
    </row>
    <row r="39" spans="1:5" ht="21.95" customHeight="1">
      <c r="A39" s="6" t="str">
        <f>"978-7-5096-5342-5"</f>
        <v>978-7-5096-5342-5</v>
      </c>
      <c r="B39" s="7" t="str">
        <f>"当代若干经济热点问题研究"</f>
        <v>当代若干经济热点问题研究</v>
      </c>
      <c r="C39" s="8" t="str">
        <f>"刘荣春著"</f>
        <v>刘荣春著</v>
      </c>
      <c r="D39" s="8" t="str">
        <f>"经济管理出版社"</f>
        <v>经济管理出版社</v>
      </c>
      <c r="E39" s="8" t="str">
        <f>"F12/147"</f>
        <v>F12/147</v>
      </c>
    </row>
    <row r="40" spans="1:5" ht="21.95" customHeight="1">
      <c r="A40" s="6" t="str">
        <f>"978-7-5182-0662-9"</f>
        <v>978-7-5182-0662-9</v>
      </c>
      <c r="B40" s="7" t="str">
        <f>"回荡的钟摆"</f>
        <v>回荡的钟摆</v>
      </c>
      <c r="C40" s="8" t="str">
        <f>"许小年著"</f>
        <v>许小年著</v>
      </c>
      <c r="D40" s="8" t="str">
        <f>"中国计划出版社"</f>
        <v>中国计划出版社</v>
      </c>
      <c r="E40" s="8" t="str">
        <f>"F12/148"</f>
        <v>F12/148</v>
      </c>
    </row>
    <row r="41" spans="1:5" ht="21.95" customHeight="1">
      <c r="A41" s="6" t="str">
        <f>"978-7-115-42503-4"</f>
        <v>978-7-115-42503-4</v>
      </c>
      <c r="B41" s="7" t="str">
        <f>"滴滴：分享经济改变中国"</f>
        <v>滴滴：分享经济改变中国</v>
      </c>
      <c r="C41" s="8" t="str">
        <f>"程维， 柳青等著"</f>
        <v>程维， 柳青等著</v>
      </c>
      <c r="D41" s="8" t="str">
        <f>"人民邮电出版社"</f>
        <v>人民邮电出版社</v>
      </c>
      <c r="E41" s="8" t="str">
        <f>"F120.3/12"</f>
        <v>F120.3/12</v>
      </c>
    </row>
    <row r="42" spans="1:5" ht="21.95" customHeight="1">
      <c r="A42" s="6" t="str">
        <f>"978-7-5086-8554-0"</f>
        <v>978-7-5086-8554-0</v>
      </c>
      <c r="B42" s="7" t="str">
        <f>"大路朝天：中国革命与中国道路"</f>
        <v>大路朝天：中国革命与中国道路</v>
      </c>
      <c r="C42" s="8" t="str">
        <f>"萧武著"</f>
        <v>萧武著</v>
      </c>
      <c r="D42" s="8" t="str">
        <f>"中信出版集团股份有限公司"</f>
        <v>中信出版集团股份有限公司</v>
      </c>
      <c r="E42" s="8" t="str">
        <f>"F121/127"</f>
        <v>F121/127</v>
      </c>
    </row>
    <row r="43" spans="1:5" ht="21.95" customHeight="1">
      <c r="A43" s="6" t="str">
        <f>"978-7-5086-8402-4"</f>
        <v>978-7-5086-8402-4</v>
      </c>
      <c r="B43" s="7" t="str">
        <f>"改革的方向．2：中国需要什么样的企业和社会"</f>
        <v>改革的方向．2：中国需要什么样的企业和社会</v>
      </c>
      <c r="C43" s="8" t="str">
        <f>"周其仁等著"</f>
        <v>周其仁等著</v>
      </c>
      <c r="D43" s="8" t="str">
        <f>"中信出版集团股份有限公司"</f>
        <v>中信出版集团股份有限公司</v>
      </c>
      <c r="E43" s="8" t="str">
        <f>"F121/128"</f>
        <v>F121/128</v>
      </c>
    </row>
    <row r="44" spans="1:5" ht="21.95" customHeight="1">
      <c r="A44" s="6" t="str">
        <f>"978-7-5086-5573-4"</f>
        <v>978-7-5086-5573-4</v>
      </c>
      <c r="B44" s="7" t="str">
        <f>"宏调的逻辑：从十年宏调史读懂中国经济"</f>
        <v>宏调的逻辑：从十年宏调史读懂中国经济</v>
      </c>
      <c r="C44" s="8" t="str">
        <f>"卢锋著"</f>
        <v>卢锋著</v>
      </c>
      <c r="D44" s="8" t="str">
        <f>"中信出版社"</f>
        <v>中信出版社</v>
      </c>
      <c r="E44" s="8" t="str">
        <f>"F123.16-49/1"</f>
        <v>F123.16-49/1</v>
      </c>
    </row>
    <row r="45" spans="1:5" ht="21.95" customHeight="1">
      <c r="A45" s="6" t="str">
        <f>"978-7-5086-5931-2"</f>
        <v>978-7-5086-5931-2</v>
      </c>
      <c r="B45" s="7" t="str">
        <f>"重构增长秩序：不确定性年代与内生平衡增长"</f>
        <v>重构增长秩序：不确定性年代与内生平衡增长</v>
      </c>
      <c r="C45" s="8" t="str">
        <f>"张文魁著"</f>
        <v>张文魁著</v>
      </c>
      <c r="D45" s="8" t="str">
        <f>"中信出版集团股份有限公司"</f>
        <v>中信出版集团股份有限公司</v>
      </c>
      <c r="E45" s="8" t="str">
        <f>"F124.1/26"</f>
        <v>F124.1/26</v>
      </c>
    </row>
    <row r="46" spans="1:5" ht="21.95" customHeight="1">
      <c r="A46" s="6" t="str">
        <f>"978-7-5086-6580-1"</f>
        <v>978-7-5086-6580-1</v>
      </c>
      <c r="B46" s="7" t="str">
        <f>"中国经济新平衡：重建绿色发展"</f>
        <v>中国经济新平衡：重建绿色发展</v>
      </c>
      <c r="C46" s="8" t="str">
        <f>"李志青著"</f>
        <v>李志青著</v>
      </c>
      <c r="D46" s="8" t="str">
        <f>"中信出版集团股份有限公司"</f>
        <v>中信出版集团股份有限公司</v>
      </c>
      <c r="E46" s="8" t="str">
        <f>"F124/214"</f>
        <v>F124/214</v>
      </c>
    </row>
    <row r="47" spans="1:5" ht="21.95" customHeight="1">
      <c r="A47" s="6" t="str">
        <f>"978-7-5086-5070-8"</f>
        <v>978-7-5086-5070-8</v>
      </c>
      <c r="B47" s="7" t="str">
        <f>"中国经济增长十年展望．2015-2024：攀登效率高地"</f>
        <v>中国经济增长十年展望．2015-2024：攀登效率高地</v>
      </c>
      <c r="C47" s="8" t="str">
        <f>"刘世锦主编"</f>
        <v>刘世锦主编</v>
      </c>
      <c r="D47" s="8" t="str">
        <f>"中信出版社"</f>
        <v>中信出版社</v>
      </c>
      <c r="E47" s="8" t="str">
        <f>"F124/215"</f>
        <v>F124/215</v>
      </c>
    </row>
    <row r="48" spans="1:5" ht="21.95" customHeight="1">
      <c r="A48" s="6" t="str">
        <f>"978-7-5096-5226-8"</f>
        <v>978-7-5096-5226-8</v>
      </c>
      <c r="B48" s="7" t="str">
        <f>"中国经济的挑战与对策：探求长期发展的路径"</f>
        <v>中国经济的挑战与对策：探求长期发展的路径</v>
      </c>
      <c r="C48" s="8" t="str">
        <f>"马国川， 李炳亮主编"</f>
        <v>马国川， 李炳亮主编</v>
      </c>
      <c r="D48" s="8" t="str">
        <f>"经济管理出版社"</f>
        <v>经济管理出版社</v>
      </c>
      <c r="E48" s="8" t="str">
        <f>"F124/216"</f>
        <v>F124/216</v>
      </c>
    </row>
    <row r="49" spans="1:5" ht="21.95" customHeight="1">
      <c r="A49" s="6" t="str">
        <f>"978-7-208-13863-6"</f>
        <v>978-7-208-13863-6</v>
      </c>
      <c r="B49" s="7" t="str">
        <f>"大国大城：当代中国的统一、发展与平衡"</f>
        <v>大国大城：当代中国的统一、发展与平衡</v>
      </c>
      <c r="C49" s="8" t="str">
        <f>"陆铭著"</f>
        <v>陆铭著</v>
      </c>
      <c r="D49" s="8" t="str">
        <f>"上海人民出版社"</f>
        <v>上海人民出版社</v>
      </c>
      <c r="E49" s="8" t="str">
        <f>"F124/217"</f>
        <v>F124/217</v>
      </c>
    </row>
    <row r="50" spans="1:5" ht="21.95" customHeight="1">
      <c r="A50" s="6" t="str">
        <f>"978-7-5086-6141-4"</f>
        <v>978-7-5086-6141-4</v>
      </c>
      <c r="B50" s="7" t="str">
        <f>"读懂新经济：战略图景与行动路径"</f>
        <v>读懂新经济：战略图景与行动路径</v>
      </c>
      <c r="C50" s="8" t="str">
        <f>"朱克力， 牛禄青主编"</f>
        <v>朱克力， 牛禄青主编</v>
      </c>
      <c r="D50" s="8" t="str">
        <f>"中信出版集团股份有限公司"</f>
        <v>中信出版集团股份有限公司</v>
      </c>
      <c r="E50" s="8" t="str">
        <f>"F12-53/45"</f>
        <v>F12-53/45</v>
      </c>
    </row>
    <row r="51" spans="1:5" ht="21.95" customHeight="1">
      <c r="A51" s="6" t="str">
        <f>"978-7-108-05674-0"</f>
        <v>978-7-108-05674-0</v>
      </c>
      <c r="B51" s="7" t="str">
        <f>"火枪与账簿：早期经济全球化时代的中国与东亚世界"</f>
        <v>火枪与账簿：早期经济全球化时代的中国与东亚世界</v>
      </c>
      <c r="C51" s="8" t="str">
        <f>"李伯重著"</f>
        <v>李伯重著</v>
      </c>
      <c r="D51" s="8" t="str">
        <f>"三联书店"</f>
        <v>三联书店</v>
      </c>
      <c r="E51" s="8" t="str">
        <f>"F131.04/12"</f>
        <v>F131.04/12</v>
      </c>
    </row>
    <row r="52" spans="1:5" ht="21.95" customHeight="1">
      <c r="A52" s="6" t="str">
        <f>"978-7-5426-6157-9"</f>
        <v>978-7-5426-6157-9</v>
      </c>
      <c r="B52" s="7" t="str">
        <f>"非洲经济评论．2017．2017"</f>
        <v>非洲经济评论．2017．2017</v>
      </c>
      <c r="C52" s="8" t="str">
        <f>"舒运国， 张忠祥， 刘伟才主编"</f>
        <v>舒运国， 张忠祥， 刘伟才主编</v>
      </c>
      <c r="D52" s="8" t="str">
        <f>"上海三联书店"</f>
        <v>上海三联书店</v>
      </c>
      <c r="E52" s="8" t="str">
        <f>"F14/4/2017"</f>
        <v>F14/4/2017</v>
      </c>
    </row>
    <row r="53" spans="1:5" ht="21.95" customHeight="1">
      <c r="A53" s="6" t="str">
        <f>"978-7-5596-1407-0"</f>
        <v>978-7-5596-1407-0</v>
      </c>
      <c r="B53" s="7" t="str">
        <f>"重启：打破思维局限的问题解决术"</f>
        <v>重启：打破思维局限的问题解决术</v>
      </c>
      <c r="C53" s="8" t="str">
        <f>"(日) 坂田直树著"</f>
        <v>(日) 坂田直树著</v>
      </c>
      <c r="D53" s="8" t="str">
        <f>"北京联合出版公司"</f>
        <v>北京联合出版公司</v>
      </c>
      <c r="E53" s="8" t="str">
        <f>"F2/31"</f>
        <v>F2/31</v>
      </c>
    </row>
    <row r="54" spans="1:5" ht="21.95" customHeight="1">
      <c r="A54" s="6" t="str">
        <f>"978-7-5086-8605-9"</f>
        <v>978-7-5086-8605-9</v>
      </c>
      <c r="B54" s="7" t="str">
        <f>"在线：数据改变商业本质+计算重塑经济未来"</f>
        <v>在线：数据改变商业本质+计算重塑经济未来</v>
      </c>
      <c r="C54" s="8" t="str">
        <f>"王坚著"</f>
        <v>王坚著</v>
      </c>
      <c r="D54" s="8" t="str">
        <f>"中信出版集团股份有限公司"</f>
        <v>中信出版集团股份有限公司</v>
      </c>
      <c r="E54" s="8" t="str">
        <f>"F224.0/157=2D"</f>
        <v>F224.0/157=2D</v>
      </c>
    </row>
    <row r="55" spans="1:5" ht="21.95" customHeight="1">
      <c r="A55" s="6" t="str">
        <f>"978-7-308-10473-9"</f>
        <v>978-7-308-10473-9</v>
      </c>
      <c r="B55" s="7" t="str">
        <f>"玩的就是会计：马靖昊带你玩转会计江湖"</f>
        <v>玩的就是会计：马靖昊带你玩转会计江湖</v>
      </c>
      <c r="C55" s="8" t="str">
        <f>"马靖昊著"</f>
        <v>马靖昊著</v>
      </c>
      <c r="D55" s="8" t="str">
        <f>"浙江大学出版社"</f>
        <v>浙江大学出版社</v>
      </c>
      <c r="E55" s="8" t="str">
        <f>"F230-49/3"</f>
        <v>F230-49/3</v>
      </c>
    </row>
    <row r="56" spans="1:5" ht="21.95" customHeight="1">
      <c r="A56" s="6" t="str">
        <f>"978-7-302-49070-8"</f>
        <v>978-7-302-49070-8</v>
      </c>
      <c r="B56" s="7" t="str">
        <f>"新手学会计实务"</f>
        <v>新手学会计实务</v>
      </c>
      <c r="C56" s="8" t="str">
        <f>"邱银春编著"</f>
        <v>邱银春编著</v>
      </c>
      <c r="D56" s="8" t="str">
        <f>"清华大学出版社"</f>
        <v>清华大学出版社</v>
      </c>
      <c r="E56" s="8" t="str">
        <f>"F233/67"</f>
        <v>F233/67</v>
      </c>
    </row>
    <row r="57" spans="1:5" ht="21.95" customHeight="1">
      <c r="A57" s="6" t="str">
        <f>"978-7-5086-7043-0"</f>
        <v>978-7-5086-7043-0</v>
      </c>
      <c r="B57" s="7" t="str">
        <f>"疯狂的天才：创业者必成指南"</f>
        <v>疯狂的天才：创业者必成指南</v>
      </c>
      <c r="C57" s="8" t="str">
        <f>"(美) 兰迪·盖奇著"</f>
        <v>(美) 兰迪·盖奇著</v>
      </c>
      <c r="D57" s="8" t="str">
        <f>"中信出版集团股份有限公司"</f>
        <v>中信出版集团股份有限公司</v>
      </c>
      <c r="E57" s="8" t="str">
        <f>"F241.4/4"</f>
        <v>F241.4/4</v>
      </c>
    </row>
    <row r="58" spans="1:5" ht="36.75" customHeight="1">
      <c r="A58" s="6" t="str">
        <f>"978-7-301-28436-0"</f>
        <v>978-7-301-28436-0</v>
      </c>
      <c r="B58" s="7" t="str">
        <f>"创业：行动胜于一切：take action， embrace uncertainty， and create the future"</f>
        <v>创业：行动胜于一切：take action， embrace uncertainty， and create the future</v>
      </c>
      <c r="C58" s="8" t="str">
        <f>"(美) 伦纳德·A. 施莱辛格， 查尔斯·F. 基弗， 保罗·B. 布朗著"</f>
        <v>(美) 伦纳德·A. 施莱辛格， 查尔斯·F. 基弗， 保罗·B. 布朗著</v>
      </c>
      <c r="D58" s="8" t="str">
        <f>"北京大学出版社"</f>
        <v>北京大学出版社</v>
      </c>
      <c r="E58" s="8" t="str">
        <f>"F241.4/6"</f>
        <v>F241.4/6</v>
      </c>
    </row>
    <row r="59" spans="1:5" ht="45" customHeight="1">
      <c r="A59" s="6" t="str">
        <f>"978-7-111-56411-9"</f>
        <v>978-7-111-56411-9</v>
      </c>
      <c r="B59" s="7" t="str">
        <f>"人力资源管理大数据：改变你吸引、猎取、培养和留住人才的方式：changing the way you attract， acquire， develop， and retain talent"</f>
        <v>人力资源管理大数据：改变你吸引、猎取、培养和留住人才的方式：changing the way you attract， acquire， develop， and retain talent</v>
      </c>
      <c r="C59" s="8" t="str">
        <f>"(美) 吉恩·保罗·艾森， 杰西 S.哈里奥特著"</f>
        <v>(美) 吉恩·保罗·艾森， 杰西 S.哈里奥特著</v>
      </c>
      <c r="D59" s="8" t="str">
        <f>"机械工业出版社"</f>
        <v>机械工业出版社</v>
      </c>
      <c r="E59" s="8" t="str">
        <f>"F243/33"</f>
        <v>F243/33</v>
      </c>
    </row>
    <row r="60" spans="1:5" ht="21.95" customHeight="1">
      <c r="A60" s="6" t="str">
        <f>"978-7-5086-5452-2"</f>
        <v>978-7-5086-5452-2</v>
      </c>
      <c r="B60" s="7" t="str">
        <f>"创新、工资与财富：为什么技术进步、财富增加， 你的工资却止步不前"</f>
        <v>创新、工资与财富：为什么技术进步、财富增加， 你的工资却止步不前</v>
      </c>
      <c r="C60" s="8" t="str">
        <f>"(美) 詹姆斯·贝森著"</f>
        <v>(美) 詹姆斯·贝森著</v>
      </c>
      <c r="D60" s="8" t="str">
        <f>"中信出版集团股份有限公司"</f>
        <v>中信出版集团股份有限公司</v>
      </c>
      <c r="E60" s="8" t="str">
        <f>"F244/14"</f>
        <v>F244/14</v>
      </c>
    </row>
    <row r="61" spans="1:5" ht="21.95" customHeight="1">
      <c r="A61" s="6" t="str">
        <f>"978-7-5086-8245-7"</f>
        <v>978-7-5086-8245-7</v>
      </c>
      <c r="B61" s="7" t="str">
        <f>"全球创猎者"</f>
        <v>全球创猎者</v>
      </c>
      <c r="C61" s="8" t="str">
        <f>"郝杰著"</f>
        <v>郝杰著</v>
      </c>
      <c r="D61" s="8" t="str">
        <f>"中信出版集团股份有限公司"</f>
        <v>中信出版集团股份有限公司</v>
      </c>
      <c r="E61" s="8" t="str">
        <f>"F249.214/15"</f>
        <v>F249.214/15</v>
      </c>
    </row>
    <row r="62" spans="1:5" ht="30" customHeight="1">
      <c r="A62" s="6" t="str">
        <f>"978-7-5096-4396-9"</f>
        <v>978-7-5096-4396-9</v>
      </c>
      <c r="B62" s="7" t="str">
        <f>"集成化物流协同管理：机理、体系与模式：mechanism， system and model"</f>
        <v>集成化物流协同管理：机理、体系与模式：mechanism， system and model</v>
      </c>
      <c r="C62" s="8" t="str">
        <f>"舒辉著"</f>
        <v>舒辉著</v>
      </c>
      <c r="D62" s="8" t="str">
        <f t="shared" ref="D62" si="4">"经济管理出版社"</f>
        <v>经济管理出版社</v>
      </c>
      <c r="E62" s="8" t="str">
        <f>"F252/595"</f>
        <v>F252/595</v>
      </c>
    </row>
    <row r="63" spans="1:5" ht="21.95" customHeight="1">
      <c r="A63" s="6" t="str">
        <f>"978-7-03-051385-4"</f>
        <v>978-7-03-051385-4</v>
      </c>
      <c r="B63" s="7" t="str">
        <f>"现代物流运输与调度"</f>
        <v>现代物流运输与调度</v>
      </c>
      <c r="C63" s="8" t="str">
        <f>"周晓蓉， 莫以为主编"</f>
        <v>周晓蓉， 莫以为主编</v>
      </c>
      <c r="D63" s="8" t="str">
        <f>"科学出版社"</f>
        <v>科学出版社</v>
      </c>
      <c r="E63" s="8" t="str">
        <f>"F252/597"</f>
        <v>F252/597</v>
      </c>
    </row>
    <row r="64" spans="1:5" ht="21.95" customHeight="1">
      <c r="A64" s="6" t="str">
        <f>"978-7-5096-4114-9"</f>
        <v>978-7-5096-4114-9</v>
      </c>
      <c r="B64" s="7" t="str">
        <f>"物流信息平台整合供应链资源模式"</f>
        <v>物流信息平台整合供应链资源模式</v>
      </c>
      <c r="C64" s="8" t="str">
        <f>"魏娟著"</f>
        <v>魏娟著</v>
      </c>
      <c r="D64" s="8" t="str">
        <f>"经济管理出版社"</f>
        <v>经济管理出版社</v>
      </c>
      <c r="E64" s="8" t="str">
        <f>"F253.9/47"</f>
        <v>F253.9/47</v>
      </c>
    </row>
    <row r="65" spans="1:5" ht="21.95" customHeight="1">
      <c r="A65" s="6" t="str">
        <f>"978-7-301-28820-7"</f>
        <v>978-7-301-28820-7</v>
      </c>
      <c r="B65" s="7" t="str">
        <f>"中国现代物流发展报告．2017．2017"</f>
        <v>中国现代物流发展报告．2017．2017</v>
      </c>
      <c r="C65" s="8" t="str">
        <f>"国家发展和改革委员会经济运行调节局， 南开大学现代物流研究中心主编"</f>
        <v>国家发展和改革委员会经济运行调节局， 南开大学现代物流研究中心主编</v>
      </c>
      <c r="D65" s="8" t="str">
        <f>"北京大学出版社"</f>
        <v>北京大学出版社</v>
      </c>
      <c r="E65" s="8" t="str">
        <f>"F259.22/33/2017"</f>
        <v>F259.22/33/2017</v>
      </c>
    </row>
    <row r="66" spans="1:5" ht="21.95" customHeight="1">
      <c r="A66" s="6" t="str">
        <f>"978-7-03-053651-8"</f>
        <v>978-7-03-053651-8</v>
      </c>
      <c r="B66" s="7" t="str">
        <f>"区域物流与区域经济协同发展研究：基于京津冀区域的实证研究"</f>
        <v>区域物流与区域经济协同发展研究：基于京津冀区域的实证研究</v>
      </c>
      <c r="C66" s="8" t="str">
        <f>"耿立艳著"</f>
        <v>耿立艳著</v>
      </c>
      <c r="D66" s="8" t="str">
        <f>"科学出版社"</f>
        <v>科学出版社</v>
      </c>
      <c r="E66" s="8" t="str">
        <f>"F259.272/1"</f>
        <v>F259.272/1</v>
      </c>
    </row>
    <row r="67" spans="1:5" ht="21.95" customHeight="1">
      <c r="A67" s="6" t="str">
        <f>"978-7-5096-5474-3"</f>
        <v>978-7-5096-5474-3</v>
      </c>
      <c r="B67" s="7" t="str">
        <f>"全球价值链与产业结构调整"</f>
        <v>全球价值链与产业结构调整</v>
      </c>
      <c r="C67" s="8" t="str">
        <f>"李强著"</f>
        <v>李强著</v>
      </c>
      <c r="D67" s="8" t="str">
        <f>"经济管理出版社"</f>
        <v>经济管理出版社</v>
      </c>
      <c r="E67" s="8" t="str">
        <f>"F269.24/9"</f>
        <v>F269.24/9</v>
      </c>
    </row>
    <row r="68" spans="1:5" ht="45" customHeight="1">
      <c r="A68" s="6" t="str">
        <f>"978-7-5096-5003-5"</f>
        <v>978-7-5096-5003-5</v>
      </c>
      <c r="B68" s="7" t="str">
        <f>"企业大脑：人工智能时代的全数字化转型：digital transformation in artificial intelligence era how to refactor business， management and system"</f>
        <v>企业大脑：人工智能时代的全数字化转型：digital transformation in artificial intelligence era how to refactor business， management and system</v>
      </c>
      <c r="C68" s="8" t="str">
        <f>"阮闯著"</f>
        <v>阮闯著</v>
      </c>
      <c r="D68" s="8" t="str">
        <f>"经济管理出版社"</f>
        <v>经济管理出版社</v>
      </c>
      <c r="E68" s="8" t="str">
        <f>"F270.7/194"</f>
        <v>F270.7/194</v>
      </c>
    </row>
    <row r="69" spans="1:5" ht="21.95" customHeight="1">
      <c r="A69" s="6" t="str">
        <f>"978-7-115-46450-7"</f>
        <v>978-7-115-46450-7</v>
      </c>
      <c r="B69" s="7" t="str">
        <f>"互联网企业薪酬管理"</f>
        <v>互联网企业薪酬管理</v>
      </c>
      <c r="C69" s="8" t="str">
        <f>"张颖著"</f>
        <v>张颖著</v>
      </c>
      <c r="D69" s="8" t="str">
        <f>"人民邮电出版社"</f>
        <v>人民邮电出版社</v>
      </c>
      <c r="E69" s="8" t="str">
        <f>"F272. 923/1"</f>
        <v>F272. 923/1</v>
      </c>
    </row>
    <row r="70" spans="1:5" ht="41.25" customHeight="1">
      <c r="A70" s="6" t="str">
        <f>"978-7-5096-4631-1"</f>
        <v>978-7-5096-4631-1</v>
      </c>
      <c r="B70" s="7" t="str">
        <f>"人文品牌：如何建立品牌与人、产品、公司之间的关系：how we relate to people， products， and companies"</f>
        <v>人文品牌：如何建立品牌与人、产品、公司之间的关系：how we relate to people， products， and companies</v>
      </c>
      <c r="C70" s="8" t="str">
        <f>"(美) 克里斯·马隆， 苏珊·T. 菲斯克著"</f>
        <v>(美) 克里斯·马隆， 苏珊·T. 菲斯克著</v>
      </c>
      <c r="D70" s="8" t="str">
        <f>"经济管理出版社"</f>
        <v>经济管理出版社</v>
      </c>
      <c r="E70" s="8" t="str">
        <f>"F272.1/17"</f>
        <v>F272.1/17</v>
      </c>
    </row>
    <row r="71" spans="1:5" ht="21.95" customHeight="1">
      <c r="A71" s="6" t="str">
        <f>"978-7-5086-8462-8"</f>
        <v>978-7-5086-8462-8</v>
      </c>
      <c r="B71" s="7" t="str">
        <f>"战略罗盘：新时代下持续增长的战略逻辑"</f>
        <v>战略罗盘：新时代下持续增长的战略逻辑</v>
      </c>
      <c r="C71" s="8" t="str">
        <f>"王成著"</f>
        <v>王成著</v>
      </c>
      <c r="D71" s="8" t="str">
        <f>"中信出版集团股份有限公司"</f>
        <v>中信出版集团股份有限公司</v>
      </c>
      <c r="E71" s="8" t="str">
        <f>"F272.1/18=2D"</f>
        <v>F272.1/18=2D</v>
      </c>
    </row>
    <row r="72" spans="1:5" ht="39" customHeight="1">
      <c r="A72" s="6" t="str">
        <f>"978-7-121-32472-7"</f>
        <v>978-7-121-32472-7</v>
      </c>
      <c r="B72" s="7" t="str">
        <f>"从创意到创业：写给创业者的指导手册：Gute Ideen Aus Dem Nichts Entwickeln"</f>
        <v>从创意到创业：写给创业者的指导手册：Gute Ideen Aus Dem Nichts Entwickeln</v>
      </c>
      <c r="C72" s="8" t="str">
        <f>"(德) 马修·莫克里奇著"</f>
        <v>(德) 马修·莫克里奇著</v>
      </c>
      <c r="D72" s="8" t="str">
        <f>"电子工业出版社"</f>
        <v>电子工业出版社</v>
      </c>
      <c r="E72" s="8" t="str">
        <f>"F272.2/23"</f>
        <v>F272.2/23</v>
      </c>
    </row>
    <row r="73" spans="1:5" ht="21.95" customHeight="1">
      <c r="A73" s="6" t="str">
        <f>"978-7-5096-5080-6"</f>
        <v>978-7-5096-5080-6</v>
      </c>
      <c r="B73" s="7" t="str">
        <f>"集雪资本"</f>
        <v>集雪资本</v>
      </c>
      <c r="C73" s="8" t="str">
        <f>"叶铠嘉著"</f>
        <v>叶铠嘉著</v>
      </c>
      <c r="D73" s="8" t="str">
        <f>"经济管理出版社"</f>
        <v>经济管理出版社</v>
      </c>
      <c r="E73" s="8" t="str">
        <f>"F272.3/120"</f>
        <v>F272.3/120</v>
      </c>
    </row>
    <row r="74" spans="1:5" ht="21.95" customHeight="1">
      <c r="A74" s="6" t="str">
        <f>"978-7-5096-4880-3"</f>
        <v>978-7-5096-4880-3</v>
      </c>
      <c r="B74" s="7" t="str">
        <f>"品牌危机管理"</f>
        <v>品牌危机管理</v>
      </c>
      <c r="C74" s="8" t="str">
        <f>"孙文清主编"</f>
        <v>孙文清主编</v>
      </c>
      <c r="D74" s="8" t="str">
        <f>"经济管理出版社"</f>
        <v>经济管理出版社</v>
      </c>
      <c r="E74" s="8" t="str">
        <f>"F272.3/121=2D"</f>
        <v>F272.3/121=2D</v>
      </c>
    </row>
    <row r="75" spans="1:5" ht="21.95" customHeight="1">
      <c r="A75" s="6" t="str">
        <f>"978-7-5086-5344-0"</f>
        <v>978-7-5086-5344-0</v>
      </c>
      <c r="B75" s="7" t="str">
        <f>"从趋势到行动：未来十年商业新生态+企业转型与变革之路"</f>
        <v>从趋势到行动：未来十年商业新生态+企业转型与变革之路</v>
      </c>
      <c r="C75" s="8" t="str">
        <f>"李政权著"</f>
        <v>李政权著</v>
      </c>
      <c r="D75" s="8" t="str">
        <f>"中信出版社"</f>
        <v>中信出版社</v>
      </c>
      <c r="E75" s="8" t="str">
        <f>"F272.7/26"</f>
        <v>F272.7/26</v>
      </c>
    </row>
    <row r="76" spans="1:5" ht="21.95" customHeight="1">
      <c r="A76" s="6" t="str">
        <f>"978-7-5086-5880-3"</f>
        <v>978-7-5086-5880-3</v>
      </c>
      <c r="B76" s="7" t="str">
        <f>"集成与分享释义：金融组织发展， 一般性企业管理应用"</f>
        <v>集成与分享释义：金融组织发展， 一般性企业管理应用</v>
      </c>
      <c r="C76" s="8" t="str">
        <f>"张继胜著"</f>
        <v>张继胜著</v>
      </c>
      <c r="D76" s="8" t="str">
        <f>"中信出版集团股份有限公司"</f>
        <v>中信出版集团股份有限公司</v>
      </c>
      <c r="E76" s="8" t="str">
        <f>"F272.9/402"</f>
        <v>F272.9/402</v>
      </c>
    </row>
    <row r="77" spans="1:5" ht="21.95" customHeight="1">
      <c r="A77" s="6" t="str">
        <f>"978-7-5086-7295-3"</f>
        <v>978-7-5086-7295-3</v>
      </c>
      <c r="B77" s="7" t="str">
        <f>"当老板， 就是让人人都想跟着你：带好一个团队必须完成的六大转变"</f>
        <v>当老板， 就是让人人都想跟着你：带好一个团队必须完成的六大转变</v>
      </c>
      <c r="C77" s="8" t="str">
        <f>"(美) 威廉·金特里著"</f>
        <v>(美) 威廉·金特里著</v>
      </c>
      <c r="D77" s="8" t="str">
        <f>"中信出版集团股份有限公司"</f>
        <v>中信出版集团股份有限公司</v>
      </c>
      <c r="E77" s="8" t="str">
        <f>"F272.91/464"</f>
        <v>F272.91/464</v>
      </c>
    </row>
    <row r="78" spans="1:5" ht="21.95" customHeight="1">
      <c r="A78" s="6" t="str">
        <f>"978-7-302-45836-4"</f>
        <v>978-7-302-45836-4</v>
      </c>
      <c r="B78" s="7" t="str">
        <f>"让员工跑起来：激励与授权的艺术：精华版"</f>
        <v>让员工跑起来：激励与授权的艺术：精华版</v>
      </c>
      <c r="C78" s="8" t="str">
        <f>"岳阳著"</f>
        <v>岳阳著</v>
      </c>
      <c r="D78" s="8" t="str">
        <f>"清华大学出版社"</f>
        <v>清华大学出版社</v>
      </c>
      <c r="E78" s="8" t="str">
        <f>"F272.92/1315"</f>
        <v>F272.92/1315</v>
      </c>
    </row>
    <row r="79" spans="1:5" ht="21.95" customHeight="1">
      <c r="A79" s="6" t="str">
        <f>"978-7-115-48083-5"</f>
        <v>978-7-115-48083-5</v>
      </c>
      <c r="B79" s="7" t="str">
        <f>"企业年度人力资源管理计划与实施细节：实战精华版"</f>
        <v>企业年度人力资源管理计划与实施细节：实战精华版</v>
      </c>
      <c r="C79" s="8" t="str">
        <f>"唐政主编"</f>
        <v>唐政主编</v>
      </c>
      <c r="D79" s="8" t="str">
        <f>"人民邮电出版社"</f>
        <v>人民邮电出版社</v>
      </c>
      <c r="E79" s="8" t="str">
        <f>"F272.92/1316"</f>
        <v>F272.92/1316</v>
      </c>
    </row>
    <row r="80" spans="1:5" ht="21.95" customHeight="1">
      <c r="A80" s="6" t="str">
        <f>"978-7-5551-0783-5"</f>
        <v>978-7-5551-0783-5</v>
      </c>
      <c r="B80" s="7" t="str">
        <f>"创业， 请从会用人开始"</f>
        <v>创业， 请从会用人开始</v>
      </c>
      <c r="C80" s="8" t="str">
        <f>"Lisa著"</f>
        <v>Lisa著</v>
      </c>
      <c r="D80" s="8" t="str">
        <f>"广西科学技术出版社"</f>
        <v>广西科学技术出版社</v>
      </c>
      <c r="E80" s="8" t="str">
        <f>"F272.92/1317"</f>
        <v>F272.92/1317</v>
      </c>
    </row>
    <row r="81" spans="1:5" ht="33.75" customHeight="1">
      <c r="A81" s="6" t="str">
        <f>"978-7-5096-4771-4"</f>
        <v>978-7-5096-4771-4</v>
      </c>
      <c r="B81" s="7" t="str">
        <f>"大国工匠：寻找中国缺失的工匠精神：the quest for China's missing craftsmanship spirit"</f>
        <v>大国工匠：寻找中国缺失的工匠精神：the quest for China's missing craftsmanship spirit</v>
      </c>
      <c r="C81" s="8" t="str">
        <f>"杨乔雅著"</f>
        <v>杨乔雅著</v>
      </c>
      <c r="D81" s="8" t="str">
        <f>"经济管理出版社"</f>
        <v>经济管理出版社</v>
      </c>
      <c r="E81" s="8" t="str">
        <f>"F272.92/1318"</f>
        <v>F272.92/1318</v>
      </c>
    </row>
    <row r="82" spans="1:5" ht="21.95" customHeight="1">
      <c r="A82" s="6" t="str">
        <f>"978-7-5086-7284-7"</f>
        <v>978-7-5086-7284-7</v>
      </c>
      <c r="B82" s="7" t="str">
        <f>"让问题到你为止"</f>
        <v>让问题到你为止</v>
      </c>
      <c r="C82" s="8" t="str">
        <f>"(美) 博恩·崔西著"</f>
        <v>(美) 博恩·崔西著</v>
      </c>
      <c r="D82" s="8" t="str">
        <f>"中信出版集团股份有限公司"</f>
        <v>中信出版集团股份有限公司</v>
      </c>
      <c r="E82" s="8" t="str">
        <f>"F272.92/1319=2D"</f>
        <v>F272.92/1319=2D</v>
      </c>
    </row>
    <row r="83" spans="1:5" ht="21.95" customHeight="1">
      <c r="A83" s="6" t="str">
        <f>"978-7-5086-8122-1"</f>
        <v>978-7-5086-8122-1</v>
      </c>
      <c r="B83" s="7" t="str">
        <f>"新员工的差距是怎样拉开的"</f>
        <v>新员工的差距是怎样拉开的</v>
      </c>
      <c r="C83" s="8" t="str">
        <f>"(日) 千田琢哉著"</f>
        <v>(日) 千田琢哉著</v>
      </c>
      <c r="D83" s="8" t="str">
        <f>"中信出版集团股份有限公司"</f>
        <v>中信出版集团股份有限公司</v>
      </c>
      <c r="E83" s="8" t="str">
        <f>"F272.92/1320"</f>
        <v>F272.92/1320</v>
      </c>
    </row>
    <row r="84" spans="1:5" ht="21.95" customHeight="1">
      <c r="A84" s="6" t="str">
        <f>"978-7-115-47152-9"</f>
        <v>978-7-115-47152-9</v>
      </c>
      <c r="B84" s="7" t="str">
        <f>"人力资源管理心法与实战：经营人才、激活价值"</f>
        <v>人力资源管理心法与实战：经营人才、激活价值</v>
      </c>
      <c r="C84" s="8" t="str">
        <f>"苏华著"</f>
        <v>苏华著</v>
      </c>
      <c r="D84" s="8" t="str">
        <f>"人民邮电出版社"</f>
        <v>人民邮电出版社</v>
      </c>
      <c r="E84" s="8" t="str">
        <f>"F272.92/1321"</f>
        <v>F272.92/1321</v>
      </c>
    </row>
    <row r="85" spans="1:5" ht="21.95" customHeight="1">
      <c r="A85" s="6" t="str">
        <f>"978-7-5086-7416-2"</f>
        <v>978-7-5086-7416-2</v>
      </c>
      <c r="B85" s="7" t="str">
        <f>"非上市公司股权激励实操手册"</f>
        <v>非上市公司股权激励实操手册</v>
      </c>
      <c r="C85" s="8" t="str">
        <f>"单海洋著"</f>
        <v>单海洋著</v>
      </c>
      <c r="D85" s="8" t="str">
        <f>"中信出版集团股份有限公司"</f>
        <v>中信出版集团股份有限公司</v>
      </c>
      <c r="E85" s="8" t="str">
        <f>"F272.923/7"</f>
        <v>F272.923/7</v>
      </c>
    </row>
    <row r="86" spans="1:5" ht="21.95" customHeight="1">
      <c r="A86" s="6" t="str">
        <f>"978-7-111-58730-9"</f>
        <v>978-7-111-58730-9</v>
      </c>
      <c r="B86" s="7" t="str">
        <f>"平台垄断：主导21世纪经济的力量"</f>
        <v>平台垄断：主导21世纪经济的力量</v>
      </c>
      <c r="C86" s="8" t="str">
        <f>"(美) 亚历克斯·莫塞德， 尼古拉斯 L.约翰逊著"</f>
        <v>(美) 亚历克斯·莫塞德， 尼古拉斯 L.约翰逊著</v>
      </c>
      <c r="D86" s="8" t="str">
        <f>"机械工业出版社"</f>
        <v>机械工业出版社</v>
      </c>
      <c r="E86" s="8" t="str">
        <f>"F272/232"</f>
        <v>F272/232</v>
      </c>
    </row>
    <row r="87" spans="1:5" ht="21.95" customHeight="1">
      <c r="A87" s="6" t="str">
        <f>"978-7-5095-7037-1"</f>
        <v>978-7-5095-7037-1</v>
      </c>
      <c r="B87" s="7" t="str">
        <f>"速败制胜：新创企业的高效成长法则"</f>
        <v>速败制胜：新创企业的高效成长法则</v>
      </c>
      <c r="C87" s="8" t="str">
        <f>"(美) 伯恩哈德·施罗德著"</f>
        <v>(美) 伯恩哈德·施罗德著</v>
      </c>
      <c r="D87" s="8" t="str">
        <f>"中国财政经济出版社"</f>
        <v>中国财政经济出版社</v>
      </c>
      <c r="E87" s="8" t="str">
        <f>"F272/233"</f>
        <v>F272/233</v>
      </c>
    </row>
    <row r="88" spans="1:5" ht="21.95" customHeight="1">
      <c r="A88" s="6" t="str">
        <f>"978-7-5096-4796-7"</f>
        <v>978-7-5096-4796-7</v>
      </c>
      <c r="B88" s="7" t="str">
        <f>"企业常青的十七堂课：管理创新与效能"</f>
        <v>企业常青的十七堂课：管理创新与效能</v>
      </c>
      <c r="C88" s="8" t="str">
        <f>"丘磐著"</f>
        <v>丘磐著</v>
      </c>
      <c r="D88" s="8" t="str">
        <f>"经济管理出版社"</f>
        <v>经济管理出版社</v>
      </c>
      <c r="E88" s="8" t="str">
        <f>"F272/234"</f>
        <v>F272/234</v>
      </c>
    </row>
    <row r="89" spans="1:5" ht="42" customHeight="1">
      <c r="A89" s="6" t="str">
        <f>"978-7-5086-7143-7"</f>
        <v>978-7-5086-7143-7</v>
      </c>
      <c r="B89" s="7" t="str">
        <f>"敏捷革命：提升个人创造力与企业效率的全新协作模式：the art of doing twice the work in half the time"</f>
        <v>敏捷革命：提升个人创造力与企业效率的全新协作模式：the art of doing twice the work in half the time</v>
      </c>
      <c r="C89" s="8" t="str">
        <f>"(美) 杰夫·萨瑟兰著"</f>
        <v>(美) 杰夫·萨瑟兰著</v>
      </c>
      <c r="D89" s="8" t="str">
        <f t="shared" ref="D89:D91" si="5">"中信出版集团股份有限公司"</f>
        <v>中信出版集团股份有限公司</v>
      </c>
      <c r="E89" s="8" t="str">
        <f>"F272/235"</f>
        <v>F272/235</v>
      </c>
    </row>
    <row r="90" spans="1:5" ht="37.5" customHeight="1">
      <c r="A90" s="6" t="str">
        <f>"978-7-5086-7909-9"</f>
        <v>978-7-5086-7909-9</v>
      </c>
      <c r="B90" s="7" t="str">
        <f>"OKR工作法：谷歌、领英等顶级公司的高绩效秘籍：achieving your most important goals with objectives and key results"</f>
        <v>OKR工作法：谷歌、领英等顶级公司的高绩效秘籍：achieving your most important goals with objectives and key results</v>
      </c>
      <c r="C90" s="8" t="str">
        <f>"(美) 克里斯蒂娜·沃特克著著"</f>
        <v>(美) 克里斯蒂娜·沃特克著著</v>
      </c>
      <c r="D90" s="8" t="str">
        <f t="shared" si="5"/>
        <v>中信出版集团股份有限公司</v>
      </c>
      <c r="E90" s="8" t="str">
        <f>"F272/236"</f>
        <v>F272/236</v>
      </c>
    </row>
    <row r="91" spans="1:5" ht="21.95" customHeight="1">
      <c r="A91" s="6" t="str">
        <f>"978-7-5086-7809-2"</f>
        <v>978-7-5086-7809-2</v>
      </c>
      <c r="B91" s="7" t="str">
        <f>"格鲁夫给经理人的第一课：英特尔创始人自述"</f>
        <v>格鲁夫给经理人的第一课：英特尔创始人自述</v>
      </c>
      <c r="C91" s="8" t="str">
        <f>"(美) 安迪·格鲁夫著"</f>
        <v>(美) 安迪·格鲁夫著</v>
      </c>
      <c r="D91" s="8" t="str">
        <f t="shared" si="5"/>
        <v>中信出版集团股份有限公司</v>
      </c>
      <c r="E91" s="8" t="str">
        <f>"F272/237"</f>
        <v>F272/237</v>
      </c>
    </row>
    <row r="92" spans="1:5" ht="35.25" customHeight="1">
      <c r="A92" s="6" t="str">
        <f>"978-7-5096-4972-5"</f>
        <v>978-7-5096-4972-5</v>
      </c>
      <c r="B92" s="7" t="str">
        <f>"企业社会责任议题管理：理论建构与实践探索：theory development and practice exploration"</f>
        <v>企业社会责任议题管理：理论建构与实践探索：theory development and practice exploration</v>
      </c>
      <c r="C92" s="8" t="str">
        <f>"肖红军著"</f>
        <v>肖红军著</v>
      </c>
      <c r="D92" s="8" t="str">
        <f>"经济管理出版社"</f>
        <v>经济管理出版社</v>
      </c>
      <c r="E92" s="8" t="str">
        <f>"F272-05/26"</f>
        <v>F272-05/26</v>
      </c>
    </row>
    <row r="93" spans="1:5" ht="21.95" customHeight="1">
      <c r="A93" s="6" t="str">
        <f>"978-7-5086-6438-5"</f>
        <v>978-7-5086-6438-5</v>
      </c>
      <c r="B93" s="7" t="str">
        <f>"公司合作文化：基于博弈论的解析"</f>
        <v>公司合作文化：基于博弈论的解析</v>
      </c>
      <c r="C93" s="8" t="str">
        <f>"王梓木著"</f>
        <v>王梓木著</v>
      </c>
      <c r="D93" s="8" t="str">
        <f>"中信出版集团股份有限公司"</f>
        <v>中信出版集团股份有限公司</v>
      </c>
      <c r="E93" s="8" t="str">
        <f>"F272-05/27"</f>
        <v>F272-05/27</v>
      </c>
    </row>
    <row r="94" spans="1:5" ht="21.95" customHeight="1">
      <c r="A94" s="6" t="str">
        <f>"978-7-5096-5449-1"</f>
        <v>978-7-5096-5449-1</v>
      </c>
      <c r="B94" s="7" t="str">
        <f>"企业社会责任最新文献导读：2014-2015：2014-2015"</f>
        <v>企业社会责任最新文献导读：2014-2015：2014-2015</v>
      </c>
      <c r="C94" s="8" t="str">
        <f>"肖红军， 李伟阳， 郑若娟编译"</f>
        <v>肖红军， 李伟阳， 郑若娟编译</v>
      </c>
      <c r="D94" s="8" t="str">
        <f>"经济管理出版社"</f>
        <v>经济管理出版社</v>
      </c>
      <c r="E94" s="8" t="str">
        <f>"F272-05/28"</f>
        <v>F272-05/28</v>
      </c>
    </row>
    <row r="95" spans="1:5" ht="21.95" customHeight="1">
      <c r="A95" s="6" t="str">
        <f>"978-7-5086-8872-5"</f>
        <v>978-7-5086-8872-5</v>
      </c>
      <c r="B95" s="7" t="str">
        <f>"不东"</f>
        <v>不东</v>
      </c>
      <c r="C95" s="8" t="str">
        <f>"文厨著"</f>
        <v>文厨著</v>
      </c>
      <c r="D95" s="8" t="str">
        <f>"中信出版集团股份有限公司"</f>
        <v>中信出版集团股份有限公司</v>
      </c>
      <c r="E95" s="8" t="str">
        <f>"F272-49/10"</f>
        <v>F272-49/10</v>
      </c>
    </row>
    <row r="96" spans="1:5" ht="21.95" customHeight="1">
      <c r="A96" s="6" t="str">
        <f>"978-7-301-28416-2"</f>
        <v>978-7-301-28416-2</v>
      </c>
      <c r="B96" s="7" t="str">
        <f>"创新的科学与文化：一段苏格拉底式的旅行：a socratic journey"</f>
        <v>创新的科学与文化：一段苏格拉底式的旅行：a socratic journey</v>
      </c>
      <c r="C96" s="8" t="str">
        <f>"(美) 杰·饶， (西) 弗兰·川著"</f>
        <v>(美) 杰·饶， (西) 弗兰·川著</v>
      </c>
      <c r="D96" s="8" t="str">
        <f>"北京大学出版社"</f>
        <v>北京大学出版社</v>
      </c>
      <c r="E96" s="8" t="str">
        <f>"F273.1/84"</f>
        <v>F273.1/84</v>
      </c>
    </row>
    <row r="97" spans="1:5" ht="21.95" customHeight="1">
      <c r="A97" s="6" t="str">
        <f>"978-7-5096-5050-9"</f>
        <v>978-7-5096-5050-9</v>
      </c>
      <c r="B97" s="7" t="str">
        <f>"现代品牌建设与管理"</f>
        <v>现代品牌建设与管理</v>
      </c>
      <c r="C97" s="8" t="str">
        <f>"(美) 约翰尼·K.约翰逊， 库尔特·A.卡尔森著"</f>
        <v>(美) 约翰尼·K.约翰逊， 库尔特·A.卡尔森著</v>
      </c>
      <c r="D97" s="8" t="str">
        <f t="shared" ref="D97:D104" si="6">"经济管理出版社"</f>
        <v>经济管理出版社</v>
      </c>
      <c r="E97" s="8" t="str">
        <f>"F273.2/432"</f>
        <v>F273.2/432</v>
      </c>
    </row>
    <row r="98" spans="1:5" ht="36.75" customHeight="1">
      <c r="A98" s="6" t="str">
        <f>"978-7-5096-5217-6"</f>
        <v>978-7-5096-5217-6</v>
      </c>
      <c r="B98" s="7" t="str">
        <f>"建设优质品牌：品牌战略与标识发展的全面指南：a comprehensive guide to brand strategy and identity development"</f>
        <v>建设优质品牌：品牌战略与标识发展的全面指南：a comprehensive guide to brand strategy and identity development</v>
      </c>
      <c r="C98" s="8" t="str">
        <f>"(美) 斯科特·勒曼著"</f>
        <v>(美) 斯科特·勒曼著</v>
      </c>
      <c r="D98" s="8" t="str">
        <f t="shared" si="6"/>
        <v>经济管理出版社</v>
      </c>
      <c r="E98" s="8" t="str">
        <f>"F273.2/433"</f>
        <v>F273.2/433</v>
      </c>
    </row>
    <row r="99" spans="1:5" ht="39.75" customHeight="1">
      <c r="A99" s="6" t="str">
        <f>"978-7-5096-5040-0"</f>
        <v>978-7-5096-5040-0</v>
      </c>
      <c r="B99" s="7" t="str">
        <f>"品牌弹性：高速增长时代的风险管理与价值恢复：managing risk and recovery in a high-speed world"</f>
        <v>品牌弹性：高速增长时代的风险管理与价值恢复：managing risk and recovery in a high-speed world</v>
      </c>
      <c r="C99" s="8" t="str">
        <f>"(美) 乔纳森·R.卡普斯基著"</f>
        <v>(美) 乔纳森·R.卡普斯基著</v>
      </c>
      <c r="D99" s="8" t="str">
        <f t="shared" si="6"/>
        <v>经济管理出版社</v>
      </c>
      <c r="E99" s="8" t="str">
        <f>"F273.2/434"</f>
        <v>F273.2/434</v>
      </c>
    </row>
    <row r="100" spans="1:5" ht="39" customHeight="1">
      <c r="A100" s="6" t="str">
        <f>"978-7-5096-5433-0"</f>
        <v>978-7-5096-5433-0</v>
      </c>
      <c r="B100" s="7" t="str">
        <f>"品牌挑战：行业品牌建设责任：adapting branding to sectorial imperatives"</f>
        <v>品牌挑战：行业品牌建设责任：adapting branding to sectorial imperatives</v>
      </c>
      <c r="C100" s="8" t="str">
        <f>"(英) 卡迪科亚·康佩拉编"</f>
        <v>(英) 卡迪科亚·康佩拉编</v>
      </c>
      <c r="D100" s="8" t="str">
        <f t="shared" si="6"/>
        <v>经济管理出版社</v>
      </c>
      <c r="E100" s="8" t="str">
        <f>"F273.2/435"</f>
        <v>F273.2/435</v>
      </c>
    </row>
    <row r="101" spans="1:5" ht="34.5" customHeight="1">
      <c r="A101" s="6" t="str">
        <f>"978-7-5096-4613-7"</f>
        <v>978-7-5096-4613-7</v>
      </c>
      <c r="B101" s="7" t="str">
        <f>"品牌力：世界级品牌管理艺术：leveraging the success of the world's best brands"</f>
        <v>品牌力：世界级品牌管理艺术：leveraging the success of the world's best brands</v>
      </c>
      <c r="C101" s="8" t="str">
        <f>"(美) 史蒂夫·麦基著"</f>
        <v>(美) 史蒂夫·麦基著</v>
      </c>
      <c r="D101" s="8" t="str">
        <f t="shared" si="6"/>
        <v>经济管理出版社</v>
      </c>
      <c r="E101" s="8" t="str">
        <f>"F273.2/436"</f>
        <v>F273.2/436</v>
      </c>
    </row>
    <row r="102" spans="1:5" ht="21.95" customHeight="1">
      <c r="A102" s="6" t="str">
        <f>"978-7-5096-4956-5"</f>
        <v>978-7-5096-4956-5</v>
      </c>
      <c r="B102" s="7" t="str">
        <f>"产品文案一本通"</f>
        <v>产品文案一本通</v>
      </c>
      <c r="C102" s="8" t="str">
        <f>"李笑主编"</f>
        <v>李笑主编</v>
      </c>
      <c r="D102" s="8" t="str">
        <f t="shared" si="6"/>
        <v>经济管理出版社</v>
      </c>
      <c r="E102" s="8" t="str">
        <f>"F273.2/437"</f>
        <v>F273.2/437</v>
      </c>
    </row>
    <row r="103" spans="1:5" ht="47.25" customHeight="1">
      <c r="A103" s="6" t="str">
        <f>"978-7-5096-5338-8"</f>
        <v>978-7-5096-5338-8</v>
      </c>
      <c r="B103" s="7" t="str">
        <f>"品牌创新：伟大的品牌如何建设、推出新产品、新服务和新商业模式：how great brands invent and launch new products， services， and business models"</f>
        <v>品牌创新：伟大的品牌如何建设、推出新产品、新服务和新商业模式：how great brands invent and launch new products， services， and business models</v>
      </c>
      <c r="C103" s="8" t="str">
        <f>"(美) G.迈克尔·马多克， 路易莎·C.尤里亚特， 保罗·B.布朗著"</f>
        <v>(美) G.迈克尔·马多克， 路易莎·C.尤里亚特， 保罗·B.布朗著</v>
      </c>
      <c r="D103" s="8" t="str">
        <f t="shared" si="6"/>
        <v>经济管理出版社</v>
      </c>
      <c r="E103" s="8" t="str">
        <f>"F273.2/438"</f>
        <v>F273.2/438</v>
      </c>
    </row>
    <row r="104" spans="1:5" ht="21.95" customHeight="1">
      <c r="A104" s="6" t="str">
        <f>"978-7-5096-4027-2"</f>
        <v>978-7-5096-4027-2</v>
      </c>
      <c r="B104" s="7" t="str">
        <f>"无形资产评估案例"</f>
        <v>无形资产评估案例</v>
      </c>
      <c r="C104" s="8" t="str">
        <f>"余炳文著"</f>
        <v>余炳文著</v>
      </c>
      <c r="D104" s="8" t="str">
        <f t="shared" si="6"/>
        <v>经济管理出版社</v>
      </c>
      <c r="E104" s="8" t="str">
        <f>"F273.4/99"</f>
        <v>F273.4/99</v>
      </c>
    </row>
    <row r="105" spans="1:5" ht="21.95" customHeight="1">
      <c r="A105" s="6" t="str">
        <f>"978-7-5086-4956-6"</f>
        <v>978-7-5086-4956-6</v>
      </c>
      <c r="B105" s="7" t="str">
        <f>"全民营销：如何用互联网思维做好口碑传播"</f>
        <v>全民营销：如何用互联网思维做好口碑传播</v>
      </c>
      <c r="C105" s="8" t="str">
        <f>"陈亮途著"</f>
        <v>陈亮途著</v>
      </c>
      <c r="D105" s="8" t="str">
        <f>"中信出版社"</f>
        <v>中信出版社</v>
      </c>
      <c r="E105" s="8" t="str">
        <f>"F274/818"</f>
        <v>F274/818</v>
      </c>
    </row>
    <row r="106" spans="1:5" ht="21.95" customHeight="1">
      <c r="A106" s="6" t="str">
        <f>"978-7-5057-4316-8"</f>
        <v>978-7-5057-4316-8</v>
      </c>
      <c r="B106" s="7" t="str">
        <f>"超级吸金术：透析客户心理的运营实战秘笈"</f>
        <v>超级吸金术：透析客户心理的运营实战秘笈</v>
      </c>
      <c r="C106" s="8" t="str">
        <f>"成智大兵著"</f>
        <v>成智大兵著</v>
      </c>
      <c r="D106" s="8" t="str">
        <f>"中国友谊出版公司"</f>
        <v>中国友谊出版公司</v>
      </c>
      <c r="E106" s="8" t="str">
        <f>"F274/819"</f>
        <v>F274/819</v>
      </c>
    </row>
    <row r="107" spans="1:5" ht="32.25" customHeight="1">
      <c r="A107" s="6" t="str">
        <f>"978-7-5086-7424-7"</f>
        <v>978-7-5086-7424-7</v>
      </c>
      <c r="B107" s="7" t="str">
        <f>"商业服务设计新生代：优化客户体验实用指南：a practical guide to optimizing the customer experience"</f>
        <v>商业服务设计新生代：优化客户体验实用指南：a practical guide to optimizing the customer experience</v>
      </c>
      <c r="C107" s="8" t="str">
        <f>"(美) 本·里森， 拉夫朗斯·乐维亚， 梅尔文·布兰德·弗吕著"</f>
        <v>(美) 本·里森， 拉夫朗斯·乐维亚， 梅尔文·布兰德·弗吕著</v>
      </c>
      <c r="D107" s="8" t="str">
        <f>"中信出版集团股份有限公司"</f>
        <v>中信出版集团股份有限公司</v>
      </c>
      <c r="E107" s="8" t="str">
        <f>"F274/820"</f>
        <v>F274/820</v>
      </c>
    </row>
    <row r="108" spans="1:5" ht="21.95" customHeight="1">
      <c r="A108" s="6" t="str">
        <f>"978-7-5086-5983-1"</f>
        <v>978-7-5086-5983-1</v>
      </c>
      <c r="B108" s="7" t="str">
        <f>"新营销 新模式：15家全球顶级企业如何应对营销新变革"</f>
        <v>新营销 新模式：15家全球顶级企业如何应对营销新变革</v>
      </c>
      <c r="C108" s="8" t="str">
        <f>"(美) 尼克·约翰逊著"</f>
        <v>(美) 尼克·约翰逊著</v>
      </c>
      <c r="D108" s="8" t="str">
        <f>"中信出版集团股份有限公司"</f>
        <v>中信出版集团股份有限公司</v>
      </c>
      <c r="E108" s="8" t="str">
        <f>"F274/821"</f>
        <v>F274/821</v>
      </c>
    </row>
    <row r="109" spans="1:5" ht="21.95" customHeight="1">
      <c r="A109" s="6" t="str">
        <f>"978-7-302-49875-9"</f>
        <v>978-7-302-49875-9</v>
      </c>
      <c r="B109" s="7" t="str">
        <f>"数字化客户管理：数据智能时代如何洞察、连接、转化和赢得价值客户"</f>
        <v>数字化客户管理：数据智能时代如何洞察、连接、转化和赢得价值客户</v>
      </c>
      <c r="C109" s="8" t="str">
        <f>"史雁军著"</f>
        <v>史雁军著</v>
      </c>
      <c r="D109" s="8" t="str">
        <f>"清华大学出版社"</f>
        <v>清华大学出版社</v>
      </c>
      <c r="E109" s="8" t="str">
        <f>"F274-39/23"</f>
        <v>F274-39/23</v>
      </c>
    </row>
    <row r="110" spans="1:5" ht="21.95" customHeight="1">
      <c r="A110" s="6" t="str">
        <f>"978-7-115-44859-0"</f>
        <v>978-7-115-44859-0</v>
      </c>
      <c r="B110" s="7" t="str">
        <f>"精益企业之成本管理实战：图解版"</f>
        <v>精益企业之成本管理实战：图解版</v>
      </c>
      <c r="C110" s="8" t="str">
        <f>"朱丽娜， 代春雷编著"</f>
        <v>朱丽娜， 代春雷编著</v>
      </c>
      <c r="D110" s="8" t="str">
        <f>"人民邮电出版社"</f>
        <v>人民邮电出版社</v>
      </c>
      <c r="E110" s="8" t="str">
        <f>"F275.3/105"</f>
        <v>F275.3/105</v>
      </c>
    </row>
    <row r="111" spans="1:5" ht="21.95" customHeight="1">
      <c r="A111" s="6" t="str">
        <f>"978-7-302-48487-5"</f>
        <v>978-7-302-48487-5</v>
      </c>
      <c r="B111" s="7" t="str">
        <f>"财务管理：理论与实践：theory and practice"</f>
        <v>财务管理：理论与实践：theory and practice</v>
      </c>
      <c r="C111" s="8" t="str">
        <f>"(美) 尤金·F.布里格姆， 迈克尔·C.埃哈特著"</f>
        <v>(美) 尤金·F.布里格姆， 迈克尔·C.埃哈特著</v>
      </c>
      <c r="D111" s="8" t="str">
        <f>"清华大学出版社"</f>
        <v>清华大学出版社</v>
      </c>
      <c r="E111" s="8" t="str">
        <f>"F275/598"</f>
        <v>F275/598</v>
      </c>
    </row>
    <row r="112" spans="1:5" ht="21.95" customHeight="1">
      <c r="A112" s="6" t="str">
        <f>"978-7-5454-4149-9"</f>
        <v>978-7-5454-4149-9</v>
      </c>
      <c r="B112" s="7" t="str">
        <f>"微创新：互联网时代中小企业经营之道"</f>
        <v>微创新：互联网时代中小企业经营之道</v>
      </c>
      <c r="C112" s="8" t="str">
        <f>"林汶奎著"</f>
        <v>林汶奎著</v>
      </c>
      <c r="D112" s="8" t="str">
        <f>"广东经济出版社"</f>
        <v>广东经济出版社</v>
      </c>
      <c r="E112" s="8" t="str">
        <f>"F276.3-39/4"</f>
        <v>F276.3-39/4</v>
      </c>
    </row>
    <row r="113" spans="1:5" ht="21.95" customHeight="1">
      <c r="A113" s="6" t="str">
        <f>"978-7-5177-0187-3"</f>
        <v>978-7-5177-0187-3</v>
      </c>
      <c r="B113" s="7" t="str">
        <f>"中国企业发展报告．2018．2018"</f>
        <v>中国企业发展报告．2018．2018</v>
      </c>
      <c r="C113" s="8" t="str">
        <f>"国务院发展研究中心企业研究所"</f>
        <v>国务院发展研究中心企业研究所</v>
      </c>
      <c r="D113" s="8" t="str">
        <f>"中国发展出版社"</f>
        <v>中国发展出版社</v>
      </c>
      <c r="E113" s="8" t="str">
        <f>"F279.2/130/2018"</f>
        <v>F279.2/130/2018</v>
      </c>
    </row>
    <row r="114" spans="1:5" ht="36.75" customHeight="1">
      <c r="A114" s="6" t="str">
        <f>"978-7-5096-4947-3"</f>
        <v>978-7-5096-4947-3</v>
      </c>
      <c r="B114" s="7" t="str">
        <f>"中国印：企业品牌价值评价标准体系：standardization system of enterprise brand value evaluation"</f>
        <v>中国印：企业品牌价值评价标准体系：standardization system of enterprise brand value evaluation</v>
      </c>
      <c r="C114" s="8" t="str">
        <f>"中国市场学会品牌管理专业委员会， 中品国际编著"</f>
        <v>中国市场学会品牌管理专业委员会， 中品国际编著</v>
      </c>
      <c r="D114" s="8" t="str">
        <f>"经济管理出版社"</f>
        <v>经济管理出版社</v>
      </c>
      <c r="E114" s="8" t="str">
        <f>"F279.23-65/5"</f>
        <v>F279.23-65/5</v>
      </c>
    </row>
    <row r="115" spans="1:5" ht="21.95" customHeight="1">
      <c r="A115" s="6" t="str">
        <f>"978-7-5086-7801-6"</f>
        <v>978-7-5086-7801-6</v>
      </c>
      <c r="B115" s="7" t="str">
        <f>"笃行致远"</f>
        <v>笃行致远</v>
      </c>
      <c r="C115" s="8" t="str">
        <f>"宋志平著"</f>
        <v>宋志平著</v>
      </c>
      <c r="D115" s="8" t="str">
        <f>"中信出版集团股份有限公司"</f>
        <v>中信出版集团股份有限公司</v>
      </c>
      <c r="E115" s="8" t="str">
        <f>"F279.241/115"</f>
        <v>F279.241/115</v>
      </c>
    </row>
    <row r="116" spans="1:5" ht="21.95" customHeight="1">
      <c r="A116" s="6" t="str">
        <f>"978-7-5096-5411-8"</f>
        <v>978-7-5096-5411-8</v>
      </c>
      <c r="B116" s="7" t="str">
        <f>"空间视角的中小企业发展环境比较研究"</f>
        <v>空间视角的中小企业发展环境比较研究</v>
      </c>
      <c r="C116" s="8" t="str">
        <f>"崔到陵著"</f>
        <v>崔到陵著</v>
      </c>
      <c r="D116" s="8" t="str">
        <f>"经济管理出版社"</f>
        <v>经济管理出版社</v>
      </c>
      <c r="E116" s="8" t="str">
        <f>"F279.243/103"</f>
        <v>F279.243/103</v>
      </c>
    </row>
    <row r="117" spans="1:5" ht="21.95" customHeight="1">
      <c r="A117" s="6" t="str">
        <f>"978-7-301-28826-9"</f>
        <v>978-7-301-28826-9</v>
      </c>
      <c r="B117" s="7" t="str">
        <f>"中国中小企业发展报告．2017．2017"</f>
        <v>中国中小企业发展报告．2017．2017</v>
      </c>
      <c r="C117" s="8" t="str">
        <f>"主编林汉川， 秦志辉， 池仁勇"</f>
        <v>主编林汉川， 秦志辉， 池仁勇</v>
      </c>
      <c r="D117" s="8" t="str">
        <f>"北京大学出版社"</f>
        <v>北京大学出版社</v>
      </c>
      <c r="E117" s="8" t="str">
        <f>"F279.243/104/2017"</f>
        <v>F279.243/104/2017</v>
      </c>
    </row>
    <row r="118" spans="1:5" ht="21.95" customHeight="1">
      <c r="A118" s="6" t="str">
        <f>"978-7-5086-7321-9"</f>
        <v>978-7-5086-7321-9</v>
      </c>
      <c r="B118" s="7" t="str">
        <f>"智能革命：迎接人工智能时代的社会、经济与文化变革"</f>
        <v>智能革命：迎接人工智能时代的社会、经济与文化变革</v>
      </c>
      <c r="C118" s="8" t="str">
        <f>"李彦宏等著"</f>
        <v>李彦宏等著</v>
      </c>
      <c r="D118" s="8" t="str">
        <f>"中信出版集团股份有限公司"</f>
        <v>中信出版集团股份有限公司</v>
      </c>
      <c r="E118" s="8" t="str">
        <f>"F279.244.4/43"</f>
        <v>F279.244.4/43</v>
      </c>
    </row>
    <row r="119" spans="1:5" ht="21.95" customHeight="1">
      <c r="A119" s="6" t="str">
        <f>"978-7-5096-5566-5"</f>
        <v>978-7-5096-5566-5</v>
      </c>
      <c r="B119" s="7" t="str">
        <f>"科技创新企业品牌竞争力指数报告"</f>
        <v>科技创新企业品牌竞争力指数报告</v>
      </c>
      <c r="C119" s="8" t="str">
        <f>"赵顺龙， 杨世伟主编"</f>
        <v>赵顺龙， 杨世伟主编</v>
      </c>
      <c r="D119" s="8" t="str">
        <f>"经济管理出版社"</f>
        <v>经济管理出版社</v>
      </c>
      <c r="E119" s="8" t="str">
        <f>"F279.244.4/44"</f>
        <v>F279.244.4/44</v>
      </c>
    </row>
    <row r="120" spans="1:5" ht="36" customHeight="1">
      <c r="A120" s="6" t="str">
        <f>"978-7-5096-4197-2"</f>
        <v>978-7-5096-4197-2</v>
      </c>
      <c r="B120" s="7" t="str">
        <f>"中美家族企业治理机制比较研究：基于文化价值观的视角：from the perspective of cultural values"</f>
        <v>中美家族企业治理机制比较研究：基于文化价值观的视角：from the perspective of cultural values</v>
      </c>
      <c r="C120" s="8" t="str">
        <f>"张莉著"</f>
        <v>张莉著</v>
      </c>
      <c r="D120" s="8" t="str">
        <f>"经济管理出版社"</f>
        <v>经济管理出版社</v>
      </c>
      <c r="E120" s="8" t="str">
        <f>"F279.245/124"</f>
        <v>F279.245/124</v>
      </c>
    </row>
    <row r="121" spans="1:5" ht="21.95" customHeight="1">
      <c r="A121" s="6" t="str">
        <f>"978-7-5086-8248-8"</f>
        <v>978-7-5086-8248-8</v>
      </c>
      <c r="B121" s="7" t="str">
        <f>"中国家族企业年轻一代状况报告．2017．2017"</f>
        <v>中国家族企业年轻一代状况报告．2017．2017</v>
      </c>
      <c r="C121" s="8" t="str">
        <f>"中国民营经济研究会家族企业委员会编著"</f>
        <v>中国民营经济研究会家族企业委员会编著</v>
      </c>
      <c r="D121" s="8" t="str">
        <f>"中信出版集团股份有限公司"</f>
        <v>中信出版集团股份有限公司</v>
      </c>
      <c r="E121" s="8" t="str">
        <f>"F279.245/125"</f>
        <v>F279.245/125</v>
      </c>
    </row>
    <row r="122" spans="1:5" ht="40.5" customHeight="1">
      <c r="A122" s="6" t="str">
        <f>"978-7-5096-4979-4"</f>
        <v>978-7-5096-4979-4</v>
      </c>
      <c r="B122" s="7" t="str">
        <f>"家族企业现代管理思想演进研究：以荣氏企业为中心：with rong's family enterprise as the center"</f>
        <v>家族企业现代管理思想演进研究：以荣氏企业为中心：with rong's family enterprise as the center</v>
      </c>
      <c r="C122" s="8" t="str">
        <f>"赵波著"</f>
        <v>赵波著</v>
      </c>
      <c r="D122" s="8" t="str">
        <f>"经济管理出版社"</f>
        <v>经济管理出版社</v>
      </c>
      <c r="E122" s="8" t="str">
        <f>"F279.245/126=2D"</f>
        <v>F279.245/126=2D</v>
      </c>
    </row>
    <row r="123" spans="1:5" ht="21.95" customHeight="1">
      <c r="A123" s="6" t="str">
        <f>"978-7-5086-7008-9"</f>
        <v>978-7-5086-7008-9</v>
      </c>
      <c r="B123" s="7" t="str">
        <f>"理想丰满"</f>
        <v>理想丰满</v>
      </c>
      <c r="C123" s="8" t="str">
        <f>"冯仑著"</f>
        <v>冯仑著</v>
      </c>
      <c r="D123" s="8" t="str">
        <f>"中信出版集团股份有限公司"</f>
        <v>中信出版集团股份有限公司</v>
      </c>
      <c r="E123" s="8" t="str">
        <f>"F279.245/127"</f>
        <v>F279.245/127</v>
      </c>
    </row>
    <row r="124" spans="1:5" ht="36" customHeight="1">
      <c r="A124" s="6" t="str">
        <f>"978-7-301-28224-3"</f>
        <v>978-7-301-28224-3</v>
      </c>
      <c r="B124" s="7" t="str">
        <f>"从万科到阿里：分散股权时代的公司治理：corporate governance in the dispersed shareholding era"</f>
        <v>从万科到阿里：分散股权时代的公司治理：corporate governance in the dispersed shareholding era</v>
      </c>
      <c r="C124" s="8" t="str">
        <f>"郑志刚著"</f>
        <v>郑志刚著</v>
      </c>
      <c r="D124" s="8" t="str">
        <f>"北京大学出版社"</f>
        <v>北京大学出版社</v>
      </c>
      <c r="E124" s="8" t="str">
        <f>"F279.246/195"</f>
        <v>F279.246/195</v>
      </c>
    </row>
    <row r="125" spans="1:5" ht="21.95" customHeight="1">
      <c r="A125" s="6" t="str">
        <f>"978-7-5086-8129-0"</f>
        <v>978-7-5086-8129-0</v>
      </c>
      <c r="B125" s="7" t="str">
        <f>"战略与套利：海外中概股回归与上市之路"</f>
        <v>战略与套利：海外中概股回归与上市之路</v>
      </c>
      <c r="C125" s="8" t="str">
        <f>"张立洲， 乔加伟著"</f>
        <v>张立洲， 乔加伟著</v>
      </c>
      <c r="D125" s="8" t="str">
        <f>"中信出版集团股份有限公司"</f>
        <v>中信出版集团股份有限公司</v>
      </c>
      <c r="E125" s="8" t="str">
        <f>"F279.246/196"</f>
        <v>F279.246/196</v>
      </c>
    </row>
    <row r="126" spans="1:5" ht="21.95" customHeight="1">
      <c r="A126" s="6" t="str">
        <f>"978-7-5426-5962-0"</f>
        <v>978-7-5426-5962-0</v>
      </c>
      <c r="B126" s="7" t="str">
        <f>"老树花开无丑枝：上海老字号古韵悠悠谱新曲"</f>
        <v>老树花开无丑枝：上海老字号古韵悠悠谱新曲</v>
      </c>
      <c r="C126" s="8" t="str">
        <f>"朱国顺主编"</f>
        <v>朱国顺主编</v>
      </c>
      <c r="D126" s="8" t="str">
        <f>"上海三联书店"</f>
        <v>上海三联书店</v>
      </c>
      <c r="E126" s="8" t="str">
        <f>"F279.275.1/5"</f>
        <v>F279.275.1/5</v>
      </c>
    </row>
    <row r="127" spans="1:5" ht="21.95" customHeight="1">
      <c r="A127" s="6" t="str">
        <f>"978-7-03-055431-4"</f>
        <v>978-7-03-055431-4</v>
      </c>
      <c r="B127" s="7" t="str">
        <f>"产业与科技史研究．第二辑"</f>
        <v>产业与科技史研究．第二辑</v>
      </c>
      <c r="C127" s="8" t="str">
        <f>"武力主编"</f>
        <v>武力主编</v>
      </c>
      <c r="D127" s="8" t="str">
        <f>"科学出版社"</f>
        <v>科学出版社</v>
      </c>
      <c r="E127" s="8" t="str">
        <f>"F279.29/7"</f>
        <v>F279.29/7</v>
      </c>
    </row>
    <row r="128" spans="1:5" ht="21.95" customHeight="1">
      <c r="A128" s="6" t="str">
        <f>"978-7-5086-7174-1"</f>
        <v>978-7-5086-7174-1</v>
      </c>
      <c r="B128" s="7" t="str">
        <f>"城乡中国"</f>
        <v>城乡中国</v>
      </c>
      <c r="C128" s="8" t="str">
        <f>"周其仁著"</f>
        <v>周其仁著</v>
      </c>
      <c r="D128" s="8" t="str">
        <f>"中信出版社"</f>
        <v>中信出版社</v>
      </c>
      <c r="E128" s="8" t="str">
        <f>"F299.2/101=D"</f>
        <v>F299.2/101=D</v>
      </c>
    </row>
    <row r="129" spans="1:5" ht="21.95" customHeight="1">
      <c r="A129" s="6" t="str">
        <f>"978-7-5086-5273-3"</f>
        <v>978-7-5086-5273-3</v>
      </c>
      <c r="B129" s="7" t="str">
        <f>"双赢战略：绿色崛起的大数据革命"</f>
        <v>双赢战略：绿色崛起的大数据革命</v>
      </c>
      <c r="C129" s="8" t="str">
        <f>"连玉明主编"</f>
        <v>连玉明主编</v>
      </c>
      <c r="D129" s="8" t="str">
        <f>"中信出版社"</f>
        <v>中信出版社</v>
      </c>
      <c r="E129" s="8" t="str">
        <f>"F299.21/76"</f>
        <v>F299.21/76</v>
      </c>
    </row>
    <row r="130" spans="1:5" ht="21.95" customHeight="1">
      <c r="A130" s="6" t="str">
        <f>"978-7-301-28499-5"</f>
        <v>978-7-301-28499-5</v>
      </c>
      <c r="B130" s="7" t="str">
        <f>"大城善治：中国大都市发展中的政府治理机制创新研究"</f>
        <v>大城善治：中国大都市发展中的政府治理机制创新研究</v>
      </c>
      <c r="C130" s="8" t="str">
        <f>"易承志著"</f>
        <v>易承志著</v>
      </c>
      <c r="D130" s="8" t="str">
        <f>"北京大学出版社"</f>
        <v>北京大学出版社</v>
      </c>
      <c r="E130" s="8" t="str">
        <f>"F299.23/30"</f>
        <v>F299.23/30</v>
      </c>
    </row>
    <row r="131" spans="1:5" ht="21.95" customHeight="1">
      <c r="A131" s="6" t="str">
        <f>"978-7-5454-5752-0"</f>
        <v>978-7-5454-5752-0</v>
      </c>
      <c r="B131" s="7" t="str">
        <f>"股权之争：万科还是“万科”吗"</f>
        <v>股权之争：万科还是“万科”吗</v>
      </c>
      <c r="C131" s="8" t="str">
        <f>"韦康博著"</f>
        <v>韦康博著</v>
      </c>
      <c r="D131" s="8" t="str">
        <f>"广东经济出版社"</f>
        <v>广东经济出版社</v>
      </c>
      <c r="E131" s="8" t="str">
        <f>"F299.233.3/32"</f>
        <v>F299.233.3/32</v>
      </c>
    </row>
    <row r="132" spans="1:5" ht="21.95" customHeight="1">
      <c r="A132" s="6" t="str">
        <f>"978-7-5096-5116-2"</f>
        <v>978-7-5096-5116-2</v>
      </c>
      <c r="B132" s="7" t="str">
        <f>"20年20人：华南商业地产风云二十载启示录"</f>
        <v>20年20人：华南商业地产风云二十载启示录</v>
      </c>
      <c r="C132" s="8" t="str">
        <f>"王先庆， 赖婉蕴主编"</f>
        <v>王先庆， 赖婉蕴主编</v>
      </c>
      <c r="D132" s="8" t="str">
        <f>"经济管理出版社"</f>
        <v>经济管理出版社</v>
      </c>
      <c r="E132" s="8" t="str">
        <f>"F299.27/1"</f>
        <v>F299.27/1</v>
      </c>
    </row>
    <row r="133" spans="1:5" ht="21.95" customHeight="1">
      <c r="A133" s="6" t="str">
        <f>"978-7-5086-7697-5"</f>
        <v>978-7-5086-7697-5</v>
      </c>
      <c r="B133" s="7" t="str">
        <f>"产业转型与城市更新：实践三十八法"</f>
        <v>产业转型与城市更新：实践三十八法</v>
      </c>
      <c r="C133" s="8" t="str">
        <f>"夏雨著"</f>
        <v>夏雨著</v>
      </c>
      <c r="D133" s="8" t="str">
        <f>"中信出版社"</f>
        <v>中信出版社</v>
      </c>
      <c r="E133" s="8" t="str">
        <f>"F299.275.1/6"</f>
        <v>F299.275.1/6</v>
      </c>
    </row>
    <row r="134" spans="1:5" ht="21.95" customHeight="1">
      <c r="A134" s="6" t="str">
        <f>"978-7-5096-4938-1"</f>
        <v>978-7-5096-4938-1</v>
      </c>
      <c r="B134" s="7" t="str">
        <f>"村官管理现代农村必读"</f>
        <v>村官管理现代农村必读</v>
      </c>
      <c r="C134" s="8" t="str">
        <f>"李笑主编"</f>
        <v>李笑主编</v>
      </c>
      <c r="D134" s="8" t="str">
        <f>"经济管理出版社"</f>
        <v>经济管理出版社</v>
      </c>
      <c r="E134" s="8" t="str">
        <f>"F325.4/15"</f>
        <v>F325.4/15</v>
      </c>
    </row>
    <row r="135" spans="1:5" ht="21.95" customHeight="1">
      <c r="A135" s="6" t="str">
        <f>"978-7-218-11892-5"</f>
        <v>978-7-218-11892-5</v>
      </c>
      <c r="B135" s="7" t="str">
        <f>"共享的广东"</f>
        <v>共享的广东</v>
      </c>
      <c r="C135" s="8" t="str">
        <f>"王鹤著"</f>
        <v>王鹤著</v>
      </c>
      <c r="D135" s="8" t="str">
        <f>"广东人民出版社"</f>
        <v>广东人民出版社</v>
      </c>
      <c r="E135" s="8" t="str">
        <f>"F327.65/2"</f>
        <v>F327.65/2</v>
      </c>
    </row>
    <row r="136" spans="1:5" ht="21.95" customHeight="1">
      <c r="A136" s="6" t="str">
        <f>"978-7-302-45297-3"</f>
        <v>978-7-302-45297-3</v>
      </c>
      <c r="B136" s="7" t="str">
        <f>"从互联到新工业革命"</f>
        <v>从互联到新工业革命</v>
      </c>
      <c r="C136" s="8" t="str">
        <f>"刘云浩著"</f>
        <v>刘云浩著</v>
      </c>
      <c r="D136" s="8" t="str">
        <f>"清华大学出版社"</f>
        <v>清华大学出版社</v>
      </c>
      <c r="E136" s="8" t="str">
        <f>"F419-39/1"</f>
        <v>F419-39/1</v>
      </c>
    </row>
    <row r="137" spans="1:5" ht="21.95" customHeight="1">
      <c r="A137" s="6" t="str">
        <f>"978-7-5086-8422-2"</f>
        <v>978-7-5086-8422-2</v>
      </c>
      <c r="B137" s="7" t="str">
        <f>"中国能源市场化改革"</f>
        <v>中国能源市场化改革</v>
      </c>
      <c r="C137" s="8" t="str">
        <f>"范必著"</f>
        <v>范必著</v>
      </c>
      <c r="D137" s="8" t="str">
        <f>"中信出版集团股份有限公司"</f>
        <v>中信出版集团股份有限公司</v>
      </c>
      <c r="E137" s="8" t="str">
        <f>"F426.2/61"</f>
        <v>F426.2/61</v>
      </c>
    </row>
    <row r="138" spans="1:5" ht="36.75" customHeight="1">
      <c r="A138" s="6" t="str">
        <f>"978-7-5096-5157-5"</f>
        <v>978-7-5096-5157-5</v>
      </c>
      <c r="B138" s="7" t="str">
        <f>"制造业创新中心建设路径与模式：全球经验与北京实践：global experience and Beijing practice"</f>
        <v>制造业创新中心建设路径与模式：全球经验与北京实践：global experience and Beijing practice</v>
      </c>
      <c r="C138" s="8" t="str">
        <f>"张伯旭， 黄群慧编著"</f>
        <v>张伯旭， 黄群慧编著</v>
      </c>
      <c r="D138" s="8" t="str">
        <f>"经济管理出版社"</f>
        <v>经济管理出版社</v>
      </c>
      <c r="E138" s="8" t="str">
        <f>"F426.4/70"</f>
        <v>F426.4/70</v>
      </c>
    </row>
    <row r="139" spans="1:5" ht="21.95" customHeight="1">
      <c r="A139" s="6" t="str">
        <f>"978-7-301-28347-9"</f>
        <v>978-7-301-28347-9</v>
      </c>
      <c r="B139" s="7" t="str">
        <f>"中国制造业发展研究报告．2016．2016"</f>
        <v>中国制造业发展研究报告．2016．2016</v>
      </c>
      <c r="C139" s="8" t="str">
        <f>"主编李廉水"</f>
        <v>主编李廉水</v>
      </c>
      <c r="D139" s="8" t="str">
        <f>"北京大学出版社"</f>
        <v>北京大学出版社</v>
      </c>
      <c r="E139" s="8" t="str">
        <f>"F426.4/71/2016"</f>
        <v>F426.4/71/2016</v>
      </c>
    </row>
    <row r="140" spans="1:5" ht="21.95" customHeight="1">
      <c r="A140" s="6" t="str">
        <f>"978-7-5086-7817-7"</f>
        <v>978-7-5086-7817-7</v>
      </c>
      <c r="B140" s="7" t="str">
        <f>"创造共享价值：雀巢“味道好极了”的经营秘诀"</f>
        <v>创造共享价值：雀巢“味道好极了”的经营秘诀</v>
      </c>
      <c r="C140" s="8" t="str">
        <f>"汪若菡著"</f>
        <v>汪若菡著</v>
      </c>
      <c r="D140" s="8" t="str">
        <f t="shared" ref="D140:D142" si="7">"中信出版集团股份有限公司"</f>
        <v>中信出版集团股份有限公司</v>
      </c>
      <c r="E140" s="8" t="str">
        <f>"F452.268/2"</f>
        <v>F452.268/2</v>
      </c>
    </row>
    <row r="141" spans="1:5" ht="21.95" customHeight="1">
      <c r="A141" s="13" t="str">
        <f>"978-7-5086-7406-3"</f>
        <v>978-7-5086-7406-3</v>
      </c>
      <c r="B141" s="14" t="str">
        <f>"赢"</f>
        <v>赢</v>
      </c>
      <c r="C141" s="15" t="str">
        <f>"(美) 杰克·韦尔奇， 苏茜·韦尔奇著"</f>
        <v>(美) 杰克·韦尔奇， 苏茜·韦尔奇著</v>
      </c>
      <c r="D141" s="15" t="str">
        <f t="shared" si="7"/>
        <v>中信出版集团股份有限公司</v>
      </c>
      <c r="E141" s="15" t="str">
        <f>"F471.266/8=4D"</f>
        <v>F471.266/8=4D</v>
      </c>
    </row>
    <row r="142" spans="1:5" ht="21.95" customHeight="1">
      <c r="A142" s="13" t="str">
        <f>"978-7-5086-7404-9"</f>
        <v>978-7-5086-7404-9</v>
      </c>
      <c r="B142" s="14" t="str">
        <f>"赢的答案"</f>
        <v>赢的答案</v>
      </c>
      <c r="C142" s="15" t="str">
        <f>"(美) 杰克·韦尔奇， 苏茜·韦尔奇著"</f>
        <v>(美) 杰克·韦尔奇， 苏茜·韦尔奇著</v>
      </c>
      <c r="D142" s="15" t="str">
        <f t="shared" si="7"/>
        <v>中信出版集团股份有限公司</v>
      </c>
      <c r="E142" s="15" t="str">
        <f>"F471.266/85"</f>
        <v>F471.266/85</v>
      </c>
    </row>
    <row r="143" spans="1:5" s="12" customFormat="1" ht="21.95" customHeight="1">
      <c r="A143" s="13" t="str">
        <f>"978-7-302-49031-9"</f>
        <v>978-7-302-49031-9</v>
      </c>
      <c r="B143" s="14" t="str">
        <f>"中级IT英语读写教程．2"</f>
        <v>中级IT英语读写教程．2</v>
      </c>
      <c r="C143" s="15" t="str">
        <f>"总主编司炳月"</f>
        <v>总主编司炳月</v>
      </c>
      <c r="D143" s="15" t="str">
        <f>"清华大学出版社"</f>
        <v>清华大学出版社</v>
      </c>
      <c r="E143" s="15" t="str">
        <f>"F49/106/2"</f>
        <v>F49/106/2</v>
      </c>
    </row>
    <row r="144" spans="1:5" ht="42" customHeight="1">
      <c r="A144" s="13" t="str">
        <f>"978-7-115-47253-3"</f>
        <v>978-7-115-47253-3</v>
      </c>
      <c r="B144" s="14" t="str">
        <f>"数字丝绸之路：“一带一路”数字经济的机遇与挑战：the opportunities and challenges to develop digital economy along the Belt and Road"</f>
        <v>数字丝绸之路：“一带一路”数字经济的机遇与挑战：the opportunities and challenges to develop digital economy along the Belt and Road</v>
      </c>
      <c r="C144" s="15" t="str">
        <f>"中国电子信息产业发展研究院编著"</f>
        <v>中国电子信息产业发展研究院编著</v>
      </c>
      <c r="D144" s="15" t="str">
        <f>"人民邮电出版社"</f>
        <v>人民邮电出版社</v>
      </c>
      <c r="E144" s="15" t="str">
        <f>"F49/107"</f>
        <v>F49/107</v>
      </c>
    </row>
    <row r="145" spans="1:5" ht="32.25" customHeight="1">
      <c r="A145" s="13" t="str">
        <f>"978-7-5096-4590-1"</f>
        <v>978-7-5096-4590-1</v>
      </c>
      <c r="B145" s="14" t="str">
        <f>"互联网思维2.0：物联网、云计算、大数据：internet of things， cloud computing， big data"</f>
        <v>互联网思维2.0：物联网、云计算、大数据：internet of things， cloud computing， big data</v>
      </c>
      <c r="C145" s="15" t="str">
        <f>"余来文 ... [等] 编著"</f>
        <v>余来文 ... [等] 编著</v>
      </c>
      <c r="D145" s="15" t="str">
        <f>"经济管理出版社"</f>
        <v>经济管理出版社</v>
      </c>
      <c r="E145" s="15" t="str">
        <f>"F49/108"</f>
        <v>F49/108</v>
      </c>
    </row>
    <row r="146" spans="1:5" ht="35.25" customHeight="1">
      <c r="A146" s="13" t="str">
        <f>"978-7-5086-7322-6"</f>
        <v>978-7-5086-7322-6</v>
      </c>
      <c r="B146" s="14" t="str">
        <f>"搜索：开启智能时代的新引擎：how the data explosion makes us smarter"</f>
        <v>搜索：开启智能时代的新引擎：how the data explosion makes us smarter</v>
      </c>
      <c r="C146" s="15" t="str">
        <f>"(美) 斯特凡·韦茨著"</f>
        <v>(美) 斯特凡·韦茨著</v>
      </c>
      <c r="D146" s="15" t="str">
        <f>"中信出版集团股份有限公司"</f>
        <v>中信出版集团股份有限公司</v>
      </c>
      <c r="E146" s="15" t="str">
        <f>"F49/109"</f>
        <v>F49/109</v>
      </c>
    </row>
    <row r="147" spans="1:5" ht="36.75" customHeight="1">
      <c r="A147" s="13" t="str">
        <f>"978-7-5596-0346-3"</f>
        <v>978-7-5596-0346-3</v>
      </c>
      <c r="B147" s="14" t="str">
        <f>"爆发：大数据时代预见未来的新思维：the hidden pattern behind everything we do"</f>
        <v>爆发：大数据时代预见未来的新思维：the hidden pattern behind everything we do</v>
      </c>
      <c r="C147" s="15" t="str">
        <f>"(美) 艾伯特－拉斯洛·巴拉巴西著"</f>
        <v>(美) 艾伯特－拉斯洛·巴拉巴西著</v>
      </c>
      <c r="D147" s="15" t="str">
        <f>"北京联合出版公司"</f>
        <v>北京联合出版公司</v>
      </c>
      <c r="E147" s="15" t="str">
        <f>"F490.3/1"</f>
        <v>F490.3/1</v>
      </c>
    </row>
    <row r="148" spans="1:5" ht="21.95" customHeight="1">
      <c r="A148" s="13" t="str">
        <f>"978-7-5086-6345-6"</f>
        <v>978-7-5086-6345-6</v>
      </c>
      <c r="B148" s="14" t="str">
        <f>"钢铁之路：技术、资本、战略的200年铁路史"</f>
        <v>钢铁之路：技术、资本、战略的200年铁路史</v>
      </c>
      <c r="C148" s="15" t="str">
        <f>"(英) 克里斯蒂安·沃尔玛尔著"</f>
        <v>(英) 克里斯蒂安·沃尔玛尔著</v>
      </c>
      <c r="D148" s="15" t="str">
        <f>"中信出版集团股份有限公司"</f>
        <v>中信出版集团股份有限公司</v>
      </c>
      <c r="E148" s="15" t="str">
        <f>"F531.9-49/1"</f>
        <v>F531.9-49/1</v>
      </c>
    </row>
    <row r="149" spans="1:5" ht="21.95" customHeight="1">
      <c r="A149" s="13" t="str">
        <f>"978-7-5086-7297-7"</f>
        <v>978-7-5086-7297-7</v>
      </c>
      <c r="B149" s="14" t="str">
        <f>"航运金融手册"</f>
        <v>航运金融手册</v>
      </c>
      <c r="C149" s="15" t="str">
        <f>"(德) 奥勒提斯·席纳斯， 卡斯滕·格劳， 马克斯·约翰斯编辑"</f>
        <v>(德) 奥勒提斯·席纳斯， 卡斯滕·格劳， 马克斯·约翰斯编辑</v>
      </c>
      <c r="D149" s="15" t="str">
        <f>"中信出版集团股份有限公司"</f>
        <v>中信出版集团股份有限公司</v>
      </c>
      <c r="E149" s="15" t="str">
        <f>"F550-62/1"</f>
        <v>F550-62/1</v>
      </c>
    </row>
    <row r="150" spans="1:5" ht="21.95" customHeight="1">
      <c r="A150" s="13" t="str">
        <f>"978-7-122-25266-1"</f>
        <v>978-7-122-25266-1</v>
      </c>
      <c r="B150" s="14" t="str">
        <f>"图解一个人用英文去旅行"</f>
        <v>图解一个人用英文去旅行</v>
      </c>
      <c r="C150" s="15" t="str">
        <f>"曼曦著/绘"</f>
        <v>曼曦著/绘</v>
      </c>
      <c r="D150" s="15" t="str">
        <f>"化学工业出版社"</f>
        <v>化学工业出版社</v>
      </c>
      <c r="E150" s="15" t="str">
        <f>"F59/19"</f>
        <v>F59/19</v>
      </c>
    </row>
    <row r="151" spans="1:5" ht="21.95" customHeight="1">
      <c r="A151" s="13" t="str">
        <f>"978-7-5096-3947-4"</f>
        <v>978-7-5096-3947-4</v>
      </c>
      <c r="B151" s="14" t="str">
        <f>"旅游目的地节庆事件策划经典案例"</f>
        <v>旅游目的地节庆事件策划经典案例</v>
      </c>
      <c r="C151" s="15" t="str">
        <f>"邹统钎主编"</f>
        <v>邹统钎主编</v>
      </c>
      <c r="D151" s="15" t="str">
        <f>"经济管理出版社"</f>
        <v>经济管理出版社</v>
      </c>
      <c r="E151" s="15" t="str">
        <f>"F590.1/39"</f>
        <v>F590.1/39</v>
      </c>
    </row>
    <row r="152" spans="1:5" ht="21.95" customHeight="1">
      <c r="A152" s="13" t="str">
        <f>"978-7-5096-5150-6"</f>
        <v>978-7-5096-5150-6</v>
      </c>
      <c r="B152" s="14" t="str">
        <f>"散客时代背景下旅游服务供应链整合管理研究"</f>
        <v>散客时代背景下旅游服务供应链整合管理研究</v>
      </c>
      <c r="C152" s="15" t="str">
        <f>"赵慧娟著"</f>
        <v>赵慧娟著</v>
      </c>
      <c r="D152" s="15" t="str">
        <f>"经济管理出版社"</f>
        <v>经济管理出版社</v>
      </c>
      <c r="E152" s="15" t="str">
        <f>"F590.63/160"</f>
        <v>F590.63/160</v>
      </c>
    </row>
    <row r="153" spans="1:5" ht="21.95" customHeight="1">
      <c r="A153" s="13" t="str">
        <f>"978-7-302-46454-9"</f>
        <v>978-7-302-46454-9</v>
      </c>
      <c r="B153" s="14" t="str">
        <f>"导游文化常识"</f>
        <v>导游文化常识</v>
      </c>
      <c r="C153" s="15" t="str">
        <f>"侯爽， 王璐主编"</f>
        <v>侯爽， 王璐主编</v>
      </c>
      <c r="D153" s="15" t="str">
        <f>"清华大学出版社"</f>
        <v>清华大学出版社</v>
      </c>
      <c r="E153" s="15" t="str">
        <f>"F590.63/161"</f>
        <v>F590.63/161</v>
      </c>
    </row>
    <row r="154" spans="1:5" ht="21.95" customHeight="1">
      <c r="A154" s="13" t="str">
        <f>"978-7-5032-5807-7"</f>
        <v>978-7-5032-5807-7</v>
      </c>
      <c r="B154" s="14" t="str">
        <f>"全国导游基础知识"</f>
        <v>全国导游基础知识</v>
      </c>
      <c r="C154" s="15" t="str">
        <f>"全国导游资格考试统编教材专家编写组编"</f>
        <v>全国导游资格考试统编教材专家编写组编</v>
      </c>
      <c r="D154" s="15" t="str">
        <f t="shared" ref="D154:D163" si="8">"中国旅游出版社"</f>
        <v>中国旅游出版社</v>
      </c>
      <c r="E154" s="15" t="str">
        <f>"F590.633/8=2D"</f>
        <v>F590.633/8=2D</v>
      </c>
    </row>
    <row r="155" spans="1:5" ht="21.95" customHeight="1">
      <c r="A155" s="13" t="str">
        <f>"978-7-5032-5801-5"</f>
        <v>978-7-5032-5801-5</v>
      </c>
      <c r="B155" s="14" t="str">
        <f>"导游业务"</f>
        <v>导游业务</v>
      </c>
      <c r="C155" s="15" t="str">
        <f>"全国导游资格考试统编教材专家编写组编"</f>
        <v>全国导游资格考试统编教材专家编写组编</v>
      </c>
      <c r="D155" s="15" t="str">
        <f t="shared" si="8"/>
        <v>中国旅游出版社</v>
      </c>
      <c r="E155" s="15" t="str">
        <f>"F590.633/9"</f>
        <v>F590.633/9</v>
      </c>
    </row>
    <row r="156" spans="1:5" ht="21.95" customHeight="1">
      <c r="A156" s="13" t="str">
        <f>"978-7-5032-5801-5"</f>
        <v>978-7-5032-5801-5</v>
      </c>
      <c r="B156" s="14" t="str">
        <f>"导游业务"</f>
        <v>导游业务</v>
      </c>
      <c r="C156" s="15" t="str">
        <f>"全国导游资格考试统编教材专家编写组编"</f>
        <v>全国导游资格考试统编教材专家编写组编</v>
      </c>
      <c r="D156" s="15" t="str">
        <f t="shared" si="8"/>
        <v>中国旅游出版社</v>
      </c>
      <c r="E156" s="15" t="str">
        <f>"F590.633/9"</f>
        <v>F590.633/9</v>
      </c>
    </row>
    <row r="157" spans="1:5" ht="21.95" customHeight="1">
      <c r="A157" s="13" t="str">
        <f>"978-7-5032-5796-4"</f>
        <v>978-7-5032-5796-4</v>
      </c>
      <c r="B157" s="14" t="str">
        <f>"旅游体验研究．走向实证科学"</f>
        <v>旅游体验研究．走向实证科学</v>
      </c>
      <c r="C157" s="15" t="str">
        <f>"谢彦君等著"</f>
        <v>谢彦君等著</v>
      </c>
      <c r="D157" s="15" t="str">
        <f t="shared" si="8"/>
        <v>中国旅游出版社</v>
      </c>
      <c r="E157" s="15" t="str">
        <f>"F590/217"</f>
        <v>F590/217</v>
      </c>
    </row>
    <row r="158" spans="1:5" ht="21.95" customHeight="1">
      <c r="A158" s="13" t="str">
        <f>"978-7-5032-5859-6"</f>
        <v>978-7-5032-5859-6</v>
      </c>
      <c r="B158" s="14" t="str">
        <f>"旅游学概论"</f>
        <v>旅游学概论</v>
      </c>
      <c r="C158" s="15" t="str">
        <f>"主编张建忠"</f>
        <v>主编张建忠</v>
      </c>
      <c r="D158" s="15" t="str">
        <f t="shared" si="8"/>
        <v>中国旅游出版社</v>
      </c>
      <c r="E158" s="15" t="str">
        <f>"F590/218=2D"</f>
        <v>F590/218=2D</v>
      </c>
    </row>
    <row r="159" spans="1:5" ht="21.95" customHeight="1">
      <c r="A159" s="13" t="str">
        <f>"978-7-5032-5958-6"</f>
        <v>978-7-5032-5958-6</v>
      </c>
      <c r="B159" s="14" t="str">
        <f>"信息经济背景下旅游行业管理体制创新研究：以浙江为视点"</f>
        <v>信息经济背景下旅游行业管理体制创新研究：以浙江为视点</v>
      </c>
      <c r="C159" s="15" t="str">
        <f>"金涛著"</f>
        <v>金涛著</v>
      </c>
      <c r="D159" s="15" t="str">
        <f t="shared" si="8"/>
        <v>中国旅游出版社</v>
      </c>
      <c r="E159" s="15" t="str">
        <f>"F592.1/7"</f>
        <v>F592.1/7</v>
      </c>
    </row>
    <row r="160" spans="1:5" ht="21.95" customHeight="1">
      <c r="A160" s="13" t="str">
        <f t="shared" ref="A160:A162" si="9">"978-7-5032-5941-8"</f>
        <v>978-7-5032-5941-8</v>
      </c>
      <c r="B160" s="14" t="str">
        <f>"新常态下的大旅游"</f>
        <v>新常态下的大旅游</v>
      </c>
      <c r="C160" s="15" t="str">
        <f>"国家旅游局"</f>
        <v>国家旅游局</v>
      </c>
      <c r="D160" s="15" t="str">
        <f t="shared" si="8"/>
        <v>中国旅游出版社</v>
      </c>
      <c r="E160" s="15" t="str">
        <f>"F592.3/71/2015"</f>
        <v>F592.3/71/2015</v>
      </c>
    </row>
    <row r="161" spans="1:5" ht="21.95" customHeight="1">
      <c r="A161" s="13" t="str">
        <f t="shared" si="9"/>
        <v>978-7-5032-5941-8</v>
      </c>
      <c r="B161" s="14" t="str">
        <f>"从景点旅游走向全域旅游：2016"</f>
        <v>从景点旅游走向全域旅游：2016</v>
      </c>
      <c r="C161" s="15" t="str">
        <f>"国家旅游局编"</f>
        <v>国家旅游局编</v>
      </c>
      <c r="D161" s="15" t="str">
        <f t="shared" si="8"/>
        <v>中国旅游出版社</v>
      </c>
      <c r="E161" s="15" t="str">
        <f>"F592.3/71/2016"</f>
        <v>F592.3/71/2016</v>
      </c>
    </row>
    <row r="162" spans="1:5" ht="21.95" customHeight="1">
      <c r="A162" s="13" t="str">
        <f t="shared" si="9"/>
        <v>978-7-5032-5941-8</v>
      </c>
      <c r="B162" s="14" t="str">
        <f>"推进全域旅游 实施三步走战略：2017"</f>
        <v>推进全域旅游 实施三步走战略：2017</v>
      </c>
      <c r="C162" s="15" t="str">
        <f>"国家旅游局编"</f>
        <v>国家旅游局编</v>
      </c>
      <c r="D162" s="15" t="str">
        <f t="shared" si="8"/>
        <v>中国旅游出版社</v>
      </c>
      <c r="E162" s="15" t="str">
        <f>"F592.3/71/2017"</f>
        <v>F592.3/71/2017</v>
      </c>
    </row>
    <row r="163" spans="1:5" ht="21.95" customHeight="1">
      <c r="A163" s="13" t="str">
        <f>"978-7-5032-5886-2"</f>
        <v>978-7-5032-5886-2</v>
      </c>
      <c r="B163" s="14" t="str">
        <f>"旅游小镇开发运营指南"</f>
        <v>旅游小镇开发运营指南</v>
      </c>
      <c r="C163" s="15" t="str">
        <f>"林峰著"</f>
        <v>林峰著</v>
      </c>
      <c r="D163" s="15" t="str">
        <f t="shared" si="8"/>
        <v>中国旅游出版社</v>
      </c>
      <c r="E163" s="15" t="str">
        <f>"F592.3-62/2"</f>
        <v>F592.3-62/2</v>
      </c>
    </row>
    <row r="164" spans="1:5" ht="21.95" customHeight="1">
      <c r="A164" s="13" t="str">
        <f>"978-7-03-057012-3"</f>
        <v>978-7-03-057012-3</v>
      </c>
      <c r="B164" s="14" t="str">
        <f>"区域旅游产业可持续发展管理创新研究"</f>
        <v>区域旅游产业可持续发展管理创新研究</v>
      </c>
      <c r="C164" s="15" t="str">
        <f>"王庆生， 胡宇橙， 李烨等著"</f>
        <v>王庆生， 胡宇橙， 李烨等著</v>
      </c>
      <c r="D164" s="15" t="str">
        <f>"科学出版社"</f>
        <v>科学出版社</v>
      </c>
      <c r="E164" s="15" t="str">
        <f>"F592/75"</f>
        <v>F592/75</v>
      </c>
    </row>
    <row r="165" spans="1:5" ht="21.95" customHeight="1">
      <c r="A165" s="13" t="str">
        <f>"978-7-5086-7871-9"</f>
        <v>978-7-5086-7871-9</v>
      </c>
      <c r="B165" s="14" t="str">
        <f>"下一个倒下的会不会是华为"</f>
        <v>下一个倒下的会不会是华为</v>
      </c>
      <c r="C165" s="15" t="str">
        <f>"田涛， 吴春波著"</f>
        <v>田涛， 吴春波著</v>
      </c>
      <c r="D165" s="15" t="str">
        <f>"中信出版集团股份有限公司"</f>
        <v>中信出版集团股份有限公司</v>
      </c>
      <c r="E165" s="15" t="str">
        <f>"F632.765.3/15=4D"</f>
        <v>F632.765.3/15=4D</v>
      </c>
    </row>
    <row r="166" spans="1:5" ht="21.95" customHeight="1">
      <c r="A166" s="13" t="str">
        <f>"978-7-113-22750-0"</f>
        <v>978-7-113-22750-0</v>
      </c>
      <c r="B166" s="14" t="str">
        <f>"华为人力资源管理"</f>
        <v>华为人力资源管理</v>
      </c>
      <c r="C166" s="15" t="str">
        <f>"王京刚著"</f>
        <v>王京刚著</v>
      </c>
      <c r="D166" s="15" t="str">
        <f>"中国铁道出版社"</f>
        <v>中国铁道出版社</v>
      </c>
      <c r="E166" s="15" t="str">
        <f>"F632.765.3/24"</f>
        <v>F632.765.3/24</v>
      </c>
    </row>
    <row r="167" spans="1:5" ht="21.95" customHeight="1">
      <c r="A167" s="13" t="str">
        <f>"978-7-5096-5106-3"</f>
        <v>978-7-5096-5106-3</v>
      </c>
      <c r="B167" s="14" t="str">
        <f>"商务英语写作"</f>
        <v>商务英语写作</v>
      </c>
      <c r="C167" s="15" t="str">
        <f>"王丹丹， 陈香香编著"</f>
        <v>王丹丹， 陈香香编著</v>
      </c>
      <c r="D167" s="15" t="str">
        <f t="shared" ref="D167:D170" si="10">"经济管理出版社"</f>
        <v>经济管理出版社</v>
      </c>
      <c r="E167" s="15" t="str">
        <f>"F7/34=2D"</f>
        <v>F7/34=2D</v>
      </c>
    </row>
    <row r="168" spans="1:5" ht="21.95" customHeight="1">
      <c r="A168" s="6" t="str">
        <f>"978-7-5096-5232-9"</f>
        <v>978-7-5096-5232-9</v>
      </c>
      <c r="B168" s="7" t="str">
        <f>"大消费时代的商业模式变革"</f>
        <v>大消费时代的商业模式变革</v>
      </c>
      <c r="C168" s="8" t="str">
        <f>"陈东贤著"</f>
        <v>陈东贤著</v>
      </c>
      <c r="D168" s="8" t="str">
        <f t="shared" si="10"/>
        <v>经济管理出版社</v>
      </c>
      <c r="E168" s="8" t="str">
        <f>"F71/15"</f>
        <v>F71/15</v>
      </c>
    </row>
    <row r="169" spans="1:5" ht="21.95" customHeight="1">
      <c r="A169" s="6" t="str">
        <f>"978-7-5096-4765-3"</f>
        <v>978-7-5096-4765-3</v>
      </c>
      <c r="B169" s="7" t="str">
        <f>"共享经济下一个风口"</f>
        <v>共享经济下一个风口</v>
      </c>
      <c r="C169" s="8" t="str">
        <f>"余来文 ... [等] 编著"</f>
        <v>余来文 ... [等] 编著</v>
      </c>
      <c r="D169" s="8" t="str">
        <f t="shared" si="10"/>
        <v>经济管理出版社</v>
      </c>
      <c r="E169" s="8" t="str">
        <f>"F71/16"</f>
        <v>F71/16</v>
      </c>
    </row>
    <row r="170" spans="1:5" ht="21.95" customHeight="1">
      <c r="A170" s="6" t="str">
        <f>"978-7-5096-5125-4"</f>
        <v>978-7-5096-5125-4</v>
      </c>
      <c r="B170" s="7" t="str">
        <f>"商业计划书"</f>
        <v>商业计划书</v>
      </c>
      <c r="C170" s="8" t="str">
        <f>"主编陈工孟，孙惠敏"</f>
        <v>主编陈工孟，孙惠敏</v>
      </c>
      <c r="D170" s="8" t="str">
        <f t="shared" si="10"/>
        <v>经济管理出版社</v>
      </c>
      <c r="E170" s="8" t="str">
        <f>"F712.1/1"</f>
        <v>F712.1/1</v>
      </c>
    </row>
    <row r="171" spans="1:5" ht="33.75" customHeight="1">
      <c r="A171" s="6" t="str">
        <f>"978-7-5086-5541-3"</f>
        <v>978-7-5086-5541-3</v>
      </c>
      <c r="B171" s="7" t="str">
        <f>"销售圣经．Ⅱ：销售之神的21.5条销售法则：Jeffrey Gitomer's 21.5 unbreakable laws of selling"</f>
        <v>销售圣经．Ⅱ：销售之神的21.5条销售法则：Jeffrey Gitomer's 21.5 unbreakable laws of selling</v>
      </c>
      <c r="C171" s="8" t="str">
        <f>"(美) 杰弗里·吉特默著"</f>
        <v>(美) 杰弗里·吉特默著</v>
      </c>
      <c r="D171" s="8" t="str">
        <f>"中信出版社"</f>
        <v>中信出版社</v>
      </c>
      <c r="E171" s="8" t="str">
        <f>"F713.3/610/2"</f>
        <v>F713.3/610/2</v>
      </c>
    </row>
    <row r="172" spans="1:5" ht="21.95" customHeight="1">
      <c r="A172" s="6" t="str">
        <f>"978-7-5086-4862-0"</f>
        <v>978-7-5086-4862-0</v>
      </c>
      <c r="B172" s="7" t="str">
        <f>"销售圣经：终级销售资源：the ultimate sales resource"</f>
        <v>销售圣经：终级销售资源：the ultimate sales resource</v>
      </c>
      <c r="C172" s="8" t="str">
        <f>"(美) 杰弗里·吉特默著"</f>
        <v>(美) 杰弗里·吉特默著</v>
      </c>
      <c r="D172" s="8" t="str">
        <f>"中信出版社"</f>
        <v>中信出版社</v>
      </c>
      <c r="E172" s="8" t="str">
        <f>"F713.3/611"</f>
        <v>F713.3/611</v>
      </c>
    </row>
    <row r="173" spans="1:5" ht="21.95" customHeight="1">
      <c r="A173" s="6" t="str">
        <f>"978-7-5086-8608-0"</f>
        <v>978-7-5086-8608-0</v>
      </c>
      <c r="B173" s="7" t="str">
        <f>"7步签单：让你大跌眼镜的销售法"</f>
        <v>7步签单：让你大跌眼镜的销售法</v>
      </c>
      <c r="C173" s="8" t="str">
        <f>"(美) 大卫·桑德拉著"</f>
        <v>(美) 大卫·桑德拉著</v>
      </c>
      <c r="D173" s="8" t="str">
        <f>"中信出版集团股份有限公司"</f>
        <v>中信出版集团股份有限公司</v>
      </c>
      <c r="E173" s="8" t="str">
        <f>"F713.3/612"</f>
        <v>F713.3/612</v>
      </c>
    </row>
    <row r="174" spans="1:5" ht="21.95" customHeight="1">
      <c r="A174" s="6" t="str">
        <f>"978-7-5096-4659-5"</f>
        <v>978-7-5096-4659-5</v>
      </c>
      <c r="B174" s="7" t="str">
        <f>"批发市场概论"</f>
        <v>批发市场概论</v>
      </c>
      <c r="C174" s="8" t="str">
        <f>"丁晓强， 何建农， 龚晓莺主编"</f>
        <v>丁晓强， 何建农， 龚晓莺主编</v>
      </c>
      <c r="D174" s="8" t="str">
        <f>"经济管理出版社"</f>
        <v>经济管理出版社</v>
      </c>
      <c r="E174" s="8" t="str">
        <f>"F713.31/2"</f>
        <v>F713.31/2</v>
      </c>
    </row>
    <row r="175" spans="1:5" ht="21.95" customHeight="1">
      <c r="A175" s="6" t="str">
        <f>"978-7-5086-3833-1"</f>
        <v>978-7-5086-3833-1</v>
      </c>
      <c r="B175" s="7" t="str">
        <f>"品质经济：未来零售革命下的商业图景"</f>
        <v>品质经济：未来零售革命下的商业图景</v>
      </c>
      <c r="C175" s="8" t="str">
        <f>"刘强东著"</f>
        <v>刘强东著</v>
      </c>
      <c r="D175" s="8" t="str">
        <f>"中信出版集团股份有限公司"</f>
        <v>中信出版集团股份有限公司</v>
      </c>
      <c r="E175" s="8" t="str">
        <f>"F713.32/102"</f>
        <v>F713.32/102</v>
      </c>
    </row>
    <row r="176" spans="1:5" ht="21.95" customHeight="1">
      <c r="A176" s="6" t="str">
        <f>"978-7-5096-4825-4"</f>
        <v>978-7-5096-4825-4</v>
      </c>
      <c r="B176" s="7" t="str">
        <f>"移动商务导论"</f>
        <v>移动商务导论</v>
      </c>
      <c r="C176" s="8" t="str">
        <f>"张润彤， 程紫来主编"</f>
        <v>张润彤， 程紫来主编</v>
      </c>
      <c r="D176" s="8" t="str">
        <f>"经济管理出版社"</f>
        <v>经济管理出版社</v>
      </c>
      <c r="E176" s="8" t="str">
        <f>"F713.36/732=2D"</f>
        <v>F713.36/732=2D</v>
      </c>
    </row>
    <row r="177" spans="1:5" ht="21.95" customHeight="1">
      <c r="A177" s="6" t="str">
        <f>"978-7-302-49138-5"</f>
        <v>978-7-302-49138-5</v>
      </c>
      <c r="B177" s="7" t="str">
        <f>"电商知识十万个为什么"</f>
        <v>电商知识十万个为什么</v>
      </c>
      <c r="C177" s="8" t="str">
        <f>"主编黄飞杰， 薄赋徭"</f>
        <v>主编黄飞杰， 薄赋徭</v>
      </c>
      <c r="D177" s="8" t="str">
        <f>"清华大学出版社"</f>
        <v>清华大学出版社</v>
      </c>
      <c r="E177" s="8" t="str">
        <f>"F713.36/733"</f>
        <v>F713.36/733</v>
      </c>
    </row>
    <row r="178" spans="1:5" ht="35.25" customHeight="1">
      <c r="A178" s="6" t="str">
        <f>"978-7-5096-4670-0"</f>
        <v>978-7-5096-4670-0</v>
      </c>
      <c r="B178" s="7" t="s">
        <v>0</v>
      </c>
      <c r="C178" s="8" t="str">
        <f>"陈睿， 杨永忠著"</f>
        <v>陈睿， 杨永忠著</v>
      </c>
      <c r="D178" s="8" t="str">
        <f>"经济管理出版社"</f>
        <v>经济管理出版社</v>
      </c>
      <c r="E178" s="8" t="str">
        <f>"F713.36/734"</f>
        <v>F713.36/734</v>
      </c>
    </row>
    <row r="179" spans="1:5" ht="21.95" customHeight="1">
      <c r="A179" s="6" t="str">
        <f>"978-7-111-51785-6"</f>
        <v>978-7-111-51785-6</v>
      </c>
      <c r="B179" s="7" t="str">
        <f>"电商视觉营销11条商规：网店视觉设计定律"</f>
        <v>电商视觉营销11条商规：网店视觉设计定律</v>
      </c>
      <c r="C179" s="8" t="str">
        <f>"恒盛杰电商资讯编著"</f>
        <v>恒盛杰电商资讯编著</v>
      </c>
      <c r="D179" s="8" t="str">
        <f>"机械工业出版社"</f>
        <v>机械工业出版社</v>
      </c>
      <c r="E179" s="8" t="str">
        <f>"F713.361.2/6"</f>
        <v>F713.361.2/6</v>
      </c>
    </row>
    <row r="180" spans="1:5" ht="21.95" customHeight="1">
      <c r="A180" s="6" t="str">
        <f>"978-7-300-25364-0"</f>
        <v>978-7-300-25364-0</v>
      </c>
      <c r="B180" s="7" t="str">
        <f>"区块链冲击：改变未来产业的核心技术"</f>
        <v>区块链冲击：改变未来产业的核心技术</v>
      </c>
      <c r="C180" s="8" t="str">
        <f>"(日) Bitbank株式会社， 《区块链冲击》编辑委员会编著"</f>
        <v>(日) Bitbank株式会社， 《区块链冲击》编辑委员会编著</v>
      </c>
      <c r="D180" s="8" t="str">
        <f>"中国人民大学出版社"</f>
        <v>中国人民大学出版社</v>
      </c>
      <c r="E180" s="8" t="str">
        <f>"F713.361.3/5"</f>
        <v>F713.361.3/5</v>
      </c>
    </row>
    <row r="181" spans="1:5" ht="21.95" customHeight="1">
      <c r="A181" s="6" t="str">
        <f>"978-7-5086-6904-5"</f>
        <v>978-7-5086-6904-5</v>
      </c>
      <c r="B181" s="7" t="str">
        <f>"区块链金融"</f>
        <v>区块链金融</v>
      </c>
      <c r="C181" s="8" t="str">
        <f>"深圳前海瀚德互联网金融研究院主编"</f>
        <v>深圳前海瀚德互联网金融研究院主编</v>
      </c>
      <c r="D181" s="8" t="str">
        <f>"中信出版集团股份有限公司"</f>
        <v>中信出版集团股份有限公司</v>
      </c>
      <c r="E181" s="8" t="str">
        <f>"F713.361.3/6"</f>
        <v>F713.361.3/6</v>
      </c>
    </row>
    <row r="182" spans="1:5" ht="21.95" customHeight="1">
      <c r="A182" s="6" t="str">
        <f>"978-7-5057-4138-6"</f>
        <v>978-7-5057-4138-6</v>
      </c>
      <c r="B182" s="7" t="str">
        <f>"玩转社交媒体：苹果前首席宣传官谈新媒体营销秘诀"</f>
        <v>玩转社交媒体：苹果前首席宣传官谈新媒体营销秘诀</v>
      </c>
      <c r="C182" s="8" t="str">
        <f>"(美) 盖伊·川崎， 佩吉·菲茨帕特里克著"</f>
        <v>(美) 盖伊·川崎， 佩吉·菲茨帕特里克著</v>
      </c>
      <c r="D182" s="8" t="str">
        <f>"中国友谊出版公司"</f>
        <v>中国友谊出版公司</v>
      </c>
      <c r="E182" s="8" t="str">
        <f>"F713.365.2/92"</f>
        <v>F713.365.2/92</v>
      </c>
    </row>
    <row r="183" spans="1:5" ht="21.95" customHeight="1">
      <c r="A183" s="6" t="str">
        <f>"978-7-302-48803-3"</f>
        <v>978-7-302-48803-3</v>
      </c>
      <c r="B183" s="7" t="str">
        <f>"IP时代微商运营实战宝典"</f>
        <v>IP时代微商运营实战宝典</v>
      </c>
      <c r="C183" s="8" t="str">
        <f>"杨振荣， 李亚， 乔海燕编著"</f>
        <v>杨振荣， 李亚， 乔海燕编著</v>
      </c>
      <c r="D183" s="8" t="str">
        <f>"清华大学出版社"</f>
        <v>清华大学出版社</v>
      </c>
      <c r="E183" s="8" t="str">
        <f>"F713.365.2/93"</f>
        <v>F713.365.2/93</v>
      </c>
    </row>
    <row r="184" spans="1:5" ht="21.95" customHeight="1">
      <c r="A184" s="6" t="str">
        <f>"978-7-302-46311-5"</f>
        <v>978-7-302-46311-5</v>
      </c>
      <c r="B184" s="7" t="str">
        <f>"微信公众平台运营一本通：图文颜值美化 吸粉引流方法 赚钱盈利技巧"</f>
        <v>微信公众平台运营一本通：图文颜值美化 吸粉引流方法 赚钱盈利技巧</v>
      </c>
      <c r="C184" s="8" t="str">
        <f>"海天电商金融研究中心编著"</f>
        <v>海天电商金融研究中心编著</v>
      </c>
      <c r="D184" s="8" t="str">
        <f>"清华大学出版社"</f>
        <v>清华大学出版社</v>
      </c>
      <c r="E184" s="8" t="str">
        <f>"F713.365.2/94"</f>
        <v>F713.365.2/94</v>
      </c>
    </row>
    <row r="185" spans="1:5" ht="21.95" customHeight="1">
      <c r="A185" s="6" t="str">
        <f>"978-7-5596-1126-0"</f>
        <v>978-7-5596-1126-0</v>
      </c>
      <c r="B185" s="7" t="str">
        <f>"精准推送：新媒体时代的营销活动守则"</f>
        <v>精准推送：新媒体时代的营销活动守则</v>
      </c>
      <c r="C185" s="8" t="str">
        <f>"(日) 加藤公一莱奥著"</f>
        <v>(日) 加藤公一莱奥著</v>
      </c>
      <c r="D185" s="8" t="str">
        <f>"北京联合出版公司"</f>
        <v>北京联合出版公司</v>
      </c>
      <c r="E185" s="8" t="str">
        <f>"F713.365.2/95"</f>
        <v>F713.365.2/95</v>
      </c>
    </row>
    <row r="186" spans="1:5" ht="21.95" customHeight="1">
      <c r="A186" s="6" t="str">
        <f>"978-7-302-48347-2"</f>
        <v>978-7-302-48347-2</v>
      </c>
      <c r="B186" s="7" t="str">
        <f>"微信公众号运营：微信群的组建、吸粉和营销"</f>
        <v>微信公众号运营：微信群的组建、吸粉和营销</v>
      </c>
      <c r="C186" s="8" t="str">
        <f>"叶龙编著"</f>
        <v>叶龙编著</v>
      </c>
      <c r="D186" s="8" t="str">
        <f>"清华大学出版社"</f>
        <v>清华大学出版社</v>
      </c>
      <c r="E186" s="8" t="str">
        <f>"F713.365.2/96"</f>
        <v>F713.365.2/96</v>
      </c>
    </row>
    <row r="187" spans="1:5" ht="21.95" customHeight="1">
      <c r="A187" s="6" t="str">
        <f>"978-7-5113-6878-2"</f>
        <v>978-7-5113-6878-2</v>
      </c>
      <c r="B187" s="7" t="str">
        <f>"你在营销、管理和礼仪上最可能犯的错误"</f>
        <v>你在营销、管理和礼仪上最可能犯的错误</v>
      </c>
      <c r="C187" s="8" t="str">
        <f>"羽飞编著"</f>
        <v>羽飞编著</v>
      </c>
      <c r="D187" s="8" t="str">
        <f>"中国华侨出版社"</f>
        <v>中国华侨出版社</v>
      </c>
      <c r="E187" s="8" t="str">
        <f>"F713.5/61"</f>
        <v>F713.5/61</v>
      </c>
    </row>
    <row r="188" spans="1:5" ht="21.95" customHeight="1">
      <c r="A188" s="6" t="str">
        <f>"978-7-5086-7290-8"</f>
        <v>978-7-5086-7290-8</v>
      </c>
      <c r="B188" s="7" t="str">
        <f>"视觉内容营销：利用信息图表、视频和互动媒体吸引和留住客户"</f>
        <v>视觉内容营销：利用信息图表、视频和互动媒体吸引和留住客户</v>
      </c>
      <c r="C188" s="8" t="str">
        <f>"(美) 斯蒂芬·甘布尔著"</f>
        <v>(美) 斯蒂芬·甘布尔著</v>
      </c>
      <c r="D188" s="8" t="str">
        <f>"中信出版集团股份有限公司"</f>
        <v>中信出版集团股份有限公司</v>
      </c>
      <c r="E188" s="8" t="str">
        <f>"F713.50/735"</f>
        <v>F713.50/735</v>
      </c>
    </row>
    <row r="189" spans="1:5" ht="31.5" customHeight="1">
      <c r="A189" s="6" t="str">
        <f>"978-7-5096-4319-8"</f>
        <v>978-7-5096-4319-8</v>
      </c>
      <c r="B189" s="7" t="str">
        <f>"市场调查：理论、分析方法与实践案例：theory， method and practice cases"</f>
        <v>市场调查：理论、分析方法与实践案例：theory， method and practice cases</v>
      </c>
      <c r="C189" s="8" t="str">
        <f>"冯利英， 额尔敦陶克涛， 巩红禹编著"</f>
        <v>冯利英， 额尔敦陶克涛， 巩红禹编著</v>
      </c>
      <c r="D189" s="8" t="str">
        <f>"经济管理出版社"</f>
        <v>经济管理出版社</v>
      </c>
      <c r="E189" s="8" t="str">
        <f>"F713.52/75"</f>
        <v>F713.52/75</v>
      </c>
    </row>
    <row r="190" spans="1:5" ht="21.95" customHeight="1">
      <c r="A190" s="6" t="str">
        <f>"978-7-302-46814-1"</f>
        <v>978-7-302-46814-1</v>
      </c>
      <c r="B190" s="7" t="str">
        <f>"金牌文案：文案策划与活动执行"</f>
        <v>金牌文案：文案策划与活动执行</v>
      </c>
      <c r="C190" s="8" t="str">
        <f>"庄庆威著"</f>
        <v>庄庆威著</v>
      </c>
      <c r="D190" s="8" t="str">
        <f t="shared" ref="D190:D192" si="11">"清华大学出版社"</f>
        <v>清华大学出版社</v>
      </c>
      <c r="E190" s="8" t="str">
        <f>"F713.812/4"</f>
        <v>F713.812/4</v>
      </c>
    </row>
    <row r="191" spans="1:5" ht="21.95" customHeight="1">
      <c r="A191" s="6" t="str">
        <f>"978-7-302-46354-2"</f>
        <v>978-7-302-46354-2</v>
      </c>
      <c r="B191" s="7" t="str">
        <f>"商务谈判策略与案例分析"</f>
        <v>商务谈判策略与案例分析</v>
      </c>
      <c r="C191" s="8" t="str">
        <f>"吴建伟著"</f>
        <v>吴建伟著</v>
      </c>
      <c r="D191" s="8" t="str">
        <f t="shared" si="11"/>
        <v>清华大学出版社</v>
      </c>
      <c r="E191" s="8" t="str">
        <f>"F715.4/140"</f>
        <v>F715.4/140</v>
      </c>
    </row>
    <row r="192" spans="1:5" ht="21.95" customHeight="1">
      <c r="A192" s="6" t="str">
        <f>"978-7-302-49118-7"</f>
        <v>978-7-302-49118-7</v>
      </c>
      <c r="B192" s="7" t="str">
        <f>"Communicating in business"</f>
        <v>Communicating in business</v>
      </c>
      <c r="C192" s="8" t="str">
        <f>"Amy Newman"</f>
        <v>Amy Newman</v>
      </c>
      <c r="D192" s="8" t="str">
        <f t="shared" si="11"/>
        <v>清华大学出版社</v>
      </c>
      <c r="E192" s="8" t="str">
        <f>"F715/524"</f>
        <v>F715/524</v>
      </c>
    </row>
    <row r="193" spans="1:5" ht="42.75" customHeight="1">
      <c r="A193" s="6" t="str">
        <f>"978-7-5086-8456-7"</f>
        <v>978-7-5086-8456-7</v>
      </c>
      <c r="B193" s="7" t="str">
        <f>"中间人经济：经纪人、中介、交易商如何创造价值并赚取利润?：how brokers， agents， dealers， and everyday matchmakers create value and profit"</f>
        <v>中间人经济：经纪人、中介、交易商如何创造价值并赚取利润?：how brokers， agents， dealers， and everyday matchmakers create value and profit</v>
      </c>
      <c r="C193" s="8" t="str">
        <f>"(美) 玛丽娜·克拉科夫斯基著"</f>
        <v>(美) 玛丽娜·克拉科夫斯基著</v>
      </c>
      <c r="D193" s="8" t="str">
        <f>"中信出版集团股份有限公司"</f>
        <v>中信出版集团股份有限公司</v>
      </c>
      <c r="E193" s="8" t="str">
        <f>"F719.9/43"</f>
        <v>F719.9/43</v>
      </c>
    </row>
    <row r="194" spans="1:5" ht="21.95" customHeight="1">
      <c r="A194" s="6" t="str">
        <f>"978-7-5426-5917-0"</f>
        <v>978-7-5426-5917-0</v>
      </c>
      <c r="B194" s="7" t="str">
        <f>"从集市透视农村消费空间变迁：以胶东P市为例"</f>
        <v>从集市透视农村消费空间变迁：以胶东P市为例</v>
      </c>
      <c r="C194" s="8" t="str">
        <f>"徐京波著"</f>
        <v>徐京波著</v>
      </c>
      <c r="D194" s="8" t="str">
        <f>"上海三联书店"</f>
        <v>上海三联书店</v>
      </c>
      <c r="E194" s="8" t="str">
        <f>"F723.82/7"</f>
        <v>F723.82/7</v>
      </c>
    </row>
    <row r="195" spans="1:5" ht="21.95" customHeight="1">
      <c r="A195" s="6" t="str">
        <f>"978-7-5086-6783-6"</f>
        <v>978-7-5086-6783-6</v>
      </c>
      <c r="B195" s="7" t="str">
        <f>"名创优品没有秘密：通向未来的商业力量"</f>
        <v>名创优品没有秘密：通向未来的商业力量</v>
      </c>
      <c r="C195" s="8" t="str">
        <f>"杜博奇著"</f>
        <v>杜博奇著</v>
      </c>
      <c r="D195" s="8" t="str">
        <f t="shared" ref="D195:D197" si="12">"中信出版集团股份有限公司"</f>
        <v>中信出版集团股份有限公司</v>
      </c>
      <c r="E195" s="8" t="str">
        <f>"F724.2/16"</f>
        <v>F724.2/16</v>
      </c>
    </row>
    <row r="196" spans="1:5" ht="21.95" customHeight="1">
      <c r="A196" s="6" t="str">
        <f>"978-7-5086-6072-1"</f>
        <v>978-7-5086-6072-1</v>
      </c>
      <c r="B196" s="7" t="str">
        <f>"浩荡两千年：中国企业公元前7世纪-1869年"</f>
        <v>浩荡两千年：中国企业公元前7世纪-1869年</v>
      </c>
      <c r="C196" s="8" t="str">
        <f>"吴晓波著"</f>
        <v>吴晓波著</v>
      </c>
      <c r="D196" s="8" t="str">
        <f t="shared" si="12"/>
        <v>中信出版集团股份有限公司</v>
      </c>
      <c r="E196" s="8" t="str">
        <f>"F729.2/2=3D"</f>
        <v>F729.2/2=3D</v>
      </c>
    </row>
    <row r="197" spans="1:5" ht="21.95" customHeight="1">
      <c r="A197" s="6" t="str">
        <f>"978-7-5086-8525-0"</f>
        <v>978-7-5086-8525-0</v>
      </c>
      <c r="B197" s="7" t="str">
        <f>"忠于你的事业：沃尔玛传奇"</f>
        <v>忠于你的事业：沃尔玛传奇</v>
      </c>
      <c r="C197" s="8" t="str">
        <f>"(美) 罗伯特·斯莱特著"</f>
        <v>(美) 罗伯特·斯莱特著</v>
      </c>
      <c r="D197" s="8" t="str">
        <f t="shared" si="12"/>
        <v>中信出版集团股份有限公司</v>
      </c>
      <c r="E197" s="8" t="str">
        <f>"F737.124.2/14"</f>
        <v>F737.124.2/14</v>
      </c>
    </row>
    <row r="198" spans="1:5" ht="21.95" customHeight="1">
      <c r="A198" s="6" t="str">
        <f>"978-7-5096-4811-7"</f>
        <v>978-7-5096-4811-7</v>
      </c>
      <c r="B198" s="7" t="str">
        <f>"自由贸易区商务服务"</f>
        <v>自由贸易区商务服务</v>
      </c>
      <c r="C198" s="8" t="str">
        <f>"主编彭白桦"</f>
        <v>主编彭白桦</v>
      </c>
      <c r="D198" s="8" t="str">
        <f t="shared" ref="D198:D200" si="13">"经济管理出版社"</f>
        <v>经济管理出版社</v>
      </c>
      <c r="E198" s="8" t="str">
        <f>"F741.2/15"</f>
        <v>F741.2/15</v>
      </c>
    </row>
    <row r="199" spans="1:5" ht="21.95" customHeight="1">
      <c r="A199" s="6" t="str">
        <f>"978-7-5096-5320-3"</f>
        <v>978-7-5096-5320-3</v>
      </c>
      <c r="B199" s="7" t="str">
        <f>"FTA背景下中国与潜在自由贸易伙伴国家间农产品贸易关系"</f>
        <v>FTA背景下中国与潜在自由贸易伙伴国家间农产品贸易关系</v>
      </c>
      <c r="C199" s="8" t="str">
        <f>"司伟著"</f>
        <v>司伟著</v>
      </c>
      <c r="D199" s="8" t="str">
        <f t="shared" si="13"/>
        <v>经济管理出版社</v>
      </c>
      <c r="E199" s="8" t="str">
        <f>"F752.652/8"</f>
        <v>F752.652/8</v>
      </c>
    </row>
    <row r="200" spans="1:5" ht="34.5" customHeight="1">
      <c r="A200" s="6" t="str">
        <f>"978-7-5096-5654-9"</f>
        <v>978-7-5096-5654-9</v>
      </c>
      <c r="B200" s="7" t="str">
        <f>"国际财务管理实务：基于“一带一路”倡议背景：based on OBOR background"</f>
        <v>国际财务管理实务：基于“一带一路”倡议背景：based on OBOR background</v>
      </c>
      <c r="C200" s="8" t="str">
        <f>"卫林著"</f>
        <v>卫林著</v>
      </c>
      <c r="D200" s="8" t="str">
        <f t="shared" si="13"/>
        <v>经济管理出版社</v>
      </c>
      <c r="E200" s="8" t="str">
        <f>"F811.2/28"</f>
        <v>F811.2/28</v>
      </c>
    </row>
    <row r="201" spans="1:5" ht="21.95" customHeight="1">
      <c r="A201" s="6" t="str">
        <f>"978-7-5454-2215-3"</f>
        <v>978-7-5454-2215-3</v>
      </c>
      <c r="B201" s="7" t="str">
        <f>"企业纳税表格与填制"</f>
        <v>企业纳税表格与填制</v>
      </c>
      <c r="C201" s="8" t="str">
        <f>"代义国主编"</f>
        <v>代义国主编</v>
      </c>
      <c r="D201" s="8" t="str">
        <f>"广东经济出版社"</f>
        <v>广东经济出版社</v>
      </c>
      <c r="E201" s="8" t="str">
        <f>"F812.423/224"</f>
        <v>F812.423/224</v>
      </c>
    </row>
    <row r="202" spans="1:5" ht="21.95" customHeight="1">
      <c r="A202" s="6" t="str">
        <f>"978-7-115-45352-5"</f>
        <v>978-7-115-45352-5</v>
      </c>
      <c r="B202" s="7" t="str">
        <f>"从零开始学营改增：增值税实务指引+行业应用+案例分析"</f>
        <v>从零开始学营改增：增值税实务指引+行业应用+案例分析</v>
      </c>
      <c r="C202" s="8" t="str">
        <f>"潘晓编著"</f>
        <v>潘晓编著</v>
      </c>
      <c r="D202" s="8" t="str">
        <f>"人民邮电出版社"</f>
        <v>人民邮电出版社</v>
      </c>
      <c r="E202" s="8" t="str">
        <f>"F812.424/122"</f>
        <v>F812.424/122</v>
      </c>
    </row>
    <row r="203" spans="1:5" ht="21.95" customHeight="1">
      <c r="A203" s="6" t="str">
        <f>"978-7-121-29949-0"</f>
        <v>978-7-121-29949-0</v>
      </c>
      <c r="B203" s="7" t="str">
        <f>"营改增要点解读与应用筹划"</f>
        <v>营改增要点解读与应用筹划</v>
      </c>
      <c r="C203" s="8" t="str">
        <f>"邓水岩编著"</f>
        <v>邓水岩编著</v>
      </c>
      <c r="D203" s="8" t="str">
        <f>"电子工业出版社"</f>
        <v>电子工业出版社</v>
      </c>
      <c r="E203" s="8" t="str">
        <f>"F812.424/123"</f>
        <v>F812.424/123</v>
      </c>
    </row>
    <row r="204" spans="1:5" ht="21.95" customHeight="1">
      <c r="A204" s="6" t="str">
        <f>"978-7-108-05917-8"</f>
        <v>978-7-108-05917-8</v>
      </c>
      <c r="B204" s="7" t="str">
        <f>"信用创造"</f>
        <v>信用创造</v>
      </c>
      <c r="C204" s="8" t="str">
        <f>"刘成著"</f>
        <v>刘成著</v>
      </c>
      <c r="D204" s="8" t="str">
        <f>"三联书店"</f>
        <v>三联书店</v>
      </c>
      <c r="E204" s="8" t="str">
        <f>"F820.4/2"</f>
        <v>F820.4/2</v>
      </c>
    </row>
    <row r="205" spans="1:5" ht="21.95" customHeight="1">
      <c r="A205" s="6" t="str">
        <f>"978-7-5086-7231-1"</f>
        <v>978-7-5086-7231-1</v>
      </c>
      <c r="B205" s="7" t="str">
        <f>"币缘论：货币政治的演化"</f>
        <v>币缘论：货币政治的演化</v>
      </c>
      <c r="C205" s="8" t="str">
        <f>"王湘穗著"</f>
        <v>王湘穗著</v>
      </c>
      <c r="D205" s="8" t="str">
        <f>"中信出版集团股份有限公司"</f>
        <v>中信出版集团股份有限公司</v>
      </c>
      <c r="E205" s="8" t="str">
        <f>"F821.9/18"</f>
        <v>F821.9/18</v>
      </c>
    </row>
    <row r="206" spans="1:5" ht="21.95" customHeight="1">
      <c r="A206" s="6" t="str">
        <f>"978-7-5086-7637-1"</f>
        <v>978-7-5086-7637-1</v>
      </c>
      <c r="B206" s="7" t="str">
        <f>"货币战争．2．2：金权天下"</f>
        <v>货币战争．2．2：金权天下</v>
      </c>
      <c r="C206" s="8" t="str">
        <f>"宋鸿兵著"</f>
        <v>宋鸿兵著</v>
      </c>
      <c r="D206" s="8" t="str">
        <f>"中信出版集团股份有限公司"</f>
        <v>中信出版集团股份有限公司</v>
      </c>
      <c r="E206" s="8" t="str">
        <f>"F821.9/19"</f>
        <v>F821.9/19</v>
      </c>
    </row>
    <row r="207" spans="1:5" ht="21.95" customHeight="1">
      <c r="A207" s="6" t="str">
        <f>"978-7-5096-5484-2"</f>
        <v>978-7-5096-5484-2</v>
      </c>
      <c r="B207" s="7" t="str">
        <f>"中国金融会计学会重点研究课题获奖文集"</f>
        <v>中国金融会计学会重点研究课题获奖文集</v>
      </c>
      <c r="C207" s="8" t="str">
        <f>"中国金融会计学会编"</f>
        <v>中国金融会计学会编</v>
      </c>
      <c r="D207" s="8" t="str">
        <f>"经济管理出版社"</f>
        <v>经济管理出版社</v>
      </c>
      <c r="E207" s="8" t="str">
        <f>"F830.42-53/1"</f>
        <v>F830.42-53/1</v>
      </c>
    </row>
    <row r="208" spans="1:5" ht="21.95" customHeight="1">
      <c r="A208" s="6" t="str">
        <f>"978-7-5086-7232-8"</f>
        <v>978-7-5086-7232-8</v>
      </c>
      <c r="B208" s="7" t="str">
        <f>"险资运用新时代：国际模式与中国实践"</f>
        <v>险资运用新时代：国际模式与中国实践</v>
      </c>
      <c r="C208" s="8" t="str">
        <f>"中国保险行业协会编著"</f>
        <v>中国保险行业协会编著</v>
      </c>
      <c r="D208" s="8" t="str">
        <f>"中信出版集团股份有限公司"</f>
        <v>中信出版集团股份有限公司</v>
      </c>
      <c r="E208" s="8" t="str">
        <f>"F830.45/82"</f>
        <v>F830.45/82</v>
      </c>
    </row>
    <row r="209" spans="1:5" ht="21.95" customHeight="1">
      <c r="A209" s="6" t="str">
        <f>"978-7-302-45718-3"</f>
        <v>978-7-302-45718-3</v>
      </c>
      <c r="B209" s="7" t="str">
        <f>"互联网金融理论与实务"</f>
        <v>互联网金融理论与实务</v>
      </c>
      <c r="C209" s="8" t="str">
        <f>"赵永新主编"</f>
        <v>赵永新主编</v>
      </c>
      <c r="D209" s="8" t="str">
        <f>"清华大学出版社"</f>
        <v>清华大学出版社</v>
      </c>
      <c r="E209" s="8" t="str">
        <f>"F830.49/66"</f>
        <v>F830.49/66</v>
      </c>
    </row>
    <row r="210" spans="1:5" ht="21.95" customHeight="1">
      <c r="A210" s="6" t="str">
        <f>"978-7-5096-4695-3"</f>
        <v>978-7-5096-4695-3</v>
      </c>
      <c r="B210" s="7" t="str">
        <f>"新金融生态圈"</f>
        <v>新金融生态圈</v>
      </c>
      <c r="C210" s="8" t="str">
        <f>"王慧， 肖良林著"</f>
        <v>王慧， 肖良林著</v>
      </c>
      <c r="D210" s="8" t="str">
        <f>"经济管理出版社"</f>
        <v>经济管理出版社</v>
      </c>
      <c r="E210" s="8" t="str">
        <f>"F830.49/67"</f>
        <v>F830.49/67</v>
      </c>
    </row>
    <row r="211" spans="1:5" ht="21.95" customHeight="1">
      <c r="A211" s="6" t="str">
        <f>"978-7-5096-4596-3"</f>
        <v>978-7-5096-4596-3</v>
      </c>
      <c r="B211" s="7" t="str">
        <f>"互联网金融：创业、融资、理财实用手册"</f>
        <v>互联网金融：创业、融资、理财实用手册</v>
      </c>
      <c r="C211" s="8" t="str">
        <f>"陈丰著"</f>
        <v>陈丰著</v>
      </c>
      <c r="D211" s="8" t="str">
        <f>"经济管理出版社"</f>
        <v>经济管理出版社</v>
      </c>
      <c r="E211" s="8" t="str">
        <f>"F830.49-62/2"</f>
        <v>F830.49-62/2</v>
      </c>
    </row>
    <row r="212" spans="1:5" ht="21.95" customHeight="1">
      <c r="A212" s="6" t="str">
        <f>"978-7-5093-7592-1"</f>
        <v>978-7-5093-7592-1</v>
      </c>
      <c r="B212" s="7" t="str">
        <f>"PPP模式：全流程指导与案例分析"</f>
        <v>PPP模式：全流程指导与案例分析</v>
      </c>
      <c r="C212" s="8" t="str">
        <f>"主编吕汉阳"</f>
        <v>主编吕汉阳</v>
      </c>
      <c r="D212" s="8" t="str">
        <f>"中国法制出版社"</f>
        <v>中国法制出版社</v>
      </c>
      <c r="E212" s="8" t="str">
        <f>"F830.59/650"</f>
        <v>F830.59/650</v>
      </c>
    </row>
    <row r="213" spans="1:5" ht="21.95" customHeight="1">
      <c r="A213" s="6" t="str">
        <f>"978-7-5096-5194-0"</f>
        <v>978-7-5096-5194-0</v>
      </c>
      <c r="B213" s="7" t="str">
        <f>"投资理财理论与实务"</f>
        <v>投资理财理论与实务</v>
      </c>
      <c r="C213" s="8" t="str">
        <f>"苏跃辉， 徐丹主编"</f>
        <v>苏跃辉， 徐丹主编</v>
      </c>
      <c r="D213" s="8" t="str">
        <f>"经济管理出版社"</f>
        <v>经济管理出版社</v>
      </c>
      <c r="E213" s="8" t="str">
        <f>"F830.59/651"</f>
        <v>F830.59/651</v>
      </c>
    </row>
    <row r="214" spans="1:5" ht="21.95" customHeight="1">
      <c r="A214" s="6" t="str">
        <f>"978-7-5086-8501-4"</f>
        <v>978-7-5086-8501-4</v>
      </c>
      <c r="B214" s="7" t="str">
        <f>"好好赚钱：通向自由人生的极简理财课"</f>
        <v>好好赚钱：通向自由人生的极简理财课</v>
      </c>
      <c r="C214" s="8" t="str">
        <f>"简七著"</f>
        <v>简七著</v>
      </c>
      <c r="D214" s="8" t="str">
        <f>"中信出版集团股份有限公司"</f>
        <v>中信出版集团股份有限公司</v>
      </c>
      <c r="E214" s="8" t="str">
        <f>"F830.59/652"</f>
        <v>F830.59/652</v>
      </c>
    </row>
    <row r="215" spans="1:5" ht="34.5" customHeight="1">
      <c r="A215" s="6" t="str">
        <f>"978-7-5096-4863-6"</f>
        <v>978-7-5096-4863-6</v>
      </c>
      <c r="B215" s="7" t="s">
        <v>1</v>
      </c>
      <c r="C215" s="8" t="str">
        <f>"吴纪宁著"</f>
        <v>吴纪宁著</v>
      </c>
      <c r="D215" s="8" t="str">
        <f>"经济管理出版社"</f>
        <v>经济管理出版社</v>
      </c>
      <c r="E215" s="8" t="str">
        <f>"F830.59/653"</f>
        <v>F830.59/653</v>
      </c>
    </row>
    <row r="216" spans="1:5" ht="21.95" customHeight="1">
      <c r="A216" s="6" t="str">
        <f>"978-7-5086-8185-6"</f>
        <v>978-7-5086-8185-6</v>
      </c>
      <c r="B216" s="7" t="str">
        <f>"对冲基金管理指南"</f>
        <v>对冲基金管理指南</v>
      </c>
      <c r="C216" s="8" t="str">
        <f>"(美) 丹尼尔·斯特拉曼著"</f>
        <v>(美) 丹尼尔·斯特拉曼著</v>
      </c>
      <c r="D216" s="8" t="str">
        <f>"中信出版集团股份有限公司"</f>
        <v>中信出版集团股份有限公司</v>
      </c>
      <c r="E216" s="8" t="str">
        <f>"F830.593/8"</f>
        <v>F830.593/8</v>
      </c>
    </row>
    <row r="217" spans="1:5" ht="21.95" customHeight="1">
      <c r="A217" s="6" t="str">
        <f>"978-7-220-10291-2"</f>
        <v>978-7-220-10291-2</v>
      </c>
      <c r="B217" s="7" t="str">
        <f>"富爸爸穷爸爸"</f>
        <v>富爸爸穷爸爸</v>
      </c>
      <c r="C217" s="8" t="str">
        <f>"(美) 罗伯特·清崎著"</f>
        <v>(美) 罗伯特·清崎著</v>
      </c>
      <c r="D217" s="8" t="str">
        <f>"四川人民出版社"</f>
        <v>四川人民出版社</v>
      </c>
      <c r="E217" s="8" t="str">
        <f>"F830.59-49/16"</f>
        <v>F830.59-49/16</v>
      </c>
    </row>
    <row r="218" spans="1:5" ht="21.95" customHeight="1">
      <c r="A218" s="6" t="str">
        <f>"978-7-5086-8154-2"</f>
        <v>978-7-5086-8154-2</v>
      </c>
      <c r="B218" s="7" t="str">
        <f>"管理美元：广场协议和人民币的天命"</f>
        <v>管理美元：广场协议和人民币的天命</v>
      </c>
      <c r="C218" s="8" t="str">
        <f>"(日) 船桥洋一著"</f>
        <v>(日) 船桥洋一著</v>
      </c>
      <c r="D218" s="8" t="str">
        <f>"中信出版集团股份有限公司"</f>
        <v>中信出版集团股份有限公司</v>
      </c>
      <c r="E218" s="8" t="str">
        <f>"F830.73/89"</f>
        <v>F830.73/89</v>
      </c>
    </row>
    <row r="219" spans="1:5" ht="21.95" customHeight="1">
      <c r="A219" s="6" t="str">
        <f>"978-7-5096-4823-0"</f>
        <v>978-7-5096-4823-0</v>
      </c>
      <c r="B219" s="7" t="str">
        <f>"移动支付"</f>
        <v>移动支付</v>
      </c>
      <c r="C219" s="8" t="str">
        <f>"秦成德主编"</f>
        <v>秦成德主编</v>
      </c>
      <c r="D219" s="8" t="str">
        <f>"经济管理出版社"</f>
        <v>经济管理出版社</v>
      </c>
      <c r="E219" s="8" t="str">
        <f>"F830.73-39/1=2D"</f>
        <v>F830.73-39/1=2D</v>
      </c>
    </row>
    <row r="220" spans="1:5" ht="21.95" customHeight="1">
      <c r="A220" s="6" t="str">
        <f>"978-7-5086-8643-1"</f>
        <v>978-7-5086-8643-1</v>
      </c>
      <c r="B220" s="7" t="str">
        <f>"股市真规则"</f>
        <v>股市真规则</v>
      </c>
      <c r="C220" s="8" t="str">
        <f>"(美) 帕特·多尔西著"</f>
        <v>(美) 帕特·多尔西著</v>
      </c>
      <c r="D220" s="8" t="str">
        <f t="shared" ref="D220:D225" si="14">"中信出版集团股份有限公司"</f>
        <v>中信出版集团股份有限公司</v>
      </c>
      <c r="E220" s="8" t="str">
        <f>"F830.91/1217=3D"</f>
        <v>F830.91/1217=3D</v>
      </c>
    </row>
    <row r="221" spans="1:5" ht="21.95" customHeight="1">
      <c r="A221" s="6" t="str">
        <f>"978-7-5086-8280-8"</f>
        <v>978-7-5086-8280-8</v>
      </c>
      <c r="B221" s="7" t="str">
        <f>"股票投资组合管理"</f>
        <v>股票投资组合管理</v>
      </c>
      <c r="C221" s="8" t="str">
        <f>"(美) 弗兰克·J.法博齐主编"</f>
        <v>(美) 弗兰克·J.法博齐主编</v>
      </c>
      <c r="D221" s="8" t="str">
        <f t="shared" si="14"/>
        <v>中信出版集团股份有限公司</v>
      </c>
      <c r="E221" s="8" t="str">
        <f>"F830.91/1218"</f>
        <v>F830.91/1218</v>
      </c>
    </row>
    <row r="222" spans="1:5" ht="21.95" customHeight="1">
      <c r="A222" s="6" t="str">
        <f>"978-7-5086-7952-5"</f>
        <v>978-7-5086-7952-5</v>
      </c>
      <c r="B222" s="7" t="str">
        <f>"基金事务管理指南"</f>
        <v>基金事务管理指南</v>
      </c>
      <c r="C222" s="8" t="str">
        <f>"(英) 戴维·洛迪著"</f>
        <v>(英) 戴维·洛迪著</v>
      </c>
      <c r="D222" s="8" t="str">
        <f t="shared" si="14"/>
        <v>中信出版集团股份有限公司</v>
      </c>
      <c r="E222" s="8" t="str">
        <f>"F830.91/1219"</f>
        <v>F830.91/1219</v>
      </c>
    </row>
    <row r="223" spans="1:5" ht="21.95" customHeight="1">
      <c r="A223" s="6" t="str">
        <f>"978-7-5086-5778-3"</f>
        <v>978-7-5086-5778-3</v>
      </c>
      <c r="B223" s="7" t="str">
        <f>"投机之王利弗莫尔全集"</f>
        <v>投机之王利弗莫尔全集</v>
      </c>
      <c r="C223" s="8" t="str">
        <f>"(美) 埃德漫·李费佛， 杰西·利弗莫尔著"</f>
        <v>(美) 埃德漫·李费佛， 杰西·利弗莫尔著</v>
      </c>
      <c r="D223" s="8" t="str">
        <f t="shared" si="14"/>
        <v>中信出版集团股份有限公司</v>
      </c>
      <c r="E223" s="8" t="str">
        <f>"F830.91/1220"</f>
        <v>F830.91/1220</v>
      </c>
    </row>
    <row r="224" spans="1:5" ht="21.95" customHeight="1">
      <c r="A224" s="6" t="str">
        <f>"978-7-5086-7907-5"</f>
        <v>978-7-5086-7907-5</v>
      </c>
      <c r="B224" s="7" t="str">
        <f>"金融科技"</f>
        <v>金融科技</v>
      </c>
      <c r="C224" s="8" t="str">
        <f>"周伟， 张健， 梁国忠著"</f>
        <v>周伟， 张健， 梁国忠著</v>
      </c>
      <c r="D224" s="8" t="str">
        <f t="shared" si="14"/>
        <v>中信出版集团股份有限公司</v>
      </c>
      <c r="E224" s="8" t="str">
        <f>"F830/386"</f>
        <v>F830/386</v>
      </c>
    </row>
    <row r="225" spans="1:5" ht="36" customHeight="1">
      <c r="A225" s="6" t="str">
        <f>"978-7-5086-6393-7"</f>
        <v>978-7-5086-6393-7</v>
      </c>
      <c r="B225" s="7" t="str">
        <f>"胡作非为：人性之本与金融暴行：my journey into the world of the bankers"</f>
        <v>胡作非为：人性之本与金融暴行：my journey into the world of the bankers</v>
      </c>
      <c r="C225" s="8" t="str">
        <f>"(荷兰) 乔里斯·卢因迪克著"</f>
        <v>(荷兰) 乔里斯·卢因迪克著</v>
      </c>
      <c r="D225" s="8" t="str">
        <f t="shared" si="14"/>
        <v>中信出版集团股份有限公司</v>
      </c>
      <c r="E225" s="8" t="str">
        <f>"F830-49/8"</f>
        <v>F830-49/8</v>
      </c>
    </row>
    <row r="226" spans="1:5" ht="21.95" customHeight="1">
      <c r="A226" s="6" t="str">
        <f>"978-7-5086-5100-2"</f>
        <v>978-7-5086-5100-2</v>
      </c>
      <c r="B226" s="7" t="str">
        <f>"从攫取到共容：金融改革的逻辑"</f>
        <v>从攫取到共容：金融改革的逻辑</v>
      </c>
      <c r="C226" s="8" t="str">
        <f>"赵昌文， 朱鸿鸣著"</f>
        <v>赵昌文， 朱鸿鸣著</v>
      </c>
      <c r="D226" s="8" t="str">
        <f>"中信出版社"</f>
        <v>中信出版社</v>
      </c>
      <c r="E226" s="8" t="str">
        <f>"F832.1/98"</f>
        <v>F832.1/98</v>
      </c>
    </row>
    <row r="227" spans="1:5" ht="21.95" customHeight="1">
      <c r="A227" s="6" t="str">
        <f>"978-7-5096-5328-9"</f>
        <v>978-7-5096-5328-9</v>
      </c>
      <c r="B227" s="7" t="str">
        <f>"中国民营银行发展与监管研究"</f>
        <v>中国民营银行发展与监管研究</v>
      </c>
      <c r="C227" s="8" t="str">
        <f>"王刚著"</f>
        <v>王刚著</v>
      </c>
      <c r="D227" s="8" t="str">
        <f>"经济管理出版社"</f>
        <v>经济管理出版社</v>
      </c>
      <c r="E227" s="8" t="str">
        <f>"F832.39/19"</f>
        <v>F832.39/19</v>
      </c>
    </row>
    <row r="228" spans="1:5" ht="21.95" customHeight="1">
      <c r="A228" s="6" t="str">
        <f>"978-7-5086-8147-4"</f>
        <v>978-7-5086-8147-4</v>
      </c>
      <c r="B228" s="7" t="str">
        <f>"中国式财富管理：不可不知的未来财富管理知识"</f>
        <v>中国式财富管理：不可不知的未来财富管理知识</v>
      </c>
      <c r="C228" s="8" t="str">
        <f>"金李， 袁慰著"</f>
        <v>金李， 袁慰著</v>
      </c>
      <c r="D228" s="8" t="str">
        <f t="shared" ref="D228:D231" si="15">"中信出版集团股份有限公司"</f>
        <v>中信出版集团股份有限公司</v>
      </c>
      <c r="E228" s="8" t="str">
        <f>"F832.48-49/1"</f>
        <v>F832.48-49/1</v>
      </c>
    </row>
    <row r="229" spans="1:5" ht="21.95" customHeight="1">
      <c r="A229" s="6" t="str">
        <f>"978-7-5086-8197-9"</f>
        <v>978-7-5086-8197-9</v>
      </c>
      <c r="B229" s="7" t="str">
        <f>"汇率的博弈：人民币与大国崛起"</f>
        <v>汇率的博弈：人民币与大国崛起</v>
      </c>
      <c r="C229" s="8" t="str">
        <f>"管涛， 马昀， 夏座蓉等著"</f>
        <v>管涛， 马昀， 夏座蓉等著</v>
      </c>
      <c r="D229" s="8" t="str">
        <f t="shared" si="15"/>
        <v>中信出版集团股份有限公司</v>
      </c>
      <c r="E229" s="8" t="str">
        <f>"F832.63/43"</f>
        <v>F832.63/43</v>
      </c>
    </row>
    <row r="230" spans="1:5" ht="21.95" customHeight="1">
      <c r="A230" s="6" t="str">
        <f>"978-7-5086-7590-9"</f>
        <v>978-7-5086-7590-9</v>
      </c>
      <c r="B230" s="7" t="str">
        <f>"渐行渐近的金融周期"</f>
        <v>渐行渐近的金融周期</v>
      </c>
      <c r="C230" s="8" t="str">
        <f>"彭文生著"</f>
        <v>彭文生著</v>
      </c>
      <c r="D230" s="8" t="str">
        <f t="shared" si="15"/>
        <v>中信出版集团股份有限公司</v>
      </c>
      <c r="E230" s="8" t="str">
        <f>"F832/163"</f>
        <v>F832/163</v>
      </c>
    </row>
    <row r="231" spans="1:5" ht="21.95" customHeight="1">
      <c r="A231" s="6" t="str">
        <f>"978-7-5086-6676-1"</f>
        <v>978-7-5086-6676-1</v>
      </c>
      <c r="B231" s="7" t="str">
        <f>"中国金融与全球治理"</f>
        <v>中国金融与全球治理</v>
      </c>
      <c r="C231" s="8" t="str">
        <f>"张红力， 程实， 万喆等著"</f>
        <v>张红力， 程实， 万喆等著</v>
      </c>
      <c r="D231" s="8" t="str">
        <f t="shared" si="15"/>
        <v>中信出版集团股份有限公司</v>
      </c>
      <c r="E231" s="8" t="str">
        <f>"F832/164"</f>
        <v>F832/164</v>
      </c>
    </row>
    <row r="232" spans="1:5" ht="21.95" customHeight="1">
      <c r="A232" s="6" t="str">
        <f>"978-7-5096-4828-5"</f>
        <v>978-7-5096-4828-5</v>
      </c>
      <c r="B232" s="7" t="str">
        <f>"移动金融"</f>
        <v>移动金融</v>
      </c>
      <c r="C232" s="8" t="str">
        <f>"叶蜀君主编"</f>
        <v>叶蜀君主编</v>
      </c>
      <c r="D232" s="8" t="str">
        <f>"经济管理出版社"</f>
        <v>经济管理出版社</v>
      </c>
      <c r="E232" s="8" t="str">
        <f>"F832-39/3"</f>
        <v>F832-39/3</v>
      </c>
    </row>
    <row r="233" spans="1:5" ht="21.95" customHeight="1">
      <c r="A233" s="6" t="str">
        <f>"978-7-5096-4913-8"</f>
        <v>978-7-5096-4913-8</v>
      </c>
      <c r="B233" s="7" t="str">
        <f>"非标资产管理业务的金融创新与风控实务"</f>
        <v>非标资产管理业务的金融创新与风控实务</v>
      </c>
      <c r="C233" s="8" t="str">
        <f>"李爱民， 王巍主编"</f>
        <v>李爱民， 王巍主编</v>
      </c>
      <c r="D233" s="8" t="str">
        <f>"经济管理出版社"</f>
        <v>经济管理出版社</v>
      </c>
      <c r="E233" s="8" t="str">
        <f>"F832-53/16"</f>
        <v>F832-53/16</v>
      </c>
    </row>
    <row r="234" spans="1:5" ht="34.5" customHeight="1">
      <c r="A234" s="6" t="str">
        <f>"978-7-5086-6874-1"</f>
        <v>978-7-5086-6874-1</v>
      </c>
      <c r="B234" s="7" t="str">
        <f>"高盛， 危机即将到来?：一个内部人眼中的高盛隐秘世界：an insider's story of organizational drift and its unintended consequences"</f>
        <v>高盛， 危机即将到来?：一个内部人眼中的高盛隐秘世界：an insider's story of organizational drift and its unintended consequences</v>
      </c>
      <c r="C234" s="8" t="str">
        <f>"(美) 史蒂芬·曼迪斯著"</f>
        <v>(美) 史蒂芬·曼迪斯著</v>
      </c>
      <c r="D234" s="8" t="str">
        <f t="shared" ref="D234:D237" si="16">"中信出版集团股份有限公司"</f>
        <v>中信出版集团股份有限公司</v>
      </c>
      <c r="E234" s="8" t="str">
        <f>"F837.123/30"</f>
        <v>F837.123/30</v>
      </c>
    </row>
    <row r="235" spans="1:5" ht="21.95" customHeight="1">
      <c r="A235" s="6" t="str">
        <f>"978-7-5086-8629-5"</f>
        <v>978-7-5086-8629-5</v>
      </c>
      <c r="B235" s="7" t="str">
        <f>"巴菲特与索罗斯的投资习惯"</f>
        <v>巴菲特与索罗斯的投资习惯</v>
      </c>
      <c r="C235" s="8" t="str">
        <f>"(澳) 马克·泰尔著"</f>
        <v>(澳) 马克·泰尔著</v>
      </c>
      <c r="D235" s="8" t="str">
        <f t="shared" si="16"/>
        <v>中信出版集团股份有限公司</v>
      </c>
      <c r="E235" s="8" t="str">
        <f>"F837.124.8/27"</f>
        <v>F837.124.8/27</v>
      </c>
    </row>
    <row r="236" spans="1:5" ht="21.95" customHeight="1">
      <c r="A236" s="6" t="str">
        <f>"978-7-5086-7363-9"</f>
        <v>978-7-5086-7363-9</v>
      </c>
      <c r="B236" s="7" t="str">
        <f>"金融的本质：伯南克四讲美联储"</f>
        <v>金融的本质：伯南克四讲美联储</v>
      </c>
      <c r="C236" s="8" t="str">
        <f>"(美) 本·伯南克著"</f>
        <v>(美) 本·伯南克著</v>
      </c>
      <c r="D236" s="8" t="str">
        <f t="shared" si="16"/>
        <v>中信出版集团股份有限公司</v>
      </c>
      <c r="E236" s="8" t="str">
        <f>"F837.129/16=2D"</f>
        <v>F837.129/16=2D</v>
      </c>
    </row>
    <row r="237" spans="1:5" ht="21.95" customHeight="1">
      <c r="A237" s="6" t="str">
        <f>"978-7-5086-7749-1"</f>
        <v>978-7-5086-7749-1</v>
      </c>
      <c r="B237" s="7" t="str">
        <f>"美联储传：一部现代金融史"</f>
        <v>美联储传：一部现代金融史</v>
      </c>
      <c r="C237" s="8" t="str">
        <f>"(美) G.爱德华·格里芬著"</f>
        <v>(美) G.爱德华·格里芬著</v>
      </c>
      <c r="D237" s="8" t="str">
        <f t="shared" si="16"/>
        <v>中信出版集团股份有限公司</v>
      </c>
      <c r="E237" s="8" t="str">
        <f>"F837.129/17"</f>
        <v>F837.129/17</v>
      </c>
    </row>
    <row r="238" spans="1:5" ht="36" customHeight="1">
      <c r="A238" s="6" t="str">
        <f>"978-7-5096-4933-6"</f>
        <v>978-7-5096-4933-6</v>
      </c>
      <c r="B238" s="7" t="str">
        <f>"农村社会养老保险制度优化研究：基于养老金与财政动态契合的视角：based on the dynamic correspondence of pension and finance"</f>
        <v>农村社会养老保险制度优化研究：基于养老金与财政动态契合的视角：based on the dynamic correspondence of pension and finance</v>
      </c>
      <c r="C238" s="8" t="str">
        <f>"孙雅娜， 王成鑫， 边恕著"</f>
        <v>孙雅娜， 王成鑫， 边恕著</v>
      </c>
      <c r="D238" s="8" t="str">
        <f>"经济管理出版社"</f>
        <v>经济管理出版社</v>
      </c>
      <c r="E238" s="8" t="str">
        <f>"F842.612/4"</f>
        <v>F842.612/4</v>
      </c>
    </row>
  </sheetData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F157"/>
  <sheetViews>
    <sheetView topLeftCell="A160" workbookViewId="0">
      <selection activeCell="G5" sqref="G5"/>
    </sheetView>
  </sheetViews>
  <sheetFormatPr defaultRowHeight="13.5"/>
  <cols>
    <col min="1" max="1" width="21.25" customWidth="1"/>
    <col min="2" max="2" width="50.5" customWidth="1"/>
    <col min="3" max="3" width="28.75" customWidth="1"/>
    <col min="4" max="4" width="27.375" customWidth="1"/>
    <col min="5" max="5" width="20.375" customWidth="1"/>
  </cols>
  <sheetData>
    <row r="1" spans="1:6" ht="25.5" customHeight="1">
      <c r="A1" s="4" t="str">
        <f>"ISBN"</f>
        <v>ISBN</v>
      </c>
      <c r="B1" s="5" t="str">
        <f>"题名"</f>
        <v>题名</v>
      </c>
      <c r="C1" s="4" t="str">
        <f>"责任者"</f>
        <v>责任者</v>
      </c>
      <c r="D1" s="4" t="str">
        <f>"出版社"</f>
        <v>出版社</v>
      </c>
      <c r="E1" s="4" t="str">
        <f>"索书号"</f>
        <v>索书号</v>
      </c>
    </row>
    <row r="2" spans="1:6" ht="21.95" customHeight="1">
      <c r="A2" s="6" t="str">
        <f>"978-7-5086-6046-2"</f>
        <v>978-7-5086-6046-2</v>
      </c>
      <c r="B2" s="7" t="str">
        <f>"中国文化的命运"</f>
        <v>中国文化的命运</v>
      </c>
      <c r="C2" s="8" t="str">
        <f>"梁漱溟"</f>
        <v>梁漱溟</v>
      </c>
      <c r="D2" s="8" t="str">
        <f>"中信出版集团股份有限公司"</f>
        <v>中信出版集团股份有限公司</v>
      </c>
      <c r="E2" s="8" t="str">
        <f>"G122/40=3D"</f>
        <v>G122/40=3D</v>
      </c>
      <c r="F2" s="11"/>
    </row>
    <row r="3" spans="1:6" ht="21.95" customHeight="1">
      <c r="A3" s="6" t="str">
        <f>"978-7-03-056541-9"</f>
        <v>978-7-03-056541-9</v>
      </c>
      <c r="B3" s="7" t="str">
        <f>"信息系统、知识共享与商务关系"</f>
        <v>信息系统、知识共享与商务关系</v>
      </c>
      <c r="C3" s="8" t="str">
        <f>"张志颖， 康凯著"</f>
        <v>张志颖， 康凯著</v>
      </c>
      <c r="D3" s="8" t="str">
        <f>"科学出版社"</f>
        <v>科学出版社</v>
      </c>
      <c r="E3" s="8" t="str">
        <f>"G202/97"</f>
        <v>G202/97</v>
      </c>
      <c r="F3" s="11"/>
    </row>
    <row r="4" spans="1:6" ht="21.95" customHeight="1">
      <c r="A4" s="6" t="str">
        <f>"978-7-302-46172-2"</f>
        <v>978-7-302-46172-2</v>
      </c>
      <c r="B4" s="7" t="str">
        <f>"游戏行业微营销实战攻略"</f>
        <v>游戏行业微营销实战攻略</v>
      </c>
      <c r="C4" s="8" t="str">
        <f>"海天电商金融研究中心编著"</f>
        <v>海天电商金融研究中心编著</v>
      </c>
      <c r="D4" s="8" t="str">
        <f>"清华大学出版社"</f>
        <v>清华大学出版社</v>
      </c>
      <c r="E4" s="8" t="str">
        <f>"G898.3/4"</f>
        <v>G898.3/4</v>
      </c>
      <c r="F4" s="11"/>
    </row>
    <row r="5" spans="1:6" ht="30" customHeight="1">
      <c r="A5" s="6" t="str">
        <f>"978-7-5057-3836-2"</f>
        <v>978-7-5057-3836-2</v>
      </c>
      <c r="B5" s="7" t="str">
        <f>"演说家是怎样炼成的：演说家们告诉你， 如何说到心里去!"</f>
        <v>演说家是怎样炼成的：演说家们告诉你， 如何说到心里去!</v>
      </c>
      <c r="C5" s="8" t="str">
        <f>"乐嘉监制"</f>
        <v>乐嘉监制</v>
      </c>
      <c r="D5" s="8" t="str">
        <f>"中国友谊出版公司"</f>
        <v>中国友谊出版公司</v>
      </c>
      <c r="E5" s="8" t="str">
        <f>"H019/412"</f>
        <v>H019/412</v>
      </c>
      <c r="F5" s="11"/>
    </row>
    <row r="6" spans="1:6" ht="21.95" customHeight="1">
      <c r="A6" s="6" t="str">
        <f>"978-7-218-12153-6"</f>
        <v>978-7-218-12153-6</v>
      </c>
      <c r="B6" s="7" t="str">
        <f>"微演讲：自媒体时代， 我们如何玩转微演讲"</f>
        <v>微演讲：自媒体时代， 我们如何玩转微演讲</v>
      </c>
      <c r="C6" s="8" t="str">
        <f>"化保力著"</f>
        <v>化保力著</v>
      </c>
      <c r="D6" s="8" t="str">
        <f>"广东人民出版社"</f>
        <v>广东人民出版社</v>
      </c>
      <c r="E6" s="8" t="str">
        <f>"H019/413"</f>
        <v>H019/413</v>
      </c>
      <c r="F6" s="11"/>
    </row>
    <row r="7" spans="1:6" ht="48" customHeight="1">
      <c r="A7" s="6" t="str">
        <f>"978-7-300-24870-7"</f>
        <v>978-7-300-24870-7</v>
      </c>
      <c r="B7" s="7" t="str">
        <f>"TED演讲的秘密：18分钟改变世界：secrets of the world's most inspiring presentations"</f>
        <v>TED演讲的秘密：18分钟改变世界：secrets of the world's most inspiring presentations</v>
      </c>
      <c r="C7" s="8" t="str">
        <f>"(美) 杰瑞米·多诺万著"</f>
        <v>(美) 杰瑞米·多诺万著</v>
      </c>
      <c r="D7" s="8" t="str">
        <f>"中国人民大学出版社"</f>
        <v>中国人民大学出版社</v>
      </c>
      <c r="E7" s="8" t="str">
        <f>"H019/414"</f>
        <v>H019/414</v>
      </c>
      <c r="F7" s="11"/>
    </row>
    <row r="8" spans="1:6" ht="21.95" customHeight="1">
      <c r="A8" s="6" t="str">
        <f>"978-7-5086-8222-8"</f>
        <v>978-7-5086-8222-8</v>
      </c>
      <c r="B8" s="7" t="str">
        <f>"会讲故事才是好演讲"</f>
        <v>会讲故事才是好演讲</v>
      </c>
      <c r="C8" s="8" t="str">
        <f>"(美) 卡迈恩·加洛著"</f>
        <v>(美) 卡迈恩·加洛著</v>
      </c>
      <c r="D8" s="8" t="str">
        <f>"中信出版集团股份有限公司"</f>
        <v>中信出版集团股份有限公司</v>
      </c>
      <c r="E8" s="8" t="str">
        <f>"H019-49/392"</f>
        <v>H019-49/392</v>
      </c>
      <c r="F8" s="11"/>
    </row>
    <row r="9" spans="1:6" ht="21.95" customHeight="1">
      <c r="A9" s="6" t="str">
        <f>"978-7-5142-1878-7"</f>
        <v>978-7-5142-1878-7</v>
      </c>
      <c r="B9" s="7" t="str">
        <f>"高情商聊天术"</f>
        <v>高情商聊天术</v>
      </c>
      <c r="C9" s="8" t="str">
        <f>"张超著"</f>
        <v>张超著</v>
      </c>
      <c r="D9" s="8" t="str">
        <f>"文化发展出版社"</f>
        <v>文化发展出版社</v>
      </c>
      <c r="E9" s="8" t="str">
        <f>"H019-49/393"</f>
        <v>H019-49/393</v>
      </c>
      <c r="F9" s="11"/>
    </row>
    <row r="10" spans="1:6" ht="21.95" customHeight="1">
      <c r="A10" s="6" t="str">
        <f>"978-7-5688-2520-7"</f>
        <v>978-7-5688-2520-7</v>
      </c>
      <c r="B10" s="7" t="str">
        <f>"情商高， 就是说话让人舒服"</f>
        <v>情商高， 就是说话让人舒服</v>
      </c>
      <c r="C10" s="8" t="str">
        <f>"朱凌， 常清著"</f>
        <v>朱凌， 常清著</v>
      </c>
      <c r="D10" s="8" t="str">
        <f>"延边大学出版社"</f>
        <v>延边大学出版社</v>
      </c>
      <c r="E10" s="8" t="str">
        <f>"H019-49/394"</f>
        <v>H019-49/394</v>
      </c>
      <c r="F10" s="11"/>
    </row>
    <row r="11" spans="1:6" ht="21.95" customHeight="1">
      <c r="A11" s="6" t="str">
        <f>"978-7-5086-6935-9"</f>
        <v>978-7-5086-6935-9</v>
      </c>
      <c r="B11" s="7" t="str">
        <f>"演讲的本质：让思想更有影响力"</f>
        <v>演讲的本质：让思想更有影响力</v>
      </c>
      <c r="C11" s="8" t="str">
        <f>"(英)马丁·纽曼， 郑燕著"</f>
        <v>(英)马丁·纽曼， 郑燕著</v>
      </c>
      <c r="D11" s="8" t="str">
        <f>"中信出版集团股份有限公司"</f>
        <v>中信出版集团股份有限公司</v>
      </c>
      <c r="E11" s="8" t="str">
        <f>"H019-49/395"</f>
        <v>H019-49/395</v>
      </c>
      <c r="F11" s="11"/>
    </row>
    <row r="12" spans="1:6" ht="21.95" customHeight="1">
      <c r="A12" s="6" t="str">
        <f>"978-7-5093-8922-5"</f>
        <v>978-7-5093-8922-5</v>
      </c>
      <c r="B12" s="7" t="str">
        <f>"沃顿商学院精英口才课"</f>
        <v>沃顿商学院精英口才课</v>
      </c>
      <c r="C12" s="8" t="str">
        <f>"徐佳九著"</f>
        <v>徐佳九著</v>
      </c>
      <c r="D12" s="8" t="str">
        <f>"中国法制出版社"</f>
        <v>中国法制出版社</v>
      </c>
      <c r="E12" s="8" t="str">
        <f>"H019-49/396"</f>
        <v>H019-49/396</v>
      </c>
      <c r="F12" s="11"/>
    </row>
    <row r="13" spans="1:6" ht="21.95" customHeight="1">
      <c r="A13" s="6" t="str">
        <f>"978-7-5096-5573-3"</f>
        <v>978-7-5096-5573-3</v>
      </c>
      <c r="B13" s="7" t="str">
        <f>"总裁演说智慧"</f>
        <v>总裁演说智慧</v>
      </c>
      <c r="C13" s="8" t="str">
        <f>"千海著"</f>
        <v>千海著</v>
      </c>
      <c r="D13" s="8" t="str">
        <f>"经济管理出版社"</f>
        <v>经济管理出版社</v>
      </c>
      <c r="E13" s="8" t="str">
        <f>"H019-49/397"</f>
        <v>H019-49/397</v>
      </c>
      <c r="F13" s="11"/>
    </row>
    <row r="14" spans="1:6" ht="21.95" customHeight="1">
      <c r="A14" s="6" t="str">
        <f>"978-7-302-48566-7"</f>
        <v>978-7-302-48566-7</v>
      </c>
      <c r="B14" s="7" t="str">
        <f>"演说的魔力：5分钟让你成为说话高手"</f>
        <v>演说的魔力：5分钟让你成为说话高手</v>
      </c>
      <c r="C14" s="8" t="str">
        <f>"杜延起著"</f>
        <v>杜延起著</v>
      </c>
      <c r="D14" s="8" t="str">
        <f t="shared" ref="D14:D16" si="0">"清华大学出版社"</f>
        <v>清华大学出版社</v>
      </c>
      <c r="E14" s="8" t="str">
        <f>"H019-49/398"</f>
        <v>H019-49/398</v>
      </c>
      <c r="F14" s="11"/>
    </row>
    <row r="15" spans="1:6" ht="21.95" customHeight="1">
      <c r="A15" s="6" t="str">
        <f>"978-7-302-45358-1"</f>
        <v>978-7-302-45358-1</v>
      </c>
      <c r="B15" s="7" t="str">
        <f>"当众演讲：好口才是这样练出来的"</f>
        <v>当众演讲：好口才是这样练出来的</v>
      </c>
      <c r="C15" s="8" t="str">
        <f>"陈权著"</f>
        <v>陈权著</v>
      </c>
      <c r="D15" s="8" t="str">
        <f t="shared" si="0"/>
        <v>清华大学出版社</v>
      </c>
      <c r="E15" s="8" t="str">
        <f>"H019-49/399"</f>
        <v>H019-49/399</v>
      </c>
      <c r="F15" s="11"/>
    </row>
    <row r="16" spans="1:6" ht="21.95" customHeight="1">
      <c r="A16" s="6" t="str">
        <f>"978-7-302-48903-0"</f>
        <v>978-7-302-48903-0</v>
      </c>
      <c r="B16" s="7" t="str">
        <f>"“犹”趣的思维"</f>
        <v>“犹”趣的思维</v>
      </c>
      <c r="C16" s="8" t="str">
        <f>"(德) 蓝龙著"</f>
        <v>(德) 蓝龙著</v>
      </c>
      <c r="D16" s="8" t="str">
        <f t="shared" si="0"/>
        <v>清华大学出版社</v>
      </c>
      <c r="E16" s="8" t="str">
        <f>"H033/200"</f>
        <v>H033/200</v>
      </c>
      <c r="F16" s="11"/>
    </row>
    <row r="17" spans="1:6" ht="21.95" customHeight="1">
      <c r="A17" s="6" t="str">
        <f>"978-7-210-07488-5"</f>
        <v>978-7-210-07488-5</v>
      </c>
      <c r="B17" s="7" t="str">
        <f>"完全写作指南"</f>
        <v>完全写作指南</v>
      </c>
      <c r="C17" s="8" t="str">
        <f>"(美)劳拉·布朗著"</f>
        <v>(美)劳拉·布朗著</v>
      </c>
      <c r="D17" s="8" t="str">
        <f>"江西人民出版社"</f>
        <v>江西人民出版社</v>
      </c>
      <c r="E17" s="8" t="str">
        <f>"H05-62/1"</f>
        <v>H05-62/1</v>
      </c>
      <c r="F17" s="11"/>
    </row>
    <row r="18" spans="1:6" ht="21.95" customHeight="1">
      <c r="A18" s="6" t="str">
        <f>"978-7-302-41588-6"</f>
        <v>978-7-302-41588-6</v>
      </c>
      <c r="B18" s="7" t="str">
        <f>"翻译与中国现代性"</f>
        <v>翻译与中国现代性</v>
      </c>
      <c r="C18" s="8" t="str">
        <f>"罗选民著"</f>
        <v>罗选民著</v>
      </c>
      <c r="D18" s="8" t="str">
        <f t="shared" ref="D18:D20" si="1">"清华大学出版社"</f>
        <v>清华大学出版社</v>
      </c>
      <c r="E18" s="8" t="str">
        <f>"H059/126"</f>
        <v>H059/126</v>
      </c>
      <c r="F18" s="11"/>
    </row>
    <row r="19" spans="1:6" ht="21.95" customHeight="1">
      <c r="A19" s="6" t="str">
        <f>"978-7-302-46016-9"</f>
        <v>978-7-302-46016-9</v>
      </c>
      <c r="B19" s="7" t="str">
        <f>"科学翻译学探索"</f>
        <v>科学翻译学探索</v>
      </c>
      <c r="C19" s="8" t="str">
        <f>"李亚舒著"</f>
        <v>李亚舒著</v>
      </c>
      <c r="D19" s="8" t="str">
        <f t="shared" si="1"/>
        <v>清华大学出版社</v>
      </c>
      <c r="E19" s="8" t="str">
        <f>"H059/127"</f>
        <v>H059/127</v>
      </c>
      <c r="F19" s="11"/>
    </row>
    <row r="20" spans="1:6" ht="21.95" customHeight="1">
      <c r="A20" s="6" t="str">
        <f>"978-7-302-46268-2"</f>
        <v>978-7-302-46268-2</v>
      </c>
      <c r="B20" s="7" t="str">
        <f>"跨语际再实例化视角下的及物性翻译转换研究"</f>
        <v>跨语际再实例化视角下的及物性翻译转换研究</v>
      </c>
      <c r="C20" s="8" t="str">
        <f>"赵晶著"</f>
        <v>赵晶著</v>
      </c>
      <c r="D20" s="8" t="str">
        <f t="shared" si="1"/>
        <v>清华大学出版社</v>
      </c>
      <c r="E20" s="8" t="str">
        <f>"H059/128"</f>
        <v>H059/128</v>
      </c>
      <c r="F20" s="11"/>
    </row>
    <row r="21" spans="1:6" ht="21.95" customHeight="1">
      <c r="A21" s="6" t="str">
        <f>"978-7-5426-6036-7"</f>
        <v>978-7-5426-6036-7</v>
      </c>
      <c r="B21" s="7" t="str">
        <f>"复旦谈译录．第一辑．Ⅰ"</f>
        <v>复旦谈译录．第一辑．Ⅰ</v>
      </c>
      <c r="C21" s="8" t="str">
        <f>"范若恩， 戴从容主编"</f>
        <v>范若恩， 戴从容主编</v>
      </c>
      <c r="D21" s="8" t="str">
        <f>"上海三联书店"</f>
        <v>上海三联书店</v>
      </c>
      <c r="E21" s="8" t="str">
        <f>"H059/129"</f>
        <v>H059/129</v>
      </c>
      <c r="F21" s="11"/>
    </row>
    <row r="22" spans="1:6" ht="21.95" customHeight="1">
      <c r="A22" s="6" t="str">
        <f>"978-7-302-46579-9"</f>
        <v>978-7-302-46579-9</v>
      </c>
      <c r="B22" s="7" t="str">
        <f>"翻译语境描写论纲"</f>
        <v>翻译语境描写论纲</v>
      </c>
      <c r="C22" s="8" t="str">
        <f>"李运兴著"</f>
        <v>李运兴著</v>
      </c>
      <c r="D22" s="8" t="str">
        <f>"清华大学出版社"</f>
        <v>清华大学出版社</v>
      </c>
      <c r="E22" s="8" t="str">
        <f>"H059/130=2D"</f>
        <v>H059/130=2D</v>
      </c>
      <c r="F22" s="11"/>
    </row>
    <row r="23" spans="1:6" ht="21.95" customHeight="1">
      <c r="A23" s="6" t="str">
        <f>"978-7-302-49419-5"</f>
        <v>978-7-302-49419-5</v>
      </c>
      <c r="B23" s="7" t="str">
        <f>"亚太跨学科翻译研究．第五辑．05"</f>
        <v>亚太跨学科翻译研究．第五辑．05</v>
      </c>
      <c r="C23" s="8" t="str">
        <f>"主编罗选民"</f>
        <v>主编罗选民</v>
      </c>
      <c r="D23" s="8" t="str">
        <f>"清华大学出版社"</f>
        <v>清华大学出版社</v>
      </c>
      <c r="E23" s="8" t="str">
        <f>"H059-53/16"</f>
        <v>H059-53/16</v>
      </c>
      <c r="F23" s="11"/>
    </row>
    <row r="24" spans="1:6" ht="21.95" customHeight="1">
      <c r="A24" s="6" t="str">
        <f>"978-7-301-27120-9"</f>
        <v>978-7-301-27120-9</v>
      </c>
      <c r="B24" s="7" t="str">
        <f>"语言学与应用语言学百科全书"</f>
        <v>语言学与应用语言学百科全书</v>
      </c>
      <c r="C24" s="8" t="str">
        <f>"梅德明主编"</f>
        <v>梅德明主编</v>
      </c>
      <c r="D24" s="8" t="str">
        <f>"北京大学出版社"</f>
        <v>北京大学出版社</v>
      </c>
      <c r="E24" s="8" t="str">
        <f>"H0-61/12"</f>
        <v>H0-61/12</v>
      </c>
      <c r="F24" s="11"/>
    </row>
    <row r="25" spans="1:6" ht="21.95" customHeight="1">
      <c r="A25" s="6" t="str">
        <f>"978-7-108-06238-3"</f>
        <v>978-7-108-06238-3</v>
      </c>
      <c r="B25" s="7" t="str">
        <f>"语文常谈"</f>
        <v>语文常谈</v>
      </c>
      <c r="C25" s="8" t="str">
        <f>"吕叔湘著"</f>
        <v>吕叔湘著</v>
      </c>
      <c r="D25" s="8" t="str">
        <f>"三联书店"</f>
        <v>三联书店</v>
      </c>
      <c r="E25" s="8" t="str">
        <f>"H1/214=2D"</f>
        <v>H1/214=2D</v>
      </c>
      <c r="F25" s="11"/>
    </row>
    <row r="26" spans="1:6" ht="21.95" customHeight="1">
      <c r="A26" s="6" t="str">
        <f>"978-7-03-053796-6"</f>
        <v>978-7-03-053796-6</v>
      </c>
      <c r="B26" s="7" t="str">
        <f>"科技古汉语"</f>
        <v>科技古汉语</v>
      </c>
      <c r="C26" s="8" t="str">
        <f>"李志超著"</f>
        <v>李志超著</v>
      </c>
      <c r="D26" s="8" t="str">
        <f>"科学出版社"</f>
        <v>科学出版社</v>
      </c>
      <c r="E26" s="8" t="str">
        <f>"H109.2/57"</f>
        <v>H109.2/57</v>
      </c>
      <c r="F26" s="11"/>
    </row>
    <row r="27" spans="1:6" ht="21.95" customHeight="1">
      <c r="A27" s="6" t="str">
        <f>"978-7-5426-6091-6"</f>
        <v>978-7-5426-6091-6</v>
      </c>
      <c r="B27" s="7" t="str">
        <f>"《西游记》词汇对《汉语大词典》书证研究"</f>
        <v>《西游记》词汇对《汉语大词典》书证研究</v>
      </c>
      <c r="C27" s="8" t="str">
        <f>"王毅， 范新阳著"</f>
        <v>王毅， 范新阳著</v>
      </c>
      <c r="D27" s="8" t="str">
        <f>"上海三联书店"</f>
        <v>上海三联书店</v>
      </c>
      <c r="E27" s="8" t="str">
        <f>"H109.2/58"</f>
        <v>H109.2/58</v>
      </c>
      <c r="F27" s="11"/>
    </row>
    <row r="28" spans="1:6" ht="21.95" customHeight="1">
      <c r="A28" s="6" t="str">
        <f>"978-7-108-05352-7"</f>
        <v>978-7-108-05352-7</v>
      </c>
      <c r="B28" s="7" t="str">
        <f>"白话文运动的危机"</f>
        <v>白话文运动的危机</v>
      </c>
      <c r="C28" s="8" t="str">
        <f>"李春阳著"</f>
        <v>李春阳著</v>
      </c>
      <c r="D28" s="8" t="str">
        <f>"三联书店"</f>
        <v>三联书店</v>
      </c>
      <c r="E28" s="8" t="str">
        <f>"H109.4/58"</f>
        <v>H109.4/58</v>
      </c>
      <c r="F28" s="11"/>
    </row>
    <row r="29" spans="1:6" ht="21.95" customHeight="1">
      <c r="A29" s="6" t="str">
        <f>"978-7-301-28677-7"</f>
        <v>978-7-301-28677-7</v>
      </c>
      <c r="B29" s="7" t="str">
        <f>"常用汉字图解"</f>
        <v>常用汉字图解</v>
      </c>
      <c r="C29" s="8" t="str">
        <f>"主编谢光辉"</f>
        <v>主编谢光辉</v>
      </c>
      <c r="D29" s="8" t="str">
        <f>"北京大学出版社"</f>
        <v>北京大学出版社</v>
      </c>
      <c r="E29" s="8" t="str">
        <f>"H12/88=2D"</f>
        <v>H12/88=2D</v>
      </c>
      <c r="F29" s="11"/>
    </row>
    <row r="30" spans="1:6" ht="21.95" customHeight="1">
      <c r="A30" s="6" t="str">
        <f>"978-7-03-054433-9"</f>
        <v>978-7-03-054433-9</v>
      </c>
      <c r="B30" s="7" t="str">
        <f>"汉语词汇的多维探索及拓展研究"</f>
        <v>汉语词汇的多维探索及拓展研究</v>
      </c>
      <c r="C30" s="8" t="str">
        <f>"匡鹏飞著"</f>
        <v>匡鹏飞著</v>
      </c>
      <c r="D30" s="8" t="str">
        <f>"科学出版社"</f>
        <v>科学出版社</v>
      </c>
      <c r="E30" s="8" t="str">
        <f>"H13/57"</f>
        <v>H13/57</v>
      </c>
      <c r="F30" s="11"/>
    </row>
    <row r="31" spans="1:6" ht="21.95" customHeight="1">
      <c r="A31" s="6" t="str">
        <f>"978-7-108-05783-9"</f>
        <v>978-7-108-05783-9</v>
      </c>
      <c r="B31" s="7" t="str">
        <f>"在语词的密林里"</f>
        <v>在语词的密林里</v>
      </c>
      <c r="C31" s="8" t="str">
        <f>"尘元"</f>
        <v>尘元</v>
      </c>
      <c r="D31" s="8" t="str">
        <f>"三联书店"</f>
        <v>三联书店</v>
      </c>
      <c r="E31" s="8" t="str">
        <f>"H136/36"</f>
        <v>H136/36</v>
      </c>
      <c r="F31" s="11"/>
    </row>
    <row r="32" spans="1:6" ht="21.95" customHeight="1">
      <c r="A32" s="6" t="str">
        <f>"978-7-5361-6041-5"</f>
        <v>978-7-5361-6041-5</v>
      </c>
      <c r="B32" s="7" t="str">
        <f>"词类活用论析"</f>
        <v>词类活用论析</v>
      </c>
      <c r="C32" s="8" t="str">
        <f>"周国光， 孔维波著"</f>
        <v>周国光， 孔维波著</v>
      </c>
      <c r="D32" s="8" t="str">
        <f>"广东高等教育出版社"</f>
        <v>广东高等教育出版社</v>
      </c>
      <c r="E32" s="8" t="str">
        <f>"H141/36"</f>
        <v>H141/36</v>
      </c>
      <c r="F32" s="11"/>
    </row>
    <row r="33" spans="1:6" ht="21.95" customHeight="1">
      <c r="A33" s="6" t="str">
        <f>"978-7-5426-5956-9"</f>
        <v>978-7-5426-5956-9</v>
      </c>
      <c r="B33" s="7" t="str">
        <f>"汉语副词研究论集．第三辑"</f>
        <v>汉语副词研究论集．第三辑</v>
      </c>
      <c r="C33" s="8" t="str">
        <f>"主编张谊生"</f>
        <v>主编张谊生</v>
      </c>
      <c r="D33" s="8" t="str">
        <f>"上海三联书店"</f>
        <v>上海三联书店</v>
      </c>
      <c r="E33" s="8" t="str">
        <f>"H146.2/42"</f>
        <v>H146.2/42</v>
      </c>
      <c r="F33" s="11"/>
    </row>
    <row r="34" spans="1:6" ht="21.95" customHeight="1">
      <c r="A34" s="6" t="str">
        <f>"978-7-301-28277-9"</f>
        <v>978-7-301-28277-9</v>
      </c>
      <c r="B34" s="7" t="str">
        <f>"现代汉语虚词散论"</f>
        <v>现代汉语虚词散论</v>
      </c>
      <c r="C34" s="8" t="str">
        <f>"马真，陆俭明著"</f>
        <v>马真，陆俭明著</v>
      </c>
      <c r="D34" s="8" t="str">
        <f>"北京大学出版社"</f>
        <v>北京大学出版社</v>
      </c>
      <c r="E34" s="8" t="str">
        <f>"H146.2/43=3D"</f>
        <v>H146.2/43=3D</v>
      </c>
      <c r="F34" s="11"/>
    </row>
    <row r="35" spans="1:6" ht="21.95" customHeight="1">
      <c r="A35" s="6" t="str">
        <f>"978-7-03-054573-2"</f>
        <v>978-7-03-054573-2</v>
      </c>
      <c r="B35" s="7" t="str">
        <f>"汉语认知句法学研究"</f>
        <v>汉语认知句法学研究</v>
      </c>
      <c r="C35" s="8" t="str">
        <f>"庞加光著"</f>
        <v>庞加光著</v>
      </c>
      <c r="D35" s="8" t="str">
        <f>"科学出版社"</f>
        <v>科学出版社</v>
      </c>
      <c r="E35" s="8" t="str">
        <f>"H146.3/46"</f>
        <v>H146.3/46</v>
      </c>
      <c r="F35" s="11"/>
    </row>
    <row r="36" spans="1:6" ht="21.95" customHeight="1">
      <c r="A36" s="6" t="str">
        <f>"978-7-302-46803-5"</f>
        <v>978-7-302-46803-5</v>
      </c>
      <c r="B36" s="7" t="str">
        <f>"文案写作与活动策划：理念、技巧、方法与实践"</f>
        <v>文案写作与活动策划：理念、技巧、方法与实践</v>
      </c>
      <c r="C36" s="8" t="str">
        <f>"李改霞等编著"</f>
        <v>李改霞等编著</v>
      </c>
      <c r="D36" s="8" t="str">
        <f t="shared" ref="D36:D38" si="2">"清华大学出版社"</f>
        <v>清华大学出版社</v>
      </c>
      <c r="E36" s="8" t="str">
        <f>"H152.3/819"</f>
        <v>H152.3/819</v>
      </c>
      <c r="F36" s="11"/>
    </row>
    <row r="37" spans="1:6" ht="21.95" customHeight="1">
      <c r="A37" s="6" t="str">
        <f>"978-7-302-47089-2"</f>
        <v>978-7-302-47089-2</v>
      </c>
      <c r="B37" s="7" t="str">
        <f>"学术论文写作"</f>
        <v>学术论文写作</v>
      </c>
      <c r="C37" s="8" t="str">
        <f>"周淑敏， 周靖著"</f>
        <v>周淑敏， 周靖著</v>
      </c>
      <c r="D37" s="8" t="str">
        <f t="shared" si="2"/>
        <v>清华大学出版社</v>
      </c>
      <c r="E37" s="8" t="str">
        <f>"H152.3/820"</f>
        <v>H152.3/820</v>
      </c>
      <c r="F37" s="11"/>
    </row>
    <row r="38" spans="1:6" ht="21.95" customHeight="1">
      <c r="A38" s="6" t="str">
        <f>"978-7-302-49396-9"</f>
        <v>978-7-302-49396-9</v>
      </c>
      <c r="B38" s="7" t="str">
        <f>"公文写作高手速成：格式要点+写作技巧+模版案例"</f>
        <v>公文写作高手速成：格式要点+写作技巧+模版案例</v>
      </c>
      <c r="C38" s="8" t="str">
        <f>"苏航， 唐昌斌编著"</f>
        <v>苏航， 唐昌斌编著</v>
      </c>
      <c r="D38" s="8" t="str">
        <f t="shared" si="2"/>
        <v>清华大学出版社</v>
      </c>
      <c r="E38" s="8" t="str">
        <f>"H152.3/821"</f>
        <v>H152.3/821</v>
      </c>
      <c r="F38" s="11"/>
    </row>
    <row r="39" spans="1:6" ht="21.95" customHeight="1">
      <c r="A39" s="6" t="str">
        <f>"978-7-5639-5079-9"</f>
        <v>978-7-5639-5079-9</v>
      </c>
      <c r="B39" s="7" t="str">
        <f>"菜鸟公文"</f>
        <v>菜鸟公文</v>
      </c>
      <c r="C39" s="8" t="str">
        <f>"曹朝阳编著"</f>
        <v>曹朝阳编著</v>
      </c>
      <c r="D39" s="8" t="str">
        <f>"北京工业大学出版社"</f>
        <v>北京工业大学出版社</v>
      </c>
      <c r="E39" s="8" t="str">
        <f>"H152.3/822"</f>
        <v>H152.3/822</v>
      </c>
      <c r="F39" s="11"/>
    </row>
    <row r="40" spans="1:6" ht="21.95" customHeight="1">
      <c r="A40" s="6" t="str">
        <f>"978-7-5096-4937-4"</f>
        <v>978-7-5096-4937-4</v>
      </c>
      <c r="B40" s="7" t="str">
        <f>"村官公务文书撰写必读"</f>
        <v>村官公务文书撰写必读</v>
      </c>
      <c r="C40" s="8" t="str">
        <f>"李笑主编"</f>
        <v>李笑主编</v>
      </c>
      <c r="D40" s="8" t="str">
        <f>"经济管理出版社"</f>
        <v>经济管理出版社</v>
      </c>
      <c r="E40" s="8" t="str">
        <f>"H152.3/823"</f>
        <v>H152.3/823</v>
      </c>
      <c r="F40" s="11"/>
    </row>
    <row r="41" spans="1:6" ht="21.95" customHeight="1">
      <c r="A41" s="6" t="str">
        <f>"978-7-302-49939-8"</f>
        <v>978-7-302-49939-8</v>
      </c>
      <c r="B41" s="7" t="str">
        <f>"2019MBA MPA MPAcc管理类联考写作考点解码"</f>
        <v>2019MBA MPA MPAcc管理类联考写作考点解码</v>
      </c>
      <c r="C41" s="8" t="str">
        <f>"周洪桥， 沈骞编著"</f>
        <v>周洪桥， 沈骞编著</v>
      </c>
      <c r="D41" s="8" t="str">
        <f>"清华大学出版社"</f>
        <v>清华大学出版社</v>
      </c>
      <c r="E41" s="8" t="str">
        <f>"H152/71/2019"</f>
        <v>H152/71/2019</v>
      </c>
      <c r="F41" s="11"/>
    </row>
    <row r="42" spans="1:6" ht="21.95" customHeight="1">
      <c r="A42" s="6" t="str">
        <f>"978-7-100-15333-1"</f>
        <v>978-7-100-15333-1</v>
      </c>
      <c r="B42" s="7" t="str">
        <f>"中国语言文化典藏．怀集(标话)"</f>
        <v>中国语言文化典藏．怀集(标话)</v>
      </c>
      <c r="C42" s="8" t="str">
        <f>"主编曹志耘"</f>
        <v>主编曹志耘</v>
      </c>
      <c r="D42" s="8" t="str">
        <f t="shared" ref="D42:D50" si="3">"商务印书馆"</f>
        <v>商务印书馆</v>
      </c>
      <c r="E42" s="8" t="str">
        <f>"H17/21"</f>
        <v>H17/21</v>
      </c>
      <c r="F42" s="11"/>
    </row>
    <row r="43" spans="1:6" ht="21.95" customHeight="1">
      <c r="A43" s="6" t="str">
        <f>"978-7-100-15556-4"</f>
        <v>978-7-100-15556-4</v>
      </c>
      <c r="B43" s="7" t="str">
        <f>"中国语言文化典藏．井陉"</f>
        <v>中国语言文化典藏．井陉</v>
      </c>
      <c r="C43" s="8" t="str">
        <f>"主编曹志耘"</f>
        <v>主编曹志耘</v>
      </c>
      <c r="D43" s="8" t="str">
        <f t="shared" si="3"/>
        <v>商务印书馆</v>
      </c>
      <c r="E43" s="8" t="str">
        <f>"H172.1/9"</f>
        <v>H172.1/9</v>
      </c>
      <c r="F43" s="11"/>
    </row>
    <row r="44" spans="1:6" ht="21.95" customHeight="1">
      <c r="A44" s="6" t="str">
        <f>"978-7-100-15554-0"</f>
        <v>978-7-100-15554-0</v>
      </c>
      <c r="B44" s="7" t="str">
        <f>"中国语言文化典藏．屯溪"</f>
        <v>中国语言文化典藏．屯溪</v>
      </c>
      <c r="C44" s="8" t="str">
        <f>"主编曹志耘"</f>
        <v>主编曹志耘</v>
      </c>
      <c r="D44" s="8" t="str">
        <f t="shared" si="3"/>
        <v>商务印书馆</v>
      </c>
      <c r="E44" s="8" t="str">
        <f>"H172.4/4"</f>
        <v>H172.4/4</v>
      </c>
      <c r="F44" s="11"/>
    </row>
    <row r="45" spans="1:6" ht="21.95" customHeight="1">
      <c r="A45" s="6" t="str">
        <f>"978-7-100-15507-6"</f>
        <v>978-7-100-15507-6</v>
      </c>
      <c r="B45" s="7" t="str">
        <f>"中国语言文化典藏．杭州"</f>
        <v>中国语言文化典藏．杭州</v>
      </c>
      <c r="C45" s="8" t="str">
        <f>"曹志耘主编"</f>
        <v>曹志耘主编</v>
      </c>
      <c r="D45" s="8" t="str">
        <f t="shared" si="3"/>
        <v>商务印书馆</v>
      </c>
      <c r="E45" s="8" t="str">
        <f>"H173/20"</f>
        <v>H173/20</v>
      </c>
      <c r="F45" s="11"/>
    </row>
    <row r="46" spans="1:6" ht="21.95" customHeight="1">
      <c r="A46" s="6" t="str">
        <f>"978-7-100-14326-4"</f>
        <v>978-7-100-14326-4</v>
      </c>
      <c r="B46" s="7" t="str">
        <f>"中国语言文化典藏．苏州"</f>
        <v>中国语言文化典藏．苏州</v>
      </c>
      <c r="C46" s="8" t="str">
        <f>"曹志耘主编"</f>
        <v>曹志耘主编</v>
      </c>
      <c r="D46" s="8" t="str">
        <f t="shared" si="3"/>
        <v>商务印书馆</v>
      </c>
      <c r="E46" s="8" t="str">
        <f>"H173/21"</f>
        <v>H173/21</v>
      </c>
      <c r="F46" s="11"/>
    </row>
    <row r="47" spans="1:6" ht="21.95" customHeight="1">
      <c r="A47" s="6" t="str">
        <f>"978-7-100-15430-7"</f>
        <v>978-7-100-15430-7</v>
      </c>
      <c r="B47" s="7" t="str">
        <f>"中国语言文化典藏．江山"</f>
        <v>中国语言文化典藏．江山</v>
      </c>
      <c r="C47" s="8" t="str">
        <f>"主编曹志耘"</f>
        <v>主编曹志耘</v>
      </c>
      <c r="D47" s="8" t="str">
        <f t="shared" si="3"/>
        <v>商务印书馆</v>
      </c>
      <c r="E47" s="8" t="str">
        <f>"H173/22"</f>
        <v>H173/22</v>
      </c>
      <c r="F47" s="11"/>
    </row>
    <row r="48" spans="1:6" ht="21.95" customHeight="1">
      <c r="A48" s="6" t="str">
        <f>"978-7-100-15555-7"</f>
        <v>978-7-100-15555-7</v>
      </c>
      <c r="B48" s="7" t="str">
        <f>"中国语言文化典藏．金华"</f>
        <v>中国语言文化典藏．金华</v>
      </c>
      <c r="C48" s="8" t="str">
        <f>"主编曹志耘"</f>
        <v>主编曹志耘</v>
      </c>
      <c r="D48" s="8" t="str">
        <f t="shared" si="3"/>
        <v>商务印书馆</v>
      </c>
      <c r="E48" s="8" t="str">
        <f>"H173/23"</f>
        <v>H173/23</v>
      </c>
      <c r="F48" s="11"/>
    </row>
    <row r="49" spans="1:6" ht="21.95" customHeight="1">
      <c r="A49" s="6" t="str">
        <f>"978-7-100-15603-5"</f>
        <v>978-7-100-15603-5</v>
      </c>
      <c r="B49" s="7" t="str">
        <f>"中国语言文化典藏．泸溪"</f>
        <v>中国语言文化典藏．泸溪</v>
      </c>
      <c r="C49" s="8" t="str">
        <f>"主编曹志耘"</f>
        <v>主编曹志耘</v>
      </c>
      <c r="D49" s="8" t="str">
        <f t="shared" si="3"/>
        <v>商务印书馆</v>
      </c>
      <c r="E49" s="8" t="str">
        <f>"H174/9"</f>
        <v>H174/9</v>
      </c>
      <c r="F49" s="11"/>
    </row>
    <row r="50" spans="1:6" ht="21.95" customHeight="1">
      <c r="A50" s="6" t="str">
        <f>"978-7-100-15457-4"</f>
        <v>978-7-100-15457-4</v>
      </c>
      <c r="B50" s="7" t="str">
        <f>"中国语言文化典藏．潮州"</f>
        <v>中国语言文化典藏．潮州</v>
      </c>
      <c r="C50" s="8" t="str">
        <f>"曹志耘主编"</f>
        <v>曹志耘主编</v>
      </c>
      <c r="D50" s="8" t="str">
        <f t="shared" si="3"/>
        <v>商务印书馆</v>
      </c>
      <c r="E50" s="8" t="str">
        <f>"H177/5"</f>
        <v>H177/5</v>
      </c>
      <c r="F50" s="11"/>
    </row>
    <row r="51" spans="1:6" ht="21.95" customHeight="1">
      <c r="A51" s="6" t="str">
        <f>"978-7-5426-5661-2"</f>
        <v>978-7-5426-5661-2</v>
      </c>
      <c r="B51" s="7" t="str">
        <f>"古文观止译注．上"</f>
        <v>古文观止译注．上</v>
      </c>
      <c r="C51" s="8" t="str">
        <f>"(清)吴楚材，吴调侯编"</f>
        <v>(清)吴楚材，吴调侯编</v>
      </c>
      <c r="D51" s="8" t="str">
        <f>"上海三联书店"</f>
        <v>上海三联书店</v>
      </c>
      <c r="E51" s="8" t="str">
        <f>"H194.1/177/1"</f>
        <v>H194.1/177/1</v>
      </c>
      <c r="F51" s="11"/>
    </row>
    <row r="52" spans="1:6" ht="21.95" customHeight="1">
      <c r="A52" s="6" t="str">
        <f>"978-7-5426-5661-2"</f>
        <v>978-7-5426-5661-2</v>
      </c>
      <c r="B52" s="7" t="str">
        <f>"古文观止译注．下"</f>
        <v>古文观止译注．下</v>
      </c>
      <c r="C52" s="8" t="str">
        <f>"(清)吴楚材，吴调侯编"</f>
        <v>(清)吴楚材，吴调侯编</v>
      </c>
      <c r="D52" s="8" t="str">
        <f>"上海三联书店"</f>
        <v>上海三联书店</v>
      </c>
      <c r="E52" s="8" t="str">
        <f>"H194.1/177/2"</f>
        <v>H194.1/177/2</v>
      </c>
      <c r="F52" s="11"/>
    </row>
    <row r="53" spans="1:6" ht="21.95" customHeight="1">
      <c r="A53" s="6" t="str">
        <f>"978-7-03-054105-5"</f>
        <v>978-7-03-054105-5</v>
      </c>
      <c r="B53" s="7" t="str">
        <f>"对分课堂之对外汉语"</f>
        <v>对分课堂之对外汉语</v>
      </c>
      <c r="C53" s="8" t="str">
        <f>"张长君著"</f>
        <v>张长君著</v>
      </c>
      <c r="D53" s="8" t="str">
        <f>"科学出版社"</f>
        <v>科学出版社</v>
      </c>
      <c r="E53" s="8" t="str">
        <f>"H195.3/80"</f>
        <v>H195.3/80</v>
      </c>
      <c r="F53" s="11"/>
    </row>
    <row r="54" spans="1:6" ht="21.95" customHeight="1">
      <c r="A54" s="6" t="str">
        <f>"978-7-301-28203-8"</f>
        <v>978-7-301-28203-8</v>
      </c>
      <c r="B54" s="7" t="str">
        <f>"《国际汉语教师证书》考试面试教程"</f>
        <v>《国际汉语教师证书》考试面试教程</v>
      </c>
      <c r="C54" s="8" t="str">
        <f>"张淑男 ... [等] 编著"</f>
        <v>张淑男 ... [等] 编著</v>
      </c>
      <c r="D54" s="8" t="str">
        <f t="shared" ref="D54:D67" si="4">"北京大学出版社"</f>
        <v>北京大学出版社</v>
      </c>
      <c r="E54" s="8" t="str">
        <f>"H195.3/81"</f>
        <v>H195.3/81</v>
      </c>
      <c r="F54" s="11"/>
    </row>
    <row r="55" spans="1:6" ht="21.95" customHeight="1">
      <c r="A55" s="6" t="str">
        <f>"978-7-301-27856-7"</f>
        <v>978-7-301-27856-7</v>
      </c>
      <c r="B55" s="7" t="str">
        <f>"汉语水平考试常见易混词语辨析"</f>
        <v>汉语水平考试常见易混词语辨析</v>
      </c>
      <c r="C55" s="8" t="str">
        <f>"孔丽华， 李莉著"</f>
        <v>孔丽华， 李莉著</v>
      </c>
      <c r="D55" s="8" t="str">
        <f t="shared" si="4"/>
        <v>北京大学出版社</v>
      </c>
      <c r="E55" s="8" t="str">
        <f>"H195.4/614"</f>
        <v>H195.4/614</v>
      </c>
      <c r="F55" s="11"/>
    </row>
    <row r="56" spans="1:6" ht="21.95" customHeight="1">
      <c r="A56" s="6" t="str">
        <f t="shared" ref="A56:A58" si="5">"978-7-301-28407-0"</f>
        <v>978-7-301-28407-0</v>
      </c>
      <c r="B56" s="7" t="str">
        <f>"中国地理常识"</f>
        <v>中国地理常识</v>
      </c>
      <c r="C56" s="8" t="str">
        <f t="shared" ref="C56:C58" si="6">"王双双编著"</f>
        <v>王双双编著</v>
      </c>
      <c r="D56" s="8" t="str">
        <f t="shared" si="4"/>
        <v>北京大学出版社</v>
      </c>
      <c r="E56" s="8" t="str">
        <f>"H195.4/615"</f>
        <v>H195.4/615</v>
      </c>
      <c r="F56" s="11"/>
    </row>
    <row r="57" spans="1:6" ht="21.95" customHeight="1">
      <c r="A57" s="6" t="str">
        <f t="shared" si="5"/>
        <v>978-7-301-28407-0</v>
      </c>
      <c r="B57" s="7" t="str">
        <f>"中国地理常识：练习本．单课"</f>
        <v>中国地理常识：练习本．单课</v>
      </c>
      <c r="C57" s="8" t="str">
        <f t="shared" si="6"/>
        <v>王双双编著</v>
      </c>
      <c r="D57" s="8" t="str">
        <f t="shared" si="4"/>
        <v>北京大学出版社</v>
      </c>
      <c r="E57" s="8" t="str">
        <f>"H195.4/615-2"</f>
        <v>H195.4/615-2</v>
      </c>
      <c r="F57" s="11"/>
    </row>
    <row r="58" spans="1:6" ht="21.95" customHeight="1">
      <c r="A58" s="6" t="str">
        <f t="shared" si="5"/>
        <v>978-7-301-28407-0</v>
      </c>
      <c r="B58" s="7" t="str">
        <f>"中国地理常识：练习本．双课"</f>
        <v>中国地理常识：练习本．双课</v>
      </c>
      <c r="C58" s="8" t="str">
        <f t="shared" si="6"/>
        <v>王双双编著</v>
      </c>
      <c r="D58" s="8" t="str">
        <f t="shared" si="4"/>
        <v>北京大学出版社</v>
      </c>
      <c r="E58" s="8" t="str">
        <f>"H195.4/615-3"</f>
        <v>H195.4/615-3</v>
      </c>
      <c r="F58" s="11"/>
    </row>
    <row r="59" spans="1:6" ht="21.95" customHeight="1">
      <c r="A59" s="6" t="str">
        <f>"978-7-301-27930-4"</f>
        <v>978-7-301-27930-4</v>
      </c>
      <c r="B59" s="7" t="str">
        <f>"博雅速成汉语．第二册．Book 2"</f>
        <v>博雅速成汉语．第二册．Book 2</v>
      </c>
      <c r="C59" s="8" t="str">
        <f>"李晓琪...[等]编著"</f>
        <v>李晓琪...[等]编著</v>
      </c>
      <c r="D59" s="8" t="str">
        <f t="shared" si="4"/>
        <v>北京大学出版社</v>
      </c>
      <c r="E59" s="8" t="str">
        <f>"H195.4/616"</f>
        <v>H195.4/616</v>
      </c>
      <c r="F59" s="11"/>
    </row>
    <row r="60" spans="1:6" ht="21.95" customHeight="1">
      <c r="A60" s="6" t="str">
        <f>"978-7-301-28762-0"</f>
        <v>978-7-301-28762-0</v>
      </c>
      <c r="B60" s="7" t="str">
        <f>"华语入门"</f>
        <v>华语入门</v>
      </c>
      <c r="C60" s="8" t="str">
        <f>"(俄罗斯) 吴索福著"</f>
        <v>(俄罗斯) 吴索福著</v>
      </c>
      <c r="D60" s="8" t="str">
        <f t="shared" si="4"/>
        <v>北京大学出版社</v>
      </c>
      <c r="E60" s="8" t="str">
        <f>"H195.4/617/1"</f>
        <v>H195.4/617/1</v>
      </c>
      <c r="F60" s="11"/>
    </row>
    <row r="61" spans="1:6" ht="21.95" customHeight="1">
      <c r="A61" s="6" t="str">
        <f>"978-7-301-28762-0"</f>
        <v>978-7-301-28762-0</v>
      </c>
      <c r="B61" s="7" t="str">
        <f>"华语入门：中文版"</f>
        <v>华语入门：中文版</v>
      </c>
      <c r="C61" s="8" t="str">
        <f>"(俄罗斯)吴索福著"</f>
        <v>(俄罗斯)吴索福著</v>
      </c>
      <c r="D61" s="8" t="str">
        <f t="shared" si="4"/>
        <v>北京大学出版社</v>
      </c>
      <c r="E61" s="8" t="str">
        <f>"H195.4/617/2"</f>
        <v>H195.4/617/2</v>
      </c>
      <c r="F61" s="11"/>
    </row>
    <row r="62" spans="1:6" ht="21.95" customHeight="1">
      <c r="A62" s="6" t="str">
        <f>"978-7-301-28253-3"</f>
        <v>978-7-301-28253-3</v>
      </c>
      <c r="B62" s="7" t="str">
        <f>"电脑公司的秘密"</f>
        <v>电脑公司的秘密</v>
      </c>
      <c r="C62" s="8" t="str">
        <f t="shared" ref="C62:C65" si="7">"主编刘月华， 储诚志"</f>
        <v>主编刘月华， 储诚志</v>
      </c>
      <c r="D62" s="8" t="str">
        <f t="shared" si="4"/>
        <v>北京大学出版社</v>
      </c>
      <c r="E62" s="8" t="str">
        <f>"H195.5/1078=2D"</f>
        <v>H195.5/1078=2D</v>
      </c>
      <c r="F62" s="11"/>
    </row>
    <row r="63" spans="1:6" ht="21.95" customHeight="1">
      <c r="A63" s="6" t="str">
        <f>"978-7-301-28254-0"</f>
        <v>978-7-301-28254-0</v>
      </c>
      <c r="B63" s="7" t="str">
        <f>"你最喜欢谁?"</f>
        <v>你最喜欢谁?</v>
      </c>
      <c r="C63" s="8" t="str">
        <f t="shared" si="7"/>
        <v>主编刘月华， 储诚志</v>
      </c>
      <c r="D63" s="8" t="str">
        <f t="shared" si="4"/>
        <v>北京大学出版社</v>
      </c>
      <c r="E63" s="8" t="str">
        <f>"H195.5/1079=2D"</f>
        <v>H195.5/1079=2D</v>
      </c>
      <c r="F63" s="11"/>
    </row>
    <row r="64" spans="1:6" ht="21.95" customHeight="1">
      <c r="A64" s="6" t="str">
        <f>"978-7-301-28252-6"</f>
        <v>978-7-301-28252-6</v>
      </c>
      <c r="B64" s="7" t="str">
        <f>"青凤"</f>
        <v>青凤</v>
      </c>
      <c r="C64" s="8" t="str">
        <f t="shared" si="7"/>
        <v>主编刘月华， 储诚志</v>
      </c>
      <c r="D64" s="8" t="str">
        <f t="shared" si="4"/>
        <v>北京大学出版社</v>
      </c>
      <c r="E64" s="8" t="str">
        <f>"H195.5/1080=2D"</f>
        <v>H195.5/1080=2D</v>
      </c>
      <c r="F64" s="11"/>
    </row>
    <row r="65" spans="1:6" ht="21.95" customHeight="1">
      <c r="A65" s="6" t="str">
        <f>"978-7-301-28251-9"</f>
        <v>978-7-301-28251-9</v>
      </c>
      <c r="B65" s="7" t="str">
        <f>"错， 错， 错!"</f>
        <v>错， 错， 错!</v>
      </c>
      <c r="C65" s="8" t="str">
        <f t="shared" si="7"/>
        <v>主编刘月华， 储诚志</v>
      </c>
      <c r="D65" s="8" t="str">
        <f t="shared" si="4"/>
        <v>北京大学出版社</v>
      </c>
      <c r="E65" s="8" t="str">
        <f>"H195.5/1081"</f>
        <v>H195.5/1081</v>
      </c>
      <c r="F65" s="11"/>
    </row>
    <row r="66" spans="1:6" ht="21.95" customHeight="1">
      <c r="A66" s="6" t="str">
        <f>"978-7-301-28255-7"</f>
        <v>978-7-301-28255-7</v>
      </c>
      <c r="B66" s="7" t="str">
        <f>"两个想上天的孩子"</f>
        <v>两个想上天的孩子</v>
      </c>
      <c r="C66" s="8" t="str">
        <f>"主编刘月华，储诚志"</f>
        <v>主编刘月华，储诚志</v>
      </c>
      <c r="D66" s="8" t="str">
        <f t="shared" si="4"/>
        <v>北京大学出版社</v>
      </c>
      <c r="E66" s="8" t="str">
        <f>"H195.5/1082=2D"</f>
        <v>H195.5/1082=2D</v>
      </c>
      <c r="F66" s="11"/>
    </row>
    <row r="67" spans="1:6" ht="21.95" customHeight="1">
      <c r="A67" s="6" t="str">
        <f>"978-7-301-27879-6"</f>
        <v>978-7-301-27879-6</v>
      </c>
      <c r="B67" s="7" t="str">
        <f>"全球视野下的孔子学院研究．第一辑"</f>
        <v>全球视野下的孔子学院研究．第一辑</v>
      </c>
      <c r="C67" s="8" t="str">
        <f>"王路江主编"</f>
        <v>王路江主编</v>
      </c>
      <c r="D67" s="8" t="str">
        <f t="shared" si="4"/>
        <v>北京大学出版社</v>
      </c>
      <c r="E67" s="8" t="str">
        <f>"H195-40/1"</f>
        <v>H195-40/1</v>
      </c>
      <c r="F67" s="11"/>
    </row>
    <row r="68" spans="1:6" ht="21.95" customHeight="1">
      <c r="A68" s="6" t="str">
        <f>"978-7-5426-6121-0"</f>
        <v>978-7-5426-6121-0</v>
      </c>
      <c r="B68" s="7" t="str">
        <f>"英汉对比与应用．第二辑：上"</f>
        <v>英汉对比与应用．第二辑：上</v>
      </c>
      <c r="C68" s="8" t="str">
        <f>"尚新， 王蕾编"</f>
        <v>尚新， 王蕾编</v>
      </c>
      <c r="D68" s="8" t="str">
        <f>"上海三联书店"</f>
        <v>上海三联书店</v>
      </c>
      <c r="E68" s="8" t="str">
        <f>"H31/1980/1"</f>
        <v>H31/1980/1</v>
      </c>
      <c r="F68" s="11"/>
    </row>
    <row r="69" spans="1:6" ht="21.95" customHeight="1">
      <c r="A69" s="6" t="str">
        <f>"978-7-5426-6121-0"</f>
        <v>978-7-5426-6121-0</v>
      </c>
      <c r="B69" s="7" t="str">
        <f>"英汉对比与应用．第二辑：下"</f>
        <v>英汉对比与应用．第二辑：下</v>
      </c>
      <c r="C69" s="8" t="str">
        <f>"尚新， 王蕾编"</f>
        <v>尚新， 王蕾编</v>
      </c>
      <c r="D69" s="8" t="str">
        <f>"上海三联书店"</f>
        <v>上海三联书店</v>
      </c>
      <c r="E69" s="8" t="str">
        <f>"H31/1980/2"</f>
        <v>H31/1980/2</v>
      </c>
      <c r="F69" s="11"/>
    </row>
    <row r="70" spans="1:6" ht="21.95" customHeight="1">
      <c r="A70" s="6" t="str">
        <f>"978-7-302-43539-6"</f>
        <v>978-7-302-43539-6</v>
      </c>
      <c r="B70" s="7" t="str">
        <f>"酒店实用英语"</f>
        <v>酒店实用英语</v>
      </c>
      <c r="C70" s="8" t="str">
        <f>"李飞，袁露主编"</f>
        <v>李飞，袁露主编</v>
      </c>
      <c r="D70" s="8" t="str">
        <f>"清华大学出版社"</f>
        <v>清华大学出版社</v>
      </c>
      <c r="E70" s="8" t="str">
        <f>"H31/1981"</f>
        <v>H31/1981</v>
      </c>
      <c r="F70" s="11"/>
    </row>
    <row r="71" spans="1:6" ht="21.95" customHeight="1">
      <c r="A71" s="6" t="str">
        <f>"978-7-302-44610-1"</f>
        <v>978-7-302-44610-1</v>
      </c>
      <c r="B71" s="7" t="str">
        <f>"电子商务专业英语教程"</f>
        <v>电子商务专业英语教程</v>
      </c>
      <c r="C71" s="8" t="str">
        <f>"张强华...[等]编著"</f>
        <v>张强华...[等]编著</v>
      </c>
      <c r="D71" s="8" t="str">
        <f>"清华大学出版社"</f>
        <v>清华大学出版社</v>
      </c>
      <c r="E71" s="8" t="str">
        <f>"H31/1982=2D"</f>
        <v>H31/1982=2D</v>
      </c>
      <c r="F71" s="11"/>
    </row>
    <row r="72" spans="1:6" ht="45" customHeight="1">
      <c r="A72" s="6" t="str">
        <f>"978-7-03-054792-7"</f>
        <v>978-7-03-054792-7</v>
      </c>
      <c r="B72" s="7" t="str">
        <f>"A study on the relationship between speech perception and production: implications for phonetic training"</f>
        <v>A study on the relationship between speech perception and production: implications for phonetic training</v>
      </c>
      <c r="C72" s="8" t="str">
        <f>"程冰著"</f>
        <v>程冰著</v>
      </c>
      <c r="D72" s="8" t="str">
        <f>"科学出版社"</f>
        <v>科学出版社</v>
      </c>
      <c r="E72" s="8" t="str">
        <f>"H311/84"</f>
        <v>H311/84</v>
      </c>
      <c r="F72" s="11"/>
    </row>
    <row r="73" spans="1:6" ht="21.95" customHeight="1">
      <c r="A73" s="6" t="str">
        <f>"978-7-300-24010-7"</f>
        <v>978-7-300-24010-7</v>
      </c>
      <c r="B73" s="7" t="str">
        <f>"最新GRE官方词汇大全"</f>
        <v>最新GRE官方词汇大全</v>
      </c>
      <c r="C73" s="8" t="str">
        <f>"维C上校编著"</f>
        <v>维C上校编著</v>
      </c>
      <c r="D73" s="8" t="str">
        <f>"中国人民大学出版社"</f>
        <v>中国人民大学出版社</v>
      </c>
      <c r="E73" s="8" t="str">
        <f>"H313.1/1000"</f>
        <v>H313.1/1000</v>
      </c>
      <c r="F73" s="11"/>
    </row>
    <row r="74" spans="1:6" ht="21.95" customHeight="1">
      <c r="A74" s="6" t="str">
        <f>"978-7-302-46559-1"</f>
        <v>978-7-302-46559-1</v>
      </c>
      <c r="B74" s="7" t="str">
        <f>"大学英语四级考试大纲词汇手册"</f>
        <v>大学英语四级考试大纲词汇手册</v>
      </c>
      <c r="C74" s="8" t="str">
        <f>"纪飞主编"</f>
        <v>纪飞主编</v>
      </c>
      <c r="D74" s="8" t="str">
        <f>"清华大学出版社"</f>
        <v>清华大学出版社</v>
      </c>
      <c r="E74" s="8" t="str">
        <f>"H313.1/997"</f>
        <v>H313.1/997</v>
      </c>
      <c r="F74" s="11"/>
    </row>
    <row r="75" spans="1:6" ht="21.95" customHeight="1">
      <c r="A75" s="6" t="str">
        <f>"978-7-302-46558-4"</f>
        <v>978-7-302-46558-4</v>
      </c>
      <c r="B75" s="7" t="str">
        <f>"大学英语六级考试大纲词汇手册"</f>
        <v>大学英语六级考试大纲词汇手册</v>
      </c>
      <c r="C75" s="8" t="str">
        <f>"纪飞主编"</f>
        <v>纪飞主编</v>
      </c>
      <c r="D75" s="8" t="str">
        <f>"清华大学出版社"</f>
        <v>清华大学出版社</v>
      </c>
      <c r="E75" s="8" t="str">
        <f>"H313.1/998"</f>
        <v>H313.1/998</v>
      </c>
      <c r="F75" s="11"/>
    </row>
    <row r="76" spans="1:6" ht="21.95" customHeight="1">
      <c r="A76" s="6" t="str">
        <f>"978-7-5183-1163-7"</f>
        <v>978-7-5183-1163-7</v>
      </c>
      <c r="B76" s="7" t="str">
        <f>"Step by Step攻克雅思5.5分-6.5分核心词汇"</f>
        <v>Step by Step攻克雅思5.5分-6.5分核心词汇</v>
      </c>
      <c r="C76" s="8" t="str">
        <f>"本书主编江涛"</f>
        <v>本书主编江涛</v>
      </c>
      <c r="D76" s="8" t="str">
        <f>"石油工业出版社"</f>
        <v>石油工业出版社</v>
      </c>
      <c r="E76" s="8" t="str">
        <f>"H313.1/999"</f>
        <v>H313.1/999</v>
      </c>
      <c r="F76" s="11"/>
    </row>
    <row r="77" spans="1:6" ht="21.95" customHeight="1">
      <c r="A77" s="6" t="str">
        <f>"978-7-111-52929-3"</f>
        <v>978-7-111-52929-3</v>
      </c>
      <c r="B77" s="7" t="str">
        <f>"那些惺惺相惜的成语们：800对汉英含义相同的成语"</f>
        <v>那些惺惺相惜的成语们：800对汉英含义相同的成语</v>
      </c>
      <c r="C77" s="8" t="str">
        <f>"陈永桢， 陈善慈， 张同编著"</f>
        <v>陈永桢， 陈善慈， 张同编著</v>
      </c>
      <c r="D77" s="8" t="str">
        <f>"机械工业出版社"</f>
        <v>机械工业出版社</v>
      </c>
      <c r="E77" s="8" t="str">
        <f>"H313.3/57"</f>
        <v>H313.3/57</v>
      </c>
      <c r="F77" s="11"/>
    </row>
    <row r="78" spans="1:6" ht="21.95" customHeight="1">
      <c r="A78" s="6" t="str">
        <f>"978-7-5619-3088-5"</f>
        <v>978-7-5619-3088-5</v>
      </c>
      <c r="B78" s="7" t="str">
        <f>"IELTS雅思真题词汇一本通"</f>
        <v>IELTS雅思真题词汇一本通</v>
      </c>
      <c r="C78" s="8" t="str">
        <f>"主编金利"</f>
        <v>主编金利</v>
      </c>
      <c r="D78" s="8" t="str">
        <f>"北京语言大学出版社"</f>
        <v>北京语言大学出版社</v>
      </c>
      <c r="E78" s="8" t="str">
        <f>"H313/854"</f>
        <v>H313/854</v>
      </c>
      <c r="F78" s="11"/>
    </row>
    <row r="79" spans="1:6" ht="21.95" customHeight="1">
      <c r="A79" s="6" t="str">
        <f>"978-7-5536-1840-1"</f>
        <v>978-7-5536-1840-1</v>
      </c>
      <c r="B79" s="7" t="str">
        <f>"托福词汇10000"</f>
        <v>托福词汇10000</v>
      </c>
      <c r="C79" s="8" t="str">
        <f>"张洪伟， 戴云编著"</f>
        <v>张洪伟， 戴云编著</v>
      </c>
      <c r="D79" s="8" t="str">
        <f>"浙江教育出版社"</f>
        <v>浙江教育出版社</v>
      </c>
      <c r="E79" s="8" t="str">
        <f>"H313/855"</f>
        <v>H313/855</v>
      </c>
      <c r="F79" s="11"/>
    </row>
    <row r="80" spans="1:6" ht="21.95" customHeight="1">
      <c r="A80" s="6" t="str">
        <f>"978-7-5536-3931-4"</f>
        <v>978-7-5536-3931-4</v>
      </c>
      <c r="B80" s="7" t="str">
        <f>"托福TPO词汇精选"</f>
        <v>托福TPO词汇精选</v>
      </c>
      <c r="C80" s="8" t="str">
        <f>"张天乾， 张南编著"</f>
        <v>张天乾， 张南编著</v>
      </c>
      <c r="D80" s="8" t="str">
        <f>"浙江教育出版社"</f>
        <v>浙江教育出版社</v>
      </c>
      <c r="E80" s="8" t="str">
        <f>"H313/856"</f>
        <v>H313/856</v>
      </c>
      <c r="F80" s="11"/>
    </row>
    <row r="81" spans="1:6" ht="54.75" customHeight="1">
      <c r="A81" s="6" t="str">
        <f>"978-7-5183-2495-8"</f>
        <v>978-7-5183-2495-8</v>
      </c>
      <c r="B81" s="7" t="str">
        <f>"雅思标准词汇：超核心词汇3000 超核心短语800：3800 most commonly appearing words and idioms in IELTS"</f>
        <v>雅思标准词汇：超核心词汇3000 超核心短语800：3800 most commonly appearing words and idioms in IELTS</v>
      </c>
      <c r="C81" s="8" t="str">
        <f>"刘薇编著"</f>
        <v>刘薇编著</v>
      </c>
      <c r="D81" s="8" t="str">
        <f>"石油工业出版社"</f>
        <v>石油工业出版社</v>
      </c>
      <c r="E81" s="8" t="str">
        <f>"H313/857=2D"</f>
        <v>H313/857=2D</v>
      </c>
      <c r="F81" s="11"/>
    </row>
    <row r="82" spans="1:6" ht="21.95" customHeight="1">
      <c r="A82" s="6" t="str">
        <f>"978-7-302-44756-6"</f>
        <v>978-7-302-44756-6</v>
      </c>
      <c r="B82" s="7" t="str">
        <f>"新TOEFL分类词汇进阶"</f>
        <v>新TOEFL分类词汇进阶</v>
      </c>
      <c r="C82" s="8" t="str">
        <f>"李丽君...[等]编著"</f>
        <v>李丽君...[等]编著</v>
      </c>
      <c r="D82" s="8" t="str">
        <f>"清华大学出版社"</f>
        <v>清华大学出版社</v>
      </c>
      <c r="E82" s="8" t="str">
        <f>"H313/858"</f>
        <v>H313/858</v>
      </c>
      <c r="F82" s="11"/>
    </row>
    <row r="83" spans="1:6" ht="21.95" customHeight="1">
      <c r="A83" s="6" t="str">
        <f>"978-7-5183-1179-8"</f>
        <v>978-7-5183-1179-8</v>
      </c>
      <c r="B83" s="7" t="str">
        <f>"Step by Step攻克雅思6.5分-7.5分高分词汇"</f>
        <v>Step by Step攻克雅思6.5分-7.5分高分词汇</v>
      </c>
      <c r="C83" s="8" t="str">
        <f>"本书主编江涛"</f>
        <v>本书主编江涛</v>
      </c>
      <c r="D83" s="8" t="str">
        <f>"石油工业出版社"</f>
        <v>石油工业出版社</v>
      </c>
      <c r="E83" s="8" t="str">
        <f>"H313/859"</f>
        <v>H313/859</v>
      </c>
      <c r="F83" s="11"/>
    </row>
    <row r="84" spans="1:6" ht="34.5" customHeight="1">
      <c r="A84" s="6" t="str">
        <f>"978-7-03-055011-8"</f>
        <v>978-7-03-055011-8</v>
      </c>
      <c r="B84" s="7" t="str">
        <f>"The study on second language acquisition of English count-mass distinctions"</f>
        <v>The study on second language acquisition of English count-mass distinctions</v>
      </c>
      <c r="C84" s="8" t="str">
        <f>"张晓鹏著"</f>
        <v>张晓鹏著</v>
      </c>
      <c r="D84" s="8" t="str">
        <f>"科学出版社"</f>
        <v>科学出版社</v>
      </c>
      <c r="E84" s="8" t="str">
        <f>"H314.2/33"</f>
        <v>H314.2/33</v>
      </c>
      <c r="F84" s="11"/>
    </row>
    <row r="85" spans="1:6" ht="21.95" customHeight="1">
      <c r="A85" s="6" t="str">
        <f>"978-7-5361-5971-6"</f>
        <v>978-7-5361-5971-6</v>
      </c>
      <c r="B85" s="7" t="str">
        <f>"英汉语法比较"</f>
        <v>英汉语法比较</v>
      </c>
      <c r="C85" s="8" t="str">
        <f>"杨明新著"</f>
        <v>杨明新著</v>
      </c>
      <c r="D85" s="8" t="str">
        <f>"广东高等教育出版社"</f>
        <v>广东高等教育出版社</v>
      </c>
      <c r="E85" s="8" t="str">
        <f>"H314/236"</f>
        <v>H314/236</v>
      </c>
      <c r="F85" s="11"/>
    </row>
    <row r="86" spans="1:6" ht="21.95" customHeight="1">
      <c r="A86" s="6" t="str">
        <f>"978-7-5600-8833-4"</f>
        <v>978-7-5600-8833-4</v>
      </c>
      <c r="B86" s="7" t="str">
        <f>"牛津英语语法要点精讲"</f>
        <v>牛津英语语法要点精讲</v>
      </c>
      <c r="C86" s="8" t="str">
        <f>"(英) John Eastwood编著"</f>
        <v>(英) John Eastwood编著</v>
      </c>
      <c r="D86" s="8" t="str">
        <f>"外语教学与研究出版社"</f>
        <v>外语教学与研究出版社</v>
      </c>
      <c r="E86" s="8" t="str">
        <f>"H314/237"</f>
        <v>H314/237</v>
      </c>
      <c r="F86" s="11"/>
    </row>
    <row r="87" spans="1:6" ht="21.95" customHeight="1">
      <c r="A87" s="6" t="str">
        <f>"978-7-5096-5149-0"</f>
        <v>978-7-5096-5149-0</v>
      </c>
      <c r="B87" s="7" t="str">
        <f>"英汉翻译中的修辞学研究"</f>
        <v>英汉翻译中的修辞学研究</v>
      </c>
      <c r="C87" s="8" t="str">
        <f>"白雅著"</f>
        <v>白雅著</v>
      </c>
      <c r="D87" s="8" t="str">
        <f>"经济管理出版社"</f>
        <v>经济管理出版社</v>
      </c>
      <c r="E87" s="8" t="str">
        <f>"H315.9/469"</f>
        <v>H315.9/469</v>
      </c>
      <c r="F87" s="11"/>
    </row>
    <row r="88" spans="1:6" ht="21.95" customHeight="1">
      <c r="A88" s="6" t="str">
        <f>"978-7-301-28676-0"</f>
        <v>978-7-301-28676-0</v>
      </c>
      <c r="B88" s="7" t="str">
        <f>"考研英语翻译新说"</f>
        <v>考研英语翻译新说</v>
      </c>
      <c r="C88" s="8" t="str">
        <f>"武峰编著"</f>
        <v>武峰编著</v>
      </c>
      <c r="D88" s="8" t="str">
        <f>"北京大学出版社"</f>
        <v>北京大学出版社</v>
      </c>
      <c r="E88" s="8" t="str">
        <f>"H315.9/470=2D"</f>
        <v>H315.9/470=2D</v>
      </c>
      <c r="F88" s="11"/>
    </row>
    <row r="89" spans="1:6" ht="21.95" customHeight="1">
      <c r="A89" s="6" t="str">
        <f>"978-7-03-056061-2"</f>
        <v>978-7-03-056061-2</v>
      </c>
      <c r="B89" s="7" t="str">
        <f>"面向机器翻译的英汉商务信函对应语块研究"</f>
        <v>面向机器翻译的英汉商务信函对应语块研究</v>
      </c>
      <c r="C89" s="8" t="str">
        <f>"胡富茂著"</f>
        <v>胡富茂著</v>
      </c>
      <c r="D89" s="8" t="str">
        <f>"科学出版社"</f>
        <v>科学出版社</v>
      </c>
      <c r="E89" s="8" t="str">
        <f>"H315.9/471"</f>
        <v>H315.9/471</v>
      </c>
      <c r="F89" s="11"/>
    </row>
    <row r="90" spans="1:6" ht="21.95" customHeight="1">
      <c r="A90" s="6" t="str">
        <f>"978-7-302-47715-0"</f>
        <v>978-7-302-47715-0</v>
      </c>
      <c r="B90" s="7" t="str">
        <f>"汉英翻译：译·注·评"</f>
        <v>汉英翻译：译·注·评</v>
      </c>
      <c r="C90" s="8" t="str">
        <f>"李长栓著"</f>
        <v>李长栓著</v>
      </c>
      <c r="D90" s="8" t="str">
        <f>"清华大学出版社"</f>
        <v>清华大学出版社</v>
      </c>
      <c r="E90" s="8" t="str">
        <f>"H315.9/472"</f>
        <v>H315.9/472</v>
      </c>
      <c r="F90" s="11"/>
    </row>
    <row r="91" spans="1:6" ht="21.95" customHeight="1">
      <c r="A91" s="6" t="str">
        <f>"978-7-5628-4905-6"</f>
        <v>978-7-5628-4905-6</v>
      </c>
      <c r="B91" s="7" t="str">
        <f>"英文商务书信：范例与应用"</f>
        <v>英文商务书信：范例与应用</v>
      </c>
      <c r="C91" s="8" t="str">
        <f>"Michelle Witte著"</f>
        <v>Michelle Witte著</v>
      </c>
      <c r="D91" s="8" t="str">
        <f>"华东理工大学出版社"</f>
        <v>华东理工大学出版社</v>
      </c>
      <c r="E91" s="8" t="str">
        <f>"H315/385=3D"</f>
        <v>H315/385=3D</v>
      </c>
      <c r="F91" s="11"/>
    </row>
    <row r="92" spans="1:6" ht="21.95" customHeight="1">
      <c r="A92" s="6" t="str">
        <f>"978-7-5183-1121-7"</f>
        <v>978-7-5183-1121-7</v>
      </c>
      <c r="B92" s="7" t="str">
        <f>"ZERO雅思写作零起点"</f>
        <v>ZERO雅思写作零起点</v>
      </c>
      <c r="C92" s="8" t="str">
        <f>"主编江涛"</f>
        <v>主编江涛</v>
      </c>
      <c r="D92" s="8" t="str">
        <f t="shared" ref="D92:D94" si="8">"石油工业出版社"</f>
        <v>石油工业出版社</v>
      </c>
      <c r="E92" s="8" t="str">
        <f>"H315/697"</f>
        <v>H315/697</v>
      </c>
      <c r="F92" s="11"/>
    </row>
    <row r="93" spans="1:6" ht="21.95" customHeight="1">
      <c r="A93" s="6" t="str">
        <f>"978-7-5183-1140-8"</f>
        <v>978-7-5183-1140-8</v>
      </c>
      <c r="B93" s="7" t="str">
        <f>"80天攻克雅思写作"</f>
        <v>80天攻克雅思写作</v>
      </c>
      <c r="C93" s="8" t="str">
        <f>"本书主编江涛， 王丽丽"</f>
        <v>本书主编江涛， 王丽丽</v>
      </c>
      <c r="D93" s="8" t="str">
        <f t="shared" si="8"/>
        <v>石油工业出版社</v>
      </c>
      <c r="E93" s="8" t="str">
        <f>"H315/698"</f>
        <v>H315/698</v>
      </c>
      <c r="F93" s="11"/>
    </row>
    <row r="94" spans="1:6" ht="21.95" customHeight="1">
      <c r="A94" s="6" t="str">
        <f>"978-7-5183-1386-0"</f>
        <v>978-7-5183-1386-0</v>
      </c>
      <c r="B94" s="7" t="str">
        <f>"雅思写作题库全攻略"</f>
        <v>雅思写作题库全攻略</v>
      </c>
      <c r="C94" s="8" t="str">
        <f>"蒋晓刚编著"</f>
        <v>蒋晓刚编著</v>
      </c>
      <c r="D94" s="8" t="str">
        <f t="shared" si="8"/>
        <v>石油工业出版社</v>
      </c>
      <c r="E94" s="8" t="str">
        <f>"H315-44/6"</f>
        <v>H315-44/6</v>
      </c>
      <c r="F94" s="11"/>
    </row>
    <row r="95" spans="1:6" ht="21.95" customHeight="1">
      <c r="A95" s="6" t="str">
        <f>"978-7-111-51474-9"</f>
        <v>978-7-111-51474-9</v>
      </c>
      <c r="B95" s="7" t="str">
        <f>"酒店英语速查词典"</f>
        <v>酒店英语速查词典</v>
      </c>
      <c r="C95" s="8" t="str">
        <f>"主编万抒佳"</f>
        <v>主编万抒佳</v>
      </c>
      <c r="D95" s="8" t="str">
        <f>"机械工业出版社"</f>
        <v>机械工业出版社</v>
      </c>
      <c r="E95" s="8" t="str">
        <f>"H31-61/5"</f>
        <v>H31-61/5</v>
      </c>
      <c r="F95" s="11"/>
    </row>
    <row r="96" spans="1:6" ht="21.95" customHeight="1">
      <c r="A96" s="6" t="str">
        <f>"978-7-5536-5950-3"</f>
        <v>978-7-5536-5950-3</v>
      </c>
      <c r="B96" s="7" t="str">
        <f>"四级词汇词根+联想记忆法"</f>
        <v>四级词汇词根+联想记忆法</v>
      </c>
      <c r="C96" s="8" t="str">
        <f t="shared" ref="C96:C98" si="9">"俞敏洪编著"</f>
        <v>俞敏洪编著</v>
      </c>
      <c r="D96" s="8" t="str">
        <f>"浙江教育出版社"</f>
        <v>浙江教育出版社</v>
      </c>
      <c r="E96" s="8" t="str">
        <f>"H319.34/41=2D"</f>
        <v>H319.34/41=2D</v>
      </c>
      <c r="F96" s="11"/>
    </row>
    <row r="97" spans="1:6" ht="21.95" customHeight="1">
      <c r="A97" s="6" t="str">
        <f>"978-7-5536-5915-2"</f>
        <v>978-7-5536-5915-2</v>
      </c>
      <c r="B97" s="7" t="str">
        <f>"六级词汇词根+联想记忆法"</f>
        <v>六级词汇词根+联想记忆法</v>
      </c>
      <c r="C97" s="8" t="str">
        <f t="shared" si="9"/>
        <v>俞敏洪编著</v>
      </c>
      <c r="D97" s="8" t="str">
        <f>"浙江教育出版社"</f>
        <v>浙江教育出版社</v>
      </c>
      <c r="E97" s="8" t="str">
        <f>"H319.34/42=2D"</f>
        <v>H319.34/42=2D</v>
      </c>
      <c r="F97" s="11"/>
    </row>
    <row r="98" spans="1:6" ht="21.95" customHeight="1">
      <c r="A98" s="6" t="str">
        <f>"978-7-5110-4129-6"</f>
        <v>978-7-5110-4129-6</v>
      </c>
      <c r="B98" s="7" t="str">
        <f>"六级词汇词根+联想记忆法：乱序版"</f>
        <v>六级词汇词根+联想记忆法：乱序版</v>
      </c>
      <c r="C98" s="8" t="str">
        <f t="shared" si="9"/>
        <v>俞敏洪编著</v>
      </c>
      <c r="D98" s="8" t="str">
        <f>"海豚出版社"</f>
        <v>海豚出版社</v>
      </c>
      <c r="E98" s="8" t="str">
        <f>"H319.34/43"</f>
        <v>H319.34/43</v>
      </c>
      <c r="F98" s="11"/>
    </row>
    <row r="99" spans="1:6" ht="21.95" customHeight="1">
      <c r="A99" s="6" t="str">
        <f>"978-7-5536-3402-9"</f>
        <v>978-7-5536-3402-9</v>
      </c>
      <c r="B99" s="7" t="str">
        <f>"4级词汇：词以类记"</f>
        <v>4级词汇：词以类记</v>
      </c>
      <c r="C99" s="8" t="str">
        <f>"新东方考试研究中心编著"</f>
        <v>新东方考试研究中心编著</v>
      </c>
      <c r="D99" s="8" t="str">
        <f>"浙江教育出版社"</f>
        <v>浙江教育出版社</v>
      </c>
      <c r="E99" s="8" t="str">
        <f>"H319.34/44"</f>
        <v>H319.34/44</v>
      </c>
      <c r="F99" s="11"/>
    </row>
    <row r="100" spans="1:6" ht="21.95" customHeight="1">
      <c r="A100" s="6" t="str">
        <f>"978-7-111-56043-2"</f>
        <v>978-7-111-56043-2</v>
      </c>
      <c r="B100" s="7" t="str">
        <f>"GMAT高频词汇精粹"</f>
        <v>GMAT高频词汇精粹</v>
      </c>
      <c r="C100" s="8" t="str">
        <f>"毕出编著"</f>
        <v>毕出编著</v>
      </c>
      <c r="D100" s="8" t="str">
        <f>"机械工业出版社"</f>
        <v>机械工业出版社</v>
      </c>
      <c r="E100" s="8" t="str">
        <f>"H319.34/45"</f>
        <v>H319.34/45</v>
      </c>
      <c r="F100" s="11"/>
    </row>
    <row r="101" spans="1:6" ht="21.95" customHeight="1">
      <c r="A101" s="6" t="str">
        <f>"978-7-5357-9042-2"</f>
        <v>978-7-5357-9042-2</v>
      </c>
      <c r="B101" s="7" t="str">
        <f>"六级英语核心词：词根+词缀高效记忆法"</f>
        <v>六级英语核心词：词根+词缀高效记忆法</v>
      </c>
      <c r="C101" s="8" t="str">
        <f>"俞敏洪编著"</f>
        <v>俞敏洪编著</v>
      </c>
      <c r="D101" s="8" t="str">
        <f>"湖南科学技术出版社"</f>
        <v>湖南科学技术出版社</v>
      </c>
      <c r="E101" s="8" t="str">
        <f>"H319.34/46"</f>
        <v>H319.34/46</v>
      </c>
      <c r="F101" s="11"/>
    </row>
    <row r="102" spans="1:6" ht="21.95" customHeight="1">
      <c r="A102" s="6" t="str">
        <f>"978-7-5628-3719-0"</f>
        <v>978-7-5628-3719-0</v>
      </c>
      <c r="B102" s="7" t="str">
        <f>"大学英语语法：讲座与测试"</f>
        <v>大学英语语法：讲座与测试</v>
      </c>
      <c r="C102" s="8" t="str">
        <f>"许广联主编"</f>
        <v>许广联主编</v>
      </c>
      <c r="D102" s="8" t="str">
        <f>"华东理工大学出版社"</f>
        <v>华东理工大学出版社</v>
      </c>
      <c r="E102" s="8" t="str">
        <f>"H319.35/12=5D"</f>
        <v>H319.35/12=5D</v>
      </c>
      <c r="F102" s="11"/>
    </row>
    <row r="103" spans="1:6" ht="21.95" customHeight="1">
      <c r="A103" s="6" t="str">
        <f>"978-7-119-08158-8"</f>
        <v>978-7-119-08158-8</v>
      </c>
      <c r="B103" s="7" t="str">
        <f>"大学英语四级经典范文200篇"</f>
        <v>大学英语四级经典范文200篇</v>
      </c>
      <c r="C103" s="8" t="str">
        <f>"Carol Rueckert著"</f>
        <v>Carol Rueckert著</v>
      </c>
      <c r="D103" s="8" t="str">
        <f>"外文出版社"</f>
        <v>外文出版社</v>
      </c>
      <c r="E103" s="8" t="str">
        <f>"H319.36/26"</f>
        <v>H319.36/26</v>
      </c>
      <c r="F103" s="11"/>
    </row>
    <row r="104" spans="1:6" ht="21.95" customHeight="1">
      <c r="A104" s="6" t="str">
        <f>"978-7-5183-1114-9"</f>
        <v>978-7-5183-1114-9</v>
      </c>
      <c r="B104" s="7" t="str">
        <f>"80天攻克雅思阅读"</f>
        <v>80天攻克雅思阅读</v>
      </c>
      <c r="C104" s="8" t="str">
        <f>"丛书主编江涛"</f>
        <v>丛书主编江涛</v>
      </c>
      <c r="D104" s="8" t="str">
        <f>"石油工业出版社"</f>
        <v>石油工业出版社</v>
      </c>
      <c r="E104" s="8" t="str">
        <f>"H319.37/52=4D"</f>
        <v>H319.37/52=4D</v>
      </c>
      <c r="F104" s="11"/>
    </row>
    <row r="105" spans="1:6" ht="21.95" customHeight="1">
      <c r="A105" s="6" t="str">
        <f>"978-7-302-49186-6"</f>
        <v>978-7-302-49186-6</v>
      </c>
      <c r="B105" s="7" t="str">
        <f>"美术英语"</f>
        <v>美术英语</v>
      </c>
      <c r="C105" s="8" t="str">
        <f>"沈一鸣， 张文霞编"</f>
        <v>沈一鸣， 张文霞编</v>
      </c>
      <c r="D105" s="8" t="str">
        <f>"清华大学出版社"</f>
        <v>清华大学出版社</v>
      </c>
      <c r="E105" s="8" t="str">
        <f>"H319.39/29=2D"</f>
        <v>H319.39/29=2D</v>
      </c>
      <c r="F105" s="11"/>
    </row>
    <row r="106" spans="1:6" ht="30.75" customHeight="1">
      <c r="A106" s="6" t="str">
        <f>"978-7-302-47915-4"</f>
        <v>978-7-302-47915-4</v>
      </c>
      <c r="B106" s="7" t="str">
        <f>"超越电影：好莱坞英语和全球电影文化：Hollywood English &amp; global film culture"</f>
        <v>超越电影：好莱坞英语和全球电影文化：Hollywood English &amp; global film culture</v>
      </c>
      <c r="C106" s="8" t="str">
        <f>"覃成强， (美) Aaron Glascock， Thomas E. Hughes编著"</f>
        <v>覃成强， (美) Aaron Glascock， Thomas E. Hughes编著</v>
      </c>
      <c r="D106" s="8" t="str">
        <f>"清华大学出版社"</f>
        <v>清华大学出版社</v>
      </c>
      <c r="E106" s="8" t="str">
        <f>"H319.39/30"</f>
        <v>H319.39/30</v>
      </c>
      <c r="F106" s="11"/>
    </row>
    <row r="107" spans="1:6" ht="21.95" customHeight="1">
      <c r="A107" s="6" t="str">
        <f>"978-7-5537-5442-0"</f>
        <v>978-7-5537-5442-0</v>
      </c>
      <c r="B107" s="7" t="str">
        <f>"英语阅读分解大全"</f>
        <v>英语阅读分解大全</v>
      </c>
      <c r="C107" s="8" t="str">
        <f>"(韩) 尹尚远著"</f>
        <v>(韩) 尹尚远著</v>
      </c>
      <c r="D107" s="8" t="str">
        <f>"江苏凤凰科学技术出版社"</f>
        <v>江苏凤凰科学技术出版社</v>
      </c>
      <c r="E107" s="8" t="str">
        <f>"H319.4/1729"</f>
        <v>H319.4/1729</v>
      </c>
      <c r="F107" s="11"/>
    </row>
    <row r="108" spans="1:6" ht="21.95" customHeight="1">
      <c r="A108" s="6" t="str">
        <f>"978-7-302-44677-4"</f>
        <v>978-7-302-44677-4</v>
      </c>
      <c r="B108" s="7" t="str">
        <f>"新TOEFL分类阅读进阶"</f>
        <v>新TOEFL分类阅读进阶</v>
      </c>
      <c r="C108" s="8" t="str">
        <f>"李丽君，赵艳红，张一编著"</f>
        <v>李丽君，赵艳红，张一编著</v>
      </c>
      <c r="D108" s="8" t="str">
        <f t="shared" ref="D108:D110" si="10">"清华大学出版社"</f>
        <v>清华大学出版社</v>
      </c>
      <c r="E108" s="8" t="str">
        <f>"H319.4/1730"</f>
        <v>H319.4/1730</v>
      </c>
      <c r="F108" s="11"/>
    </row>
    <row r="109" spans="1:6" ht="21.95" customHeight="1">
      <c r="A109" s="6" t="str">
        <f>"978-7-302-41765-1"</f>
        <v>978-7-302-41765-1</v>
      </c>
      <c r="B109" s="7" t="str">
        <f>"沟通的艺术"</f>
        <v>沟通的艺术</v>
      </c>
      <c r="C109" s="8" t="str">
        <f>"(美)戴尔·卡耐基著"</f>
        <v>(美)戴尔·卡耐基著</v>
      </c>
      <c r="D109" s="8" t="str">
        <f t="shared" si="10"/>
        <v>清华大学出版社</v>
      </c>
      <c r="E109" s="8" t="str">
        <f>"H319.4:C912.11/1"</f>
        <v>H319.4:C912.11/1</v>
      </c>
      <c r="F109" s="11"/>
    </row>
    <row r="110" spans="1:6" ht="21.95" customHeight="1">
      <c r="A110" s="6" t="str">
        <f>"978-7-302-49261-0"</f>
        <v>978-7-302-49261-0</v>
      </c>
      <c r="B110" s="7" t="str">
        <f>"英语散文精读"</f>
        <v>英语散文精读</v>
      </c>
      <c r="C110" s="8" t="str">
        <f>"罗斌， 苏娉编著"</f>
        <v>罗斌， 苏娉编著</v>
      </c>
      <c r="D110" s="8" t="str">
        <f t="shared" si="10"/>
        <v>清华大学出版社</v>
      </c>
      <c r="E110" s="8" t="str">
        <f>"H319.4:I/1286"</f>
        <v>H319.4:I/1286</v>
      </c>
      <c r="F110" s="11"/>
    </row>
    <row r="111" spans="1:6" ht="21.95" customHeight="1">
      <c r="A111" s="6" t="str">
        <f>"978-7-5085-2203-6"</f>
        <v>978-7-5085-2203-6</v>
      </c>
      <c r="B111" s="7" t="str">
        <f>"长生殿"</f>
        <v>长生殿</v>
      </c>
      <c r="C111" s="8" t="str">
        <f>"(清) 洪升著"</f>
        <v>(清) 洪升著</v>
      </c>
      <c r="D111" s="8" t="str">
        <f>"五洲传播出版社"</f>
        <v>五洲传播出版社</v>
      </c>
      <c r="E111" s="8" t="str">
        <f>"H319.4:I237.2/1"</f>
        <v>H319.4:I237.2/1</v>
      </c>
      <c r="F111" s="11"/>
    </row>
    <row r="112" spans="1:6" ht="21.95" customHeight="1">
      <c r="A112" s="6" t="str">
        <f>"978-7-302-41762-0"</f>
        <v>978-7-302-41762-0</v>
      </c>
      <c r="B112" s="7" t="str">
        <f>"发明的故事"</f>
        <v>发明的故事</v>
      </c>
      <c r="C112" s="8" t="str">
        <f>"(美)房龙著"</f>
        <v>(美)房龙著</v>
      </c>
      <c r="D112" s="8" t="str">
        <f>"清华大学出版社"</f>
        <v>清华大学出版社</v>
      </c>
      <c r="E112" s="8" t="str">
        <f>"H319.4:N19/1"</f>
        <v>H319.4:N19/1</v>
      </c>
      <c r="F112" s="11"/>
    </row>
    <row r="113" spans="1:6" ht="21.95" customHeight="1">
      <c r="A113" s="6" t="str">
        <f>"978-7-5001-4431-1"</f>
        <v>978-7-5001-4431-1</v>
      </c>
      <c r="B113" s="7" t="str">
        <f>"365天英语口语大全．日常口语"</f>
        <v>365天英语口语大全．日常口语</v>
      </c>
      <c r="C113" s="8" t="str">
        <f>"耿小辉主编"</f>
        <v>耿小辉主编</v>
      </c>
      <c r="D113" s="8" t="str">
        <f>"中译出版社"</f>
        <v>中译出版社</v>
      </c>
      <c r="E113" s="8" t="str">
        <f>"H319.9/1927"</f>
        <v>H319.9/1927</v>
      </c>
      <c r="F113" s="11"/>
    </row>
    <row r="114" spans="1:6" ht="21.95" customHeight="1">
      <c r="A114" s="6" t="str">
        <f>"978-7-302-46141-8"</f>
        <v>978-7-302-46141-8</v>
      </c>
      <c r="B114" s="7" t="str">
        <f>"新编听说进阶：中高级英语听说教程"</f>
        <v>新编听说进阶：中高级英语听说教程</v>
      </c>
      <c r="C114" s="8" t="str">
        <f>"何福胜编"</f>
        <v>何福胜编</v>
      </c>
      <c r="D114" s="8" t="str">
        <f>"清华大学出版社"</f>
        <v>清华大学出版社</v>
      </c>
      <c r="E114" s="8" t="str">
        <f>"H319.9/1928=3D"</f>
        <v>H319.9/1928=3D</v>
      </c>
      <c r="F114" s="11"/>
    </row>
    <row r="115" spans="1:6" ht="21.95" customHeight="1">
      <c r="A115" s="6" t="str">
        <f>"978-7-302-47049-6"</f>
        <v>978-7-302-47049-6</v>
      </c>
      <c r="B115" s="7" t="str">
        <f>"日常交际英语900句：好看、好玩、好听的英语应急口袋书"</f>
        <v>日常交际英语900句：好看、好玩、好听的英语应急口袋书</v>
      </c>
      <c r="C115" s="8" t="str">
        <f>"汉迪森口语专家编著"</f>
        <v>汉迪森口语专家编著</v>
      </c>
      <c r="D115" s="8" t="str">
        <f>"清华大学出版社"</f>
        <v>清华大学出版社</v>
      </c>
      <c r="E115" s="8" t="str">
        <f>"H319.9/1929"</f>
        <v>H319.9/1929</v>
      </c>
      <c r="F115" s="11"/>
    </row>
    <row r="116" spans="1:6" ht="21.95" customHeight="1">
      <c r="A116" s="6" t="str">
        <f>"978-7-5096-5672-3"</f>
        <v>978-7-5096-5672-3</v>
      </c>
      <c r="B116" s="7" t="str">
        <f>"如何接听英语电话"</f>
        <v>如何接听英语电话</v>
      </c>
      <c r="C116" s="8" t="str">
        <f>"余敏编著"</f>
        <v>余敏编著</v>
      </c>
      <c r="D116" s="8" t="str">
        <f>"经济管理出版社"</f>
        <v>经济管理出版社</v>
      </c>
      <c r="E116" s="8" t="str">
        <f>"H319.9/1930"</f>
        <v>H319.9/1930</v>
      </c>
      <c r="F116" s="11"/>
    </row>
    <row r="117" spans="1:6" ht="21.95" customHeight="1">
      <c r="A117" s="6" t="str">
        <f>"978-7-5096-5673-0"</f>
        <v>978-7-5096-5673-0</v>
      </c>
      <c r="B117" s="7" t="str">
        <f>"如何听懂日常英语电话"</f>
        <v>如何听懂日常英语电话</v>
      </c>
      <c r="C117" s="8" t="str">
        <f>"余敏编著"</f>
        <v>余敏编著</v>
      </c>
      <c r="D117" s="8" t="str">
        <f>"经济管理出版社"</f>
        <v>经济管理出版社</v>
      </c>
      <c r="E117" s="8" t="str">
        <f>"H319.9/1931"</f>
        <v>H319.9/1931</v>
      </c>
      <c r="F117" s="11"/>
    </row>
    <row r="118" spans="1:6" ht="21.95" customHeight="1">
      <c r="A118" s="6" t="str">
        <f>"978-7-5183-1840-7"</f>
        <v>978-7-5183-1840-7</v>
      </c>
      <c r="B118" s="7" t="str">
        <f>"雅思口语真题素材库及机经答案"</f>
        <v>雅思口语真题素材库及机经答案</v>
      </c>
      <c r="C118" s="8" t="str">
        <f>"王陆，刘昀编著"</f>
        <v>王陆，刘昀编著</v>
      </c>
      <c r="D118" s="8" t="str">
        <f>"石油工业出版社"</f>
        <v>石油工业出版社</v>
      </c>
      <c r="E118" s="8" t="str">
        <f>"H319.9-44/25"</f>
        <v>H319.9-44/25</v>
      </c>
      <c r="F118" s="11"/>
    </row>
    <row r="119" spans="1:6" ht="21.95" customHeight="1">
      <c r="A119" s="6" t="str">
        <f>"978-7-5669-0749-3"</f>
        <v>978-7-5669-0749-3</v>
      </c>
      <c r="B119" s="7" t="str">
        <f>"4000句轻松玩转法语"</f>
        <v>4000句轻松玩转法语</v>
      </c>
      <c r="C119" s="8" t="str">
        <f>"黄冠乔， 徐素娟主编"</f>
        <v>黄冠乔， 徐素娟主编</v>
      </c>
      <c r="D119" s="8" t="str">
        <f t="shared" ref="D119:D127" si="11">"东华大学出版社"</f>
        <v>东华大学出版社</v>
      </c>
      <c r="E119" s="8" t="str">
        <f>"H32/62"</f>
        <v>H32/62</v>
      </c>
      <c r="F119" s="11"/>
    </row>
    <row r="120" spans="1:6" ht="21.95" customHeight="1">
      <c r="A120" s="6" t="str">
        <f>"978-7-5669-1052-3"</f>
        <v>978-7-5669-1052-3</v>
      </c>
      <c r="B120" s="7" t="str">
        <f>"法语分类词汇宝典"</f>
        <v>法语分类词汇宝典</v>
      </c>
      <c r="C120" s="8" t="str">
        <f>"陈路， 方垠， 戴剑安主编"</f>
        <v>陈路， 方垠， 戴剑安主编</v>
      </c>
      <c r="D120" s="8" t="str">
        <f t="shared" si="11"/>
        <v>东华大学出版社</v>
      </c>
      <c r="E120" s="8" t="str">
        <f>"H323.1/16=4D"</f>
        <v>H323.1/16=4D</v>
      </c>
      <c r="F120" s="11"/>
    </row>
    <row r="121" spans="1:6" ht="21.95" customHeight="1">
      <c r="A121" s="6" t="str">
        <f>"978-7-5669-1150-6"</f>
        <v>978-7-5669-1150-6</v>
      </c>
      <c r="B121" s="7" t="str">
        <f>"1800个最有用的法语词汇"</f>
        <v>1800个最有用的法语词汇</v>
      </c>
      <c r="C121" s="8" t="str">
        <f>"陈建伟主编"</f>
        <v>陈建伟主编</v>
      </c>
      <c r="D121" s="8" t="str">
        <f t="shared" si="11"/>
        <v>东华大学出版社</v>
      </c>
      <c r="E121" s="8" t="str">
        <f>"H323.1/17"</f>
        <v>H323.1/17</v>
      </c>
      <c r="F121" s="11"/>
    </row>
    <row r="122" spans="1:6" ht="21.95" customHeight="1">
      <c r="A122" s="6" t="str">
        <f>"978-7-5669-1034-9"</f>
        <v>978-7-5669-1034-9</v>
      </c>
      <c r="B122" s="7" t="str">
        <f>"法语词根宝典"</f>
        <v>法语词根宝典</v>
      </c>
      <c r="C122" s="8" t="str">
        <f>"吕玉冬编著"</f>
        <v>吕玉冬编著</v>
      </c>
      <c r="D122" s="8" t="str">
        <f t="shared" si="11"/>
        <v>东华大学出版社</v>
      </c>
      <c r="E122" s="8" t="str">
        <f>"H323.1/18=2D"</f>
        <v>H323.1/18=2D</v>
      </c>
      <c r="F122" s="11"/>
    </row>
    <row r="123" spans="1:6" ht="21.95" customHeight="1">
      <c r="A123" s="6" t="str">
        <f>"978-7-5669-0486-7"</f>
        <v>978-7-5669-0486-7</v>
      </c>
      <c r="B123" s="7" t="str">
        <f>"法语分级词汇速记手册"</f>
        <v>法语分级词汇速记手册</v>
      </c>
      <c r="C123" s="8" t="str">
        <f>"陈建伟主编"</f>
        <v>陈建伟主编</v>
      </c>
      <c r="D123" s="8" t="str">
        <f t="shared" si="11"/>
        <v>东华大学出版社</v>
      </c>
      <c r="E123" s="8" t="str">
        <f>"H323.1-62/2"</f>
        <v>H323.1-62/2</v>
      </c>
      <c r="F123" s="11"/>
    </row>
    <row r="124" spans="1:6" ht="21.95" customHeight="1">
      <c r="A124" s="6" t="str">
        <f>"978-7-5669-0757-8"</f>
        <v>978-7-5669-0757-8</v>
      </c>
      <c r="B124" s="7" t="str">
        <f>"480个最有用的法语动词"</f>
        <v>480个最有用的法语动词</v>
      </c>
      <c r="C124" s="8" t="str">
        <f>"陈建伟主编"</f>
        <v>陈建伟主编</v>
      </c>
      <c r="D124" s="8" t="str">
        <f t="shared" si="11"/>
        <v>东华大学出版社</v>
      </c>
      <c r="E124" s="8" t="str">
        <f>"H324.2/10=2D"</f>
        <v>H324.2/10=2D</v>
      </c>
      <c r="F124" s="11"/>
    </row>
    <row r="125" spans="1:6" ht="21.95" customHeight="1">
      <c r="A125" s="6" t="str">
        <f>"978-7-5669-1332-6"</f>
        <v>978-7-5669-1332-6</v>
      </c>
      <c r="B125" s="7" t="str">
        <f>"法语动词变位速查手册"</f>
        <v>法语动词变位速查手册</v>
      </c>
      <c r="C125" s="8" t="str">
        <f>"林淑敏， 陈建伟， 毛荣坤编著"</f>
        <v>林淑敏， 陈建伟， 毛荣坤编著</v>
      </c>
      <c r="D125" s="8" t="str">
        <f t="shared" si="11"/>
        <v>东华大学出版社</v>
      </c>
      <c r="E125" s="8" t="str">
        <f>"H324.2/9"</f>
        <v>H324.2/9</v>
      </c>
      <c r="F125" s="11"/>
    </row>
    <row r="126" spans="1:6" ht="21.95" customHeight="1">
      <c r="A126" s="6" t="str">
        <f>"978-7-5669-1333-3"</f>
        <v>978-7-5669-1333-3</v>
      </c>
      <c r="B126" s="7" t="str">
        <f>"法语动词和介词搭配速查手册"</f>
        <v>法语动词和介词搭配速查手册</v>
      </c>
      <c r="C126" s="8" t="str">
        <f>"徐素娟， 李冬冬编著"</f>
        <v>徐素娟， 李冬冬编著</v>
      </c>
      <c r="D126" s="8" t="str">
        <f t="shared" si="11"/>
        <v>东华大学出版社</v>
      </c>
      <c r="E126" s="8" t="str">
        <f>"H324.2-62/1"</f>
        <v>H324.2-62/1</v>
      </c>
      <c r="F126" s="11"/>
    </row>
    <row r="127" spans="1:6" ht="21.95" customHeight="1">
      <c r="A127" s="6" t="str">
        <f>"978-7-5669-0964-0"</f>
        <v>978-7-5669-0964-0</v>
      </c>
      <c r="B127" s="7" t="str">
        <f>"实用法语语法练习全解"</f>
        <v>实用法语语法练习全解</v>
      </c>
      <c r="C127" s="8" t="str">
        <f>"牛秀茹， 余春红主编"</f>
        <v>牛秀茹， 余春红主编</v>
      </c>
      <c r="D127" s="8" t="str">
        <f t="shared" si="11"/>
        <v>东华大学出版社</v>
      </c>
      <c r="E127" s="8" t="str">
        <f>"H324-44/3=2D"</f>
        <v>H324-44/3=2D</v>
      </c>
      <c r="F127" s="11"/>
    </row>
    <row r="128" spans="1:6" ht="21.95" customHeight="1">
      <c r="A128" s="6" t="str">
        <f>"978-7-119-09754-1"</f>
        <v>978-7-119-09754-1</v>
      </c>
      <c r="B128" s="7" t="str">
        <f>"情境式法语图解字典"</f>
        <v>情境式法语图解字典</v>
      </c>
      <c r="C128" s="8" t="str">
        <f>"希伯伦股份公司编著"</f>
        <v>希伯伦股份公司编著</v>
      </c>
      <c r="D128" s="8" t="str">
        <f>"外文出版社"</f>
        <v>外文出版社</v>
      </c>
      <c r="E128" s="8" t="str">
        <f>"H326-64/1"</f>
        <v>H326-64/1</v>
      </c>
      <c r="F128" s="11"/>
    </row>
    <row r="129" spans="1:6" ht="21.95" customHeight="1">
      <c r="A129" s="6" t="str">
        <f>"978-7-5426-5799-2"</f>
        <v>978-7-5426-5799-2</v>
      </c>
      <c r="B129" s="7" t="str">
        <f>"俄罗斯语言心智研究"</f>
        <v>俄罗斯语言心智研究</v>
      </c>
      <c r="C129" s="8" t="str">
        <f>"杨明天著"</f>
        <v>杨明天著</v>
      </c>
      <c r="D129" s="8" t="str">
        <f>"上海三联书店"</f>
        <v>上海三联书店</v>
      </c>
      <c r="E129" s="8" t="str">
        <f>"H35/28"</f>
        <v>H35/28</v>
      </c>
      <c r="F129" s="11"/>
    </row>
    <row r="130" spans="1:6" ht="21.95" customHeight="1">
      <c r="A130" s="6" t="str">
        <f>"978-7-5686-0070-5"</f>
        <v>978-7-5686-0070-5</v>
      </c>
      <c r="B130" s="7" t="str">
        <f>"大学俄语"</f>
        <v>大学俄语</v>
      </c>
      <c r="C130" s="8" t="str">
        <f>"冯姝鑫主编"</f>
        <v>冯姝鑫主编</v>
      </c>
      <c r="D130" s="8" t="str">
        <f t="shared" ref="D130:D132" si="12">"北京大学出版社"</f>
        <v>北京大学出版社</v>
      </c>
      <c r="E130" s="8" t="str">
        <f>"H359.39/2"</f>
        <v>H359.39/2</v>
      </c>
      <c r="F130" s="11"/>
    </row>
    <row r="131" spans="1:6" ht="21.95" customHeight="1">
      <c r="A131" s="6" t="str">
        <f>"978-7-5686-0046-0"</f>
        <v>978-7-5686-0046-0</v>
      </c>
      <c r="B131" s="7" t="str">
        <f>"俄罗斯国情文化"</f>
        <v>俄罗斯国情文化</v>
      </c>
      <c r="C131" s="8" t="str">
        <f>"冯海霞主编"</f>
        <v>冯海霞主编</v>
      </c>
      <c r="D131" s="8" t="str">
        <f t="shared" si="12"/>
        <v>北京大学出版社</v>
      </c>
      <c r="E131" s="8" t="str">
        <f>"H359.39/3"</f>
        <v>H359.39/3</v>
      </c>
      <c r="F131" s="11"/>
    </row>
    <row r="132" spans="1:6" ht="21.95" customHeight="1">
      <c r="A132" s="6" t="str">
        <f>"978-7-301-28332-5"</f>
        <v>978-7-301-28332-5</v>
      </c>
      <c r="B132" s="7" t="str">
        <f>"俄罗斯艺术"</f>
        <v>俄罗斯艺术</v>
      </c>
      <c r="C132" s="8" t="str">
        <f>"主编安利红"</f>
        <v>主编安利红</v>
      </c>
      <c r="D132" s="8" t="str">
        <f t="shared" si="12"/>
        <v>北京大学出版社</v>
      </c>
      <c r="E132" s="8" t="str">
        <f>"H359.4:J151.2/1"</f>
        <v>H359.4:J151.2/1</v>
      </c>
      <c r="F132" s="11"/>
    </row>
    <row r="133" spans="1:6" ht="21.95" customHeight="1">
      <c r="A133" s="6" t="str">
        <f>"978-7-5180-2041-6"</f>
        <v>978-7-5180-2041-6</v>
      </c>
      <c r="B133" s="7" t="str">
        <f>"新日本语能力考试N1一本通"</f>
        <v>新日本语能力考试N1一本通</v>
      </c>
      <c r="C133" s="8" t="str">
        <f>"(韩) 李敏姃著"</f>
        <v>(韩) 李敏姃著</v>
      </c>
      <c r="D133" s="8" t="str">
        <f>"中国纺织出版社"</f>
        <v>中国纺织出版社</v>
      </c>
      <c r="E133" s="8" t="str">
        <f>"H360.41/74"</f>
        <v>H360.41/74</v>
      </c>
      <c r="F133" s="11"/>
    </row>
    <row r="134" spans="1:6" ht="21.95" customHeight="1">
      <c r="A134" s="6" t="str">
        <f>"978-7-5628-4083-1"</f>
        <v>978-7-5628-4083-1</v>
      </c>
      <c r="B134" s="7" t="str">
        <f>"最新日语实用句型大全：有这本就够了"</f>
        <v>最新日语实用句型大全：有这本就够了</v>
      </c>
      <c r="C134" s="8" t="str">
        <f>"编著花文勰"</f>
        <v>编著花文勰</v>
      </c>
      <c r="D134" s="8" t="str">
        <f>"华东理工大学出版社"</f>
        <v>华东理工大学出版社</v>
      </c>
      <c r="E134" s="8" t="str">
        <f>"H364.3/37"</f>
        <v>H364.3/37</v>
      </c>
      <c r="F134" s="11"/>
    </row>
    <row r="135" spans="1:6" ht="21.95" customHeight="1">
      <c r="A135" s="6" t="str">
        <f>"978-7-03-056899-1"</f>
        <v>978-7-03-056899-1</v>
      </c>
      <c r="B135" s="7" t="str">
        <f>"汉日转折关联词语对比与翻译"</f>
        <v>汉日转折关联词语对比与翻译</v>
      </c>
      <c r="C135" s="8" t="str">
        <f>"王丽莉著"</f>
        <v>王丽莉著</v>
      </c>
      <c r="D135" s="8" t="str">
        <f>"科学出版社"</f>
        <v>科学出版社</v>
      </c>
      <c r="E135" s="8" t="str">
        <f>"H364/85"</f>
        <v>H364/85</v>
      </c>
      <c r="F135" s="11"/>
    </row>
    <row r="136" spans="1:6" ht="21.95" customHeight="1">
      <c r="A136" s="6" t="str">
        <f>"978-7-5192-2428-8"</f>
        <v>978-7-5192-2428-8</v>
      </c>
      <c r="B136" s="7" t="str">
        <f>"起风了"</f>
        <v>起风了</v>
      </c>
      <c r="C136" s="8" t="str">
        <f>"(日) 堀辰雄著"</f>
        <v>(日) 堀辰雄著</v>
      </c>
      <c r="D136" s="8" t="str">
        <f>"上海世界图书出版公司"</f>
        <v>上海世界图书出版公司</v>
      </c>
      <c r="E136" s="8" t="str">
        <f>"H369.4:I/33"</f>
        <v>H369.4:I/33</v>
      </c>
      <c r="F136" s="11"/>
    </row>
    <row r="137" spans="1:6" ht="21.95" customHeight="1">
      <c r="A137" s="6" t="str">
        <f>"978-7-5159-1226-4"</f>
        <v>978-7-5159-1226-4</v>
      </c>
      <c r="B137" s="7" t="str">
        <f>"起风了"</f>
        <v>起风了</v>
      </c>
      <c r="C137" s="8" t="str">
        <f>"(日)堀辰雄著"</f>
        <v>(日)堀辰雄著</v>
      </c>
      <c r="D137" s="8" t="str">
        <f>"中国宇航出版社"</f>
        <v>中国宇航出版社</v>
      </c>
      <c r="E137" s="8" t="str">
        <f>"H369.4:I/34"</f>
        <v>H369.4:I/34</v>
      </c>
      <c r="F137" s="11"/>
    </row>
    <row r="138" spans="1:6" ht="21.95" customHeight="1">
      <c r="A138" s="6" t="str">
        <f>"978-7-5192-2839-2"</f>
        <v>978-7-5192-2839-2</v>
      </c>
      <c r="B138" s="7" t="str">
        <f>"我是猫"</f>
        <v>我是猫</v>
      </c>
      <c r="C138" s="8" t="str">
        <f>"(日) 夏目漱石著"</f>
        <v>(日) 夏目漱石著</v>
      </c>
      <c r="D138" s="8" t="str">
        <f t="shared" ref="D138:D141" si="13">"上海世界图书出版公司"</f>
        <v>上海世界图书出版公司</v>
      </c>
      <c r="E138" s="8" t="str">
        <f>"H369.4:I313.44/1"</f>
        <v>H369.4:I313.44/1</v>
      </c>
      <c r="F138" s="11"/>
    </row>
    <row r="139" spans="1:6" ht="21.95" customHeight="1">
      <c r="A139" s="6" t="str">
        <f>"978-7-5192-2594-0"</f>
        <v>978-7-5192-2594-0</v>
      </c>
      <c r="B139" s="7" t="str">
        <f>"芥川龙之介短篇小说选集"</f>
        <v>芥川龙之介短篇小说选集</v>
      </c>
      <c r="C139" s="8" t="str">
        <f>"(日)芥川龙之介著"</f>
        <v>(日)芥川龙之介著</v>
      </c>
      <c r="D139" s="8" t="str">
        <f t="shared" si="13"/>
        <v>上海世界图书出版公司</v>
      </c>
      <c r="E139" s="8" t="str">
        <f>"H369.4:I313.45/2"</f>
        <v>H369.4:I313.45/2</v>
      </c>
      <c r="F139" s="11"/>
    </row>
    <row r="140" spans="1:6" ht="21.95" customHeight="1">
      <c r="A140" s="6" t="str">
        <f>"978-7-5192-2588-9"</f>
        <v>978-7-5192-2588-9</v>
      </c>
      <c r="B140" s="7" t="str">
        <f>"菜穗子"</f>
        <v>菜穗子</v>
      </c>
      <c r="C140" s="8" t="str">
        <f>"(日) 堀辰雄著"</f>
        <v>(日) 堀辰雄著</v>
      </c>
      <c r="D140" s="8" t="str">
        <f t="shared" si="13"/>
        <v>上海世界图书出版公司</v>
      </c>
      <c r="E140" s="8" t="str">
        <f>"H369.4:I313.45/3"</f>
        <v>H369.4:I313.45/3</v>
      </c>
      <c r="F140" s="11"/>
    </row>
    <row r="141" spans="1:6" ht="21.95" customHeight="1">
      <c r="A141" s="6" t="str">
        <f>"978-7-5192-2590-2"</f>
        <v>978-7-5192-2590-2</v>
      </c>
      <c r="B141" s="7" t="str">
        <f>"堀辰雄短篇小说选集"</f>
        <v>堀辰雄短篇小说选集</v>
      </c>
      <c r="C141" s="8" t="str">
        <f>"(日) 堀辰雄著"</f>
        <v>(日) 堀辰雄著</v>
      </c>
      <c r="D141" s="8" t="str">
        <f t="shared" si="13"/>
        <v>上海世界图书出版公司</v>
      </c>
      <c r="E141" s="8" t="str">
        <f>"H369.4:I313.45/4"</f>
        <v>H369.4:I313.45/4</v>
      </c>
      <c r="F141" s="11"/>
    </row>
    <row r="142" spans="1:6" ht="21.95" customHeight="1">
      <c r="A142" s="6" t="str">
        <f>"978-7-5159-0994-3"</f>
        <v>978-7-5159-0994-3</v>
      </c>
      <c r="B142" s="7" t="str">
        <f>"斜阳"</f>
        <v>斜阳</v>
      </c>
      <c r="C142" s="8" t="str">
        <f>"(日) 太宰治著"</f>
        <v>(日) 太宰治著</v>
      </c>
      <c r="D142" s="8" t="str">
        <f t="shared" ref="D142:D145" si="14">"中国宇航出版社"</f>
        <v>中国宇航出版社</v>
      </c>
      <c r="E142" s="8" t="str">
        <f>"H369.4:I313.45/5"</f>
        <v>H369.4:I313.45/5</v>
      </c>
      <c r="F142" s="11"/>
    </row>
    <row r="143" spans="1:6" ht="21.95" customHeight="1">
      <c r="A143" s="6" t="str">
        <f>"978-7-5159-0995-0"</f>
        <v>978-7-5159-0995-0</v>
      </c>
      <c r="B143" s="7" t="str">
        <f>"人的失格， 又名， 人间失格"</f>
        <v>人的失格， 又名， 人间失格</v>
      </c>
      <c r="C143" s="8" t="str">
        <f>"(日)太宰治著"</f>
        <v>(日)太宰治著</v>
      </c>
      <c r="D143" s="8" t="str">
        <f t="shared" si="14"/>
        <v>中国宇航出版社</v>
      </c>
      <c r="E143" s="8" t="str">
        <f>"H369.4:I313.45/6"</f>
        <v>H369.4:I313.45/6</v>
      </c>
      <c r="F143" s="11"/>
    </row>
    <row r="144" spans="1:6" ht="21.95" customHeight="1">
      <c r="A144" s="6" t="str">
        <f>"978-7-5159-0419-1"</f>
        <v>978-7-5159-0419-1</v>
      </c>
      <c r="B144" s="7" t="str">
        <f>"哥儿"</f>
        <v>哥儿</v>
      </c>
      <c r="C144" s="8" t="str">
        <f>"(日)夏目漱石著"</f>
        <v>(日)夏目漱石著</v>
      </c>
      <c r="D144" s="8" t="str">
        <f t="shared" si="14"/>
        <v>中国宇航出版社</v>
      </c>
      <c r="E144" s="8" t="str">
        <f>"H369.4:I313.45/7"</f>
        <v>H369.4:I313.45/7</v>
      </c>
      <c r="F144" s="11"/>
    </row>
    <row r="145" spans="1:6" ht="21.95" customHeight="1">
      <c r="A145" s="6" t="str">
        <f>"978-7-5159-1208-0"</f>
        <v>978-7-5159-1208-0</v>
      </c>
      <c r="B145" s="7" t="str">
        <f>"河童·侏儒警语"</f>
        <v>河童·侏儒警语</v>
      </c>
      <c r="C145" s="8" t="str">
        <f>"(日)芥川龙之介著"</f>
        <v>(日)芥川龙之介著</v>
      </c>
      <c r="D145" s="8" t="str">
        <f t="shared" si="14"/>
        <v>中国宇航出版社</v>
      </c>
      <c r="E145" s="8" t="str">
        <f>"H369.4:I313.45/8"</f>
        <v>H369.4:I313.45/8</v>
      </c>
      <c r="F145" s="11"/>
    </row>
    <row r="146" spans="1:6" ht="21.95" customHeight="1">
      <c r="A146" s="6" t="str">
        <f>"978-7-5192-2589-6"</f>
        <v>978-7-5192-2589-6</v>
      </c>
      <c r="B146" s="7" t="str">
        <f>"宫泽贤治童话悦读选集"</f>
        <v>宫泽贤治童话悦读选集</v>
      </c>
      <c r="C146" s="8" t="str">
        <f>"(日) 宫泽贤治著"</f>
        <v>(日) 宫泽贤治著</v>
      </c>
      <c r="D146" s="8" t="str">
        <f>"上海世界图书出版公司"</f>
        <v>上海世界图书出版公司</v>
      </c>
      <c r="E146" s="8" t="str">
        <f>"H369.4:I313.88/1"</f>
        <v>H369.4:I313.88/1</v>
      </c>
      <c r="F146" s="11"/>
    </row>
    <row r="147" spans="1:6" ht="21.95" customHeight="1">
      <c r="A147" s="6" t="str">
        <f>"978-7-5611-9795-0"</f>
        <v>978-7-5611-9795-0</v>
      </c>
      <c r="B147" s="7" t="str">
        <f>"生活日语情景口语1500句"</f>
        <v>生活日语情景口语1500句</v>
      </c>
      <c r="C147" s="8" t="str">
        <f>"陈晓雷， 姜述峰编著"</f>
        <v>陈晓雷， 姜述峰编著</v>
      </c>
      <c r="D147" s="8" t="str">
        <f>"大连理工大学出版社"</f>
        <v>大连理工大学出版社</v>
      </c>
      <c r="E147" s="8" t="str">
        <f>"H369.9/232"</f>
        <v>H369.9/232</v>
      </c>
      <c r="F147" s="11"/>
    </row>
    <row r="148" spans="1:6" ht="21.95" customHeight="1">
      <c r="A148" s="6" t="str">
        <f>"978-7-5135-9395-3"</f>
        <v>978-7-5135-9395-3</v>
      </c>
      <c r="B148" s="7" t="str">
        <f>"疯玩日本旅游日语口语1200句"</f>
        <v>疯玩日本旅游日语口语1200句</v>
      </c>
      <c r="C148" s="8" t="str">
        <f>"费长琳著"</f>
        <v>费长琳著</v>
      </c>
      <c r="D148" s="8" t="str">
        <f>"外语教学与研究出版社"</f>
        <v>外语教学与研究出版社</v>
      </c>
      <c r="E148" s="8" t="str">
        <f>"H369.9/233"</f>
        <v>H369.9/233</v>
      </c>
      <c r="F148" s="11"/>
    </row>
    <row r="149" spans="1:6" ht="21.95" customHeight="1">
      <c r="A149" s="6" t="str">
        <f>"978-7-301-27954-0"</f>
        <v>978-7-301-27954-0</v>
      </c>
      <c r="B149" s="7" t="str">
        <f>"阿拉伯语基础教程．第二册"</f>
        <v>阿拉伯语基础教程．第二册</v>
      </c>
      <c r="C149" s="8" t="str">
        <f>"张甲民， 景云英编著"</f>
        <v>张甲民， 景云英编著</v>
      </c>
      <c r="D149" s="8" t="str">
        <f t="shared" ref="D149:D152" si="15">"北京大学出版社"</f>
        <v>北京大学出版社</v>
      </c>
      <c r="E149" s="8" t="str">
        <f>"H379.39/1/2=2D"</f>
        <v>H379.39/1/2=2D</v>
      </c>
      <c r="F149" s="11"/>
    </row>
    <row r="150" spans="1:6" ht="21.95" customHeight="1">
      <c r="A150" s="6" t="str">
        <f>"978-7-301-28628-9"</f>
        <v>978-7-301-28628-9</v>
      </c>
      <c r="B150" s="7" t="str">
        <f>"阿拉伯语基础教程．第三册"</f>
        <v>阿拉伯语基础教程．第三册</v>
      </c>
      <c r="C150" s="8" t="str">
        <f>"张甲民， 景云英编著"</f>
        <v>张甲民， 景云英编著</v>
      </c>
      <c r="D150" s="8" t="str">
        <f t="shared" si="15"/>
        <v>北京大学出版社</v>
      </c>
      <c r="E150" s="8" t="str">
        <f>"H379.39/1/3=2D"</f>
        <v>H379.39/1/3=2D</v>
      </c>
      <c r="F150" s="11"/>
    </row>
    <row r="151" spans="1:6" ht="21.95" customHeight="1">
      <c r="A151" s="6" t="str">
        <f>"978-7-301-28278-6"</f>
        <v>978-7-301-28278-6</v>
      </c>
      <c r="B151" s="7" t="str">
        <f>"阿拉伯语基础听力教程．第二册"</f>
        <v>阿拉伯语基础听力教程．第二册</v>
      </c>
      <c r="C151" s="8" t="str">
        <f>"梁雅卿编著"</f>
        <v>梁雅卿编著</v>
      </c>
      <c r="D151" s="8" t="str">
        <f t="shared" si="15"/>
        <v>北京大学出版社</v>
      </c>
      <c r="E151" s="8" t="str">
        <f>"H379.9/7=2D"</f>
        <v>H379.9/7=2D</v>
      </c>
      <c r="F151" s="11"/>
    </row>
    <row r="152" spans="1:6" ht="21.95" customHeight="1">
      <c r="A152" s="6" t="str">
        <f>"978-7-301-28002-7"</f>
        <v>978-7-301-28002-7</v>
      </c>
      <c r="B152" s="7" t="str">
        <f>"阿拉伯语基础听力教程．第一册"</f>
        <v>阿拉伯语基础听力教程．第一册</v>
      </c>
      <c r="C152" s="8" t="str">
        <f>"付志明编著"</f>
        <v>付志明编著</v>
      </c>
      <c r="D152" s="8" t="str">
        <f t="shared" si="15"/>
        <v>北京大学出版社</v>
      </c>
      <c r="E152" s="8" t="str">
        <f>"H379.9/8=2D"</f>
        <v>H379.9/8=2D</v>
      </c>
      <c r="F152" s="11"/>
    </row>
    <row r="153" spans="1:6" ht="21.95" customHeight="1">
      <c r="A153" s="6" t="str">
        <f>"978-7-5628-4514-0"</f>
        <v>978-7-5628-4514-0</v>
      </c>
      <c r="B153" s="7" t="str">
        <f>"韩语10000单词放口袋：3000核心词拓展记忆"</f>
        <v>韩语10000单词放口袋：3000核心词拓展记忆</v>
      </c>
      <c r="C153" s="8" t="str">
        <f>"编著 (韩) 金贤真"</f>
        <v>编著 (韩) 金贤真</v>
      </c>
      <c r="D153" s="8" t="str">
        <f>"华东理工大学出版社"</f>
        <v>华东理工大学出版社</v>
      </c>
      <c r="E153" s="8" t="str">
        <f>"H553/49"</f>
        <v>H553/49</v>
      </c>
      <c r="F153" s="11"/>
    </row>
    <row r="154" spans="1:6" ht="21.95" customHeight="1">
      <c r="A154" s="6" t="str">
        <f>"978-7-5159-0298-2"</f>
        <v>978-7-5159-0298-2</v>
      </c>
      <c r="B154" s="7" t="str">
        <f>"韩语单词还能这么学!：最好用的韩语核心单词书"</f>
        <v>韩语单词还能这么学!：最好用的韩语核心单词书</v>
      </c>
      <c r="C154" s="8" t="str">
        <f>"柠檬树韩语教学团队编著"</f>
        <v>柠檬树韩语教学团队编著</v>
      </c>
      <c r="D154" s="8" t="str">
        <f>"中国宇航出版社"</f>
        <v>中国宇航出版社</v>
      </c>
      <c r="E154" s="8" t="str">
        <f>"H553/50"</f>
        <v>H553/50</v>
      </c>
      <c r="F154" s="11"/>
    </row>
    <row r="155" spans="1:6" ht="21.95" customHeight="1">
      <c r="A155" s="6" t="str">
        <f>"978-7-5001-4364-2"</f>
        <v>978-7-5001-4364-2</v>
      </c>
      <c r="B155" s="7" t="str">
        <f>"韩语单词入门王：零基础 标准韩国语自学入门书"</f>
        <v>韩语单词入门王：零基础 标准韩国语自学入门书</v>
      </c>
      <c r="C155" s="8" t="str">
        <f>"耿小辉主编"</f>
        <v>耿小辉主编</v>
      </c>
      <c r="D155" s="8" t="str">
        <f>"中译出版社"</f>
        <v>中译出版社</v>
      </c>
      <c r="E155" s="8" t="str">
        <f>"H553/51"</f>
        <v>H553/51</v>
      </c>
      <c r="F155" s="11"/>
    </row>
    <row r="156" spans="1:6" ht="21.95" customHeight="1">
      <c r="A156" s="6" t="str">
        <f>"978-7-5600-8567-8"</f>
        <v>978-7-5600-8567-8</v>
      </c>
      <c r="B156" s="7" t="str">
        <f>"韩国语实用语法词典"</f>
        <v>韩国语实用语法词典</v>
      </c>
      <c r="C156" s="8" t="str">
        <f>"许东振， 安国峰编著"</f>
        <v>许东振， 安国峰编著</v>
      </c>
      <c r="D156" s="8" t="str">
        <f>"外语教学与研究出版社"</f>
        <v>外语教学与研究出版社</v>
      </c>
      <c r="E156" s="8" t="str">
        <f>"H554-61/3"</f>
        <v>H554-61/3</v>
      </c>
      <c r="F156" s="11"/>
    </row>
    <row r="157" spans="1:6">
      <c r="A157" s="11"/>
      <c r="B157" s="11"/>
      <c r="C157" s="11"/>
      <c r="D157" s="11"/>
      <c r="E157" s="11"/>
      <c r="F157" s="11"/>
    </row>
  </sheetData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E359"/>
  <sheetViews>
    <sheetView workbookViewId="0">
      <selection activeCell="B364" sqref="B364"/>
    </sheetView>
  </sheetViews>
  <sheetFormatPr defaultRowHeight="13.5"/>
  <cols>
    <col min="1" max="1" width="19.875" customWidth="1"/>
    <col min="2" max="2" width="59.625" customWidth="1"/>
    <col min="3" max="3" width="31.125" customWidth="1"/>
    <col min="4" max="4" width="24.5" customWidth="1"/>
    <col min="5" max="5" width="16.875" customWidth="1"/>
  </cols>
  <sheetData>
    <row r="1" spans="1:5" ht="24" customHeight="1">
      <c r="A1" s="4" t="str">
        <f>"ISBN"</f>
        <v>ISBN</v>
      </c>
      <c r="B1" s="5" t="str">
        <f>"题名"</f>
        <v>题名</v>
      </c>
      <c r="C1" s="4" t="str">
        <f>"责任者"</f>
        <v>责任者</v>
      </c>
      <c r="D1" s="4" t="str">
        <f>"出版社"</f>
        <v>出版社</v>
      </c>
      <c r="E1" s="4" t="str">
        <f>"索书号"</f>
        <v>索书号</v>
      </c>
    </row>
    <row r="2" spans="1:5" ht="21.95" customHeight="1">
      <c r="A2" s="6" t="str">
        <f>"978-7-301-28814-6"</f>
        <v>978-7-301-28814-6</v>
      </c>
      <c r="B2" s="7" t="str">
        <f>"文学理论学科地图"</f>
        <v>文学理论学科地图</v>
      </c>
      <c r="C2" s="8" t="str">
        <f>"王先霈著"</f>
        <v>王先霈著</v>
      </c>
      <c r="D2" s="8" t="str">
        <f>"北京大学出版社"</f>
        <v>北京大学出版社</v>
      </c>
      <c r="E2" s="8" t="str">
        <f>"I0/122"</f>
        <v>I0/122</v>
      </c>
    </row>
    <row r="3" spans="1:5" ht="21.95" customHeight="1">
      <c r="A3" s="6" t="str">
        <f>"978-7-5426-6168-5"</f>
        <v>978-7-5426-6168-5</v>
      </c>
      <c r="B3" s="7" t="str">
        <f>"文学理论的重构"</f>
        <v>文学理论的重构</v>
      </c>
      <c r="C3" s="8" t="str">
        <f>"王伟著"</f>
        <v>王伟著</v>
      </c>
      <c r="D3" s="8" t="str">
        <f>"上海三联书店"</f>
        <v>上海三联书店</v>
      </c>
      <c r="E3" s="8" t="str">
        <f>"I0/123"</f>
        <v>I0/123</v>
      </c>
    </row>
    <row r="4" spans="1:5" ht="21.95" customHeight="1">
      <c r="A4" s="6" t="str">
        <f>"978-7-301-28614-2"</f>
        <v>978-7-301-28614-2</v>
      </c>
      <c r="B4" s="7" t="str">
        <f>"跨学科研究"</f>
        <v>跨学科研究</v>
      </c>
      <c r="C4" s="8" t="str">
        <f>"高旭东著"</f>
        <v>高旭东著</v>
      </c>
      <c r="D4" s="8" t="str">
        <f>"北京大学出版社"</f>
        <v>北京大学出版社</v>
      </c>
      <c r="E4" s="8" t="str">
        <f>"I0-03/60"</f>
        <v>I0-03/60</v>
      </c>
    </row>
    <row r="5" spans="1:5" ht="21.95" customHeight="1">
      <c r="A5" s="6" t="str">
        <f>"978-7-302-47041-0"</f>
        <v>978-7-302-47041-0</v>
      </c>
      <c r="B5" s="7" t="str">
        <f>"哲思与诗情：中央党校文艺美学论集"</f>
        <v>哲思与诗情：中央党校文艺美学论集</v>
      </c>
      <c r="C5" s="8" t="str">
        <f>"马奔腾主编"</f>
        <v>马奔腾主编</v>
      </c>
      <c r="D5" s="8" t="str">
        <f>"清华大学出版社"</f>
        <v>清华大学出版社</v>
      </c>
      <c r="E5" s="8" t="str">
        <f>"I01-53/2"</f>
        <v>I01-53/2</v>
      </c>
    </row>
    <row r="6" spans="1:5" ht="21.95" customHeight="1">
      <c r="A6" s="6" t="str">
        <f>"978-7-5096-5291-6"</f>
        <v>978-7-5096-5291-6</v>
      </c>
      <c r="B6" s="7" t="str">
        <f>"文学翻译与赏析"</f>
        <v>文学翻译与赏析</v>
      </c>
      <c r="C6" s="8" t="str">
        <f>"曹蔓著"</f>
        <v>曹蔓著</v>
      </c>
      <c r="D6" s="8" t="str">
        <f>"经济管理出版社"</f>
        <v>经济管理出版社</v>
      </c>
      <c r="E6" s="8" t="str">
        <f>"I046/25"</f>
        <v>I046/25</v>
      </c>
    </row>
    <row r="7" spans="1:5" ht="21.95" customHeight="1">
      <c r="A7" s="6" t="str">
        <f>"978-7-108-05714-3"</f>
        <v>978-7-108-05714-3</v>
      </c>
      <c r="B7" s="7" t="str">
        <f>"梦想的诗学"</f>
        <v>梦想的诗学</v>
      </c>
      <c r="C7" s="8" t="str">
        <f>"(法) 加斯东·巴什拉著"</f>
        <v>(法) 加斯东·巴什拉著</v>
      </c>
      <c r="D7" s="8" t="str">
        <f>"三联书店"</f>
        <v>三联书店</v>
      </c>
      <c r="E7" s="8" t="str">
        <f>"I052/26"</f>
        <v>I052/26</v>
      </c>
    </row>
    <row r="8" spans="1:5" ht="21.95" customHeight="1">
      <c r="A8" s="6" t="str">
        <f>"978-7-301-28437-7"</f>
        <v>978-7-301-28437-7</v>
      </c>
      <c r="B8" s="7" t="str">
        <f>"比较诗学：理论与实践"</f>
        <v>比较诗学：理论与实践</v>
      </c>
      <c r="C8" s="8" t="str">
        <f>"曾艳兵主编"</f>
        <v>曾艳兵主编</v>
      </c>
      <c r="D8" s="8" t="str">
        <f>"北京大学出版社"</f>
        <v>北京大学出版社</v>
      </c>
      <c r="E8" s="8" t="str">
        <f>"I052/27"</f>
        <v>I052/27</v>
      </c>
    </row>
    <row r="9" spans="1:5" ht="21.95" customHeight="1">
      <c r="A9" s="6" t="str">
        <f>"978-7-301-28543-5"</f>
        <v>978-7-301-28543-5</v>
      </c>
      <c r="B9" s="7" t="str">
        <f>"走向比较诗学"</f>
        <v>走向比较诗学</v>
      </c>
      <c r="C9" s="8" t="str">
        <f>"曾艳兵著"</f>
        <v>曾艳兵著</v>
      </c>
      <c r="D9" s="8" t="str">
        <f>"北京大学出版社"</f>
        <v>北京大学出版社</v>
      </c>
      <c r="E9" s="8" t="str">
        <f>"I052/28"</f>
        <v>I052/28</v>
      </c>
    </row>
    <row r="10" spans="1:5" ht="34.5" customHeight="1">
      <c r="A10" s="6" t="str">
        <f>"978-7-302-47270-4"</f>
        <v>978-7-302-47270-4</v>
      </c>
      <c r="B10" s="7" t="str">
        <f>"视界的融合：朱湘译诗新探：new perspectives on Zhu Xiang's poetry translation"</f>
        <v>视界的融合：朱湘译诗新探：new perspectives on Zhu Xiang's poetry translation</v>
      </c>
      <c r="C10" s="8" t="str">
        <f>"张旭著"</f>
        <v>张旭著</v>
      </c>
      <c r="D10" s="8" t="str">
        <f>"清华大学出版社"</f>
        <v>清华大学出版社</v>
      </c>
      <c r="E10" s="8" t="str">
        <f>"I052/29=2D"</f>
        <v>I052/29=2D</v>
      </c>
    </row>
    <row r="11" spans="1:5" ht="21.95" customHeight="1">
      <c r="A11" s="6" t="str">
        <f>"978-7-302-44908-9"</f>
        <v>978-7-302-44908-9</v>
      </c>
      <c r="B11" s="7" t="str">
        <f>"图像文化时代的影像诗学"</f>
        <v>图像文化时代的影像诗学</v>
      </c>
      <c r="C11" s="8" t="str">
        <f>"黎风著"</f>
        <v>黎风著</v>
      </c>
      <c r="D11" s="8" t="str">
        <f>"清华大学出版社"</f>
        <v>清华大学出版社</v>
      </c>
      <c r="E11" s="8" t="str">
        <f>"I052/30"</f>
        <v>I052/30</v>
      </c>
    </row>
    <row r="12" spans="1:5" ht="21.95" customHeight="1">
      <c r="A12" s="6" t="str">
        <f>"978-7-5117-2320-8"</f>
        <v>978-7-5117-2320-8</v>
      </c>
      <c r="B12" s="7" t="str">
        <f>"诗心会通：张思齐教授讲东西比较诗学"</f>
        <v>诗心会通：张思齐教授讲东西比较诗学</v>
      </c>
      <c r="C12" s="8" t="str">
        <f>"张思齐著"</f>
        <v>张思齐著</v>
      </c>
      <c r="D12" s="8" t="str">
        <f>"中央编译出版社"</f>
        <v>中央编译出版社</v>
      </c>
      <c r="E12" s="8" t="str">
        <f>"I052-53/4"</f>
        <v>I052-53/4</v>
      </c>
    </row>
    <row r="13" spans="1:5" ht="21.95" customHeight="1">
      <c r="A13" s="6" t="str">
        <f>"978-7-5426-6079-4"</f>
        <v>978-7-5426-6079-4</v>
      </c>
      <c r="B13" s="7" t="str">
        <f>"电影剧作笔记"</f>
        <v>电影剧作笔记</v>
      </c>
      <c r="C13" s="8" t="str">
        <f>"黄丹著"</f>
        <v>黄丹著</v>
      </c>
      <c r="D13" s="8" t="str">
        <f>"上海三联书店"</f>
        <v>上海三联书店</v>
      </c>
      <c r="E13" s="8" t="str">
        <f>"I053.5/39"</f>
        <v>I053.5/39</v>
      </c>
    </row>
    <row r="14" spans="1:5" ht="21.95" customHeight="1">
      <c r="A14" s="6" t="str">
        <f>"978-7-302-41679-1"</f>
        <v>978-7-302-41679-1</v>
      </c>
      <c r="B14" s="7" t="str">
        <f>"动画电影剧作与角色塑造"</f>
        <v>动画电影剧作与角色塑造</v>
      </c>
      <c r="C14" s="8" t="str">
        <f>"王筱竹著"</f>
        <v>王筱竹著</v>
      </c>
      <c r="D14" s="8" t="str">
        <f>"清华大学出版社"</f>
        <v>清华大学出版社</v>
      </c>
      <c r="E14" s="8" t="str">
        <f>"I053.5/40"</f>
        <v>I053.5/40</v>
      </c>
    </row>
    <row r="15" spans="1:5" ht="21.95" customHeight="1">
      <c r="A15" s="6" t="str">
        <f>"978-7-5426-5959-0"</f>
        <v>978-7-5426-5959-0</v>
      </c>
      <c r="B15" s="7" t="str">
        <f>"人文艺术．[第16辑]：原创 思想 互动 双语 文献"</f>
        <v>人文艺术．[第16辑]：原创 思想 互动 双语 文献</v>
      </c>
      <c r="C15" s="8" t="str">
        <f>"查常平主编"</f>
        <v>查常平主编</v>
      </c>
      <c r="D15" s="8" t="str">
        <f>"上海三联书店"</f>
        <v>上海三联书店</v>
      </c>
      <c r="E15" s="8" t="str">
        <f>"I0-53/34"</f>
        <v>I0-53/34</v>
      </c>
    </row>
    <row r="16" spans="1:5" ht="21.95" customHeight="1">
      <c r="A16" s="6" t="str">
        <f>"978-7-5426-5281-2"</f>
        <v>978-7-5426-5281-2</v>
      </c>
      <c r="B16" s="7" t="str">
        <f>"语词之邦"</f>
        <v>语词之邦</v>
      </c>
      <c r="C16" s="8" t="str">
        <f>"(加) 阿尔贝托·曼古埃尔著"</f>
        <v>(加) 阿尔贝托·曼古埃尔著</v>
      </c>
      <c r="D16" s="8" t="str">
        <f>"上海三联书店"</f>
        <v>上海三联书店</v>
      </c>
      <c r="E16" s="8" t="str">
        <f>"I054/22"</f>
        <v>I054/22</v>
      </c>
    </row>
    <row r="17" spans="1:5" ht="21.95" customHeight="1">
      <c r="A17" s="6" t="str">
        <f>"978-7-302-49758-5"</f>
        <v>978-7-302-49758-5</v>
      </c>
      <c r="B17" s="7" t="str">
        <f>"文学理论前沿．第十八辑．18"</f>
        <v>文学理论前沿．第十八辑．18</v>
      </c>
      <c r="C17" s="8" t="str">
        <f>"主编王宁"</f>
        <v>主编王宁</v>
      </c>
      <c r="D17" s="8" t="str">
        <f>"清华大学出版社"</f>
        <v>清华大学出版社</v>
      </c>
      <c r="E17" s="8" t="str">
        <f>"I0-55/2"</f>
        <v>I0-55/2</v>
      </c>
    </row>
    <row r="18" spans="1:5" ht="21.95" customHeight="1">
      <c r="A18" s="6" t="str">
        <f>"978-7-108-05655-9"</f>
        <v>978-7-108-05655-9</v>
      </c>
      <c r="B18" s="7" t="str">
        <f>"文艺杂谈"</f>
        <v>文艺杂谈</v>
      </c>
      <c r="C18" s="8" t="str">
        <f>"(法) 保罗·瓦莱里著"</f>
        <v>(法) 保罗·瓦莱里著</v>
      </c>
      <c r="D18" s="8" t="str">
        <f t="shared" ref="D18:D20" si="0">"三联书店"</f>
        <v>三联书店</v>
      </c>
      <c r="E18" s="8" t="str">
        <f>"I06-53/8"</f>
        <v>I06-53/8</v>
      </c>
    </row>
    <row r="19" spans="1:5" ht="21.95" customHeight="1">
      <c r="A19" s="6" t="str">
        <f>"978-7-108-06062-4"</f>
        <v>978-7-108-06062-4</v>
      </c>
      <c r="B19" s="7" t="str">
        <f>"从卡夫卡到昆德拉：20世纪的小说和小说家"</f>
        <v>从卡夫卡到昆德拉：20世纪的小说和小说家</v>
      </c>
      <c r="C19" s="8" t="str">
        <f>"吴晓东著"</f>
        <v>吴晓东著</v>
      </c>
      <c r="D19" s="8" t="str">
        <f t="shared" si="0"/>
        <v>三联书店</v>
      </c>
      <c r="E19" s="8" t="str">
        <f>"I106.4/50=2D"</f>
        <v>I106.4/50=2D</v>
      </c>
    </row>
    <row r="20" spans="1:5" ht="21.95" customHeight="1">
      <c r="A20" s="6" t="str">
        <f>"978-7-108-05804-1"</f>
        <v>978-7-108-05804-1</v>
      </c>
      <c r="B20" s="7" t="str">
        <f>"麻雀啁啾：文学与社会"</f>
        <v>麻雀啁啾：文学与社会</v>
      </c>
      <c r="C20" s="8" t="str">
        <f>"陆建德"</f>
        <v>陆建德</v>
      </c>
      <c r="D20" s="8" t="str">
        <f t="shared" si="0"/>
        <v>三联书店</v>
      </c>
      <c r="E20" s="8" t="str">
        <f>"I106-53/10=D"</f>
        <v>I106-53/10=D</v>
      </c>
    </row>
    <row r="21" spans="1:5" ht="21.95" customHeight="1">
      <c r="A21" s="6" t="str">
        <f>"978-7-5086-6736-2"</f>
        <v>978-7-5086-6736-2</v>
      </c>
      <c r="B21" s="7" t="str">
        <f>"浪漫主义革命：缔造现代世界的人文运动"</f>
        <v>浪漫主义革命：缔造现代世界的人文运动</v>
      </c>
      <c r="C21" s="8" t="str">
        <f>"(英) 蒂莫西·C. W.布莱宁著"</f>
        <v>(英) 蒂莫西·C. W.布莱宁著</v>
      </c>
      <c r="D21" s="8" t="str">
        <f>"中信出版集团股份有限公司"</f>
        <v>中信出版集团股份有限公司</v>
      </c>
      <c r="E21" s="8" t="str">
        <f>"I109.9/39"</f>
        <v>I109.9/39</v>
      </c>
    </row>
    <row r="22" spans="1:5" ht="21.95" customHeight="1">
      <c r="A22" s="6" t="str">
        <f>"978-7-5594-1205-8"</f>
        <v>978-7-5594-1205-8</v>
      </c>
      <c r="B22" s="7" t="str">
        <f>"自然， 万物最美的姿态"</f>
        <v>自然， 万物最美的姿态</v>
      </c>
      <c r="C22" s="8" t="str">
        <f>"梭罗， 惠特曼等著"</f>
        <v>梭罗， 惠特曼等著</v>
      </c>
      <c r="D22" s="8" t="str">
        <f>"江苏凤凰文艺出版社"</f>
        <v>江苏凤凰文艺出版社</v>
      </c>
      <c r="E22" s="8" t="str">
        <f>"I16/465"</f>
        <v>I16/465</v>
      </c>
    </row>
    <row r="23" spans="1:5" ht="21.95" customHeight="1">
      <c r="A23" s="6" t="str">
        <f>"978-7-302-47537-8"</f>
        <v>978-7-302-47537-8</v>
      </c>
      <c r="B23" s="7" t="str">
        <f>"与诺奖同行 与大师对话：清华大学“巅峰对话”演讲纪实文集"</f>
        <v>与诺奖同行 与大师对话：清华大学“巅峰对话”演讲纪实文集</v>
      </c>
      <c r="C23" s="8" t="str">
        <f>"张小平主编"</f>
        <v>张小平主编</v>
      </c>
      <c r="D23" s="8" t="str">
        <f>"清华大学出版社"</f>
        <v>清华大学出版社</v>
      </c>
      <c r="E23" s="8" t="str">
        <f>"I16/466"</f>
        <v>I16/466</v>
      </c>
    </row>
    <row r="24" spans="1:5" ht="21.95" customHeight="1">
      <c r="A24" s="6" t="str">
        <f>"978-7-301-28774-3"</f>
        <v>978-7-301-28774-3</v>
      </c>
      <c r="B24" s="7" t="str">
        <f>"文苑英华：中国古代文学作品讲读．上"</f>
        <v>文苑英华：中国古代文学作品讲读．上</v>
      </c>
      <c r="C24" s="8" t="str">
        <f>"北京大学首都发展研究院组编"</f>
        <v>北京大学首都发展研究院组编</v>
      </c>
      <c r="D24" s="8" t="str">
        <f>"北京大学出版社"</f>
        <v>北京大学出版社</v>
      </c>
      <c r="E24" s="8" t="str">
        <f>"I206.2/312/1"</f>
        <v>I206.2/312/1</v>
      </c>
    </row>
    <row r="25" spans="1:5" ht="21.95" customHeight="1">
      <c r="A25" s="6" t="str">
        <f>"978-7-301-28775-0"</f>
        <v>978-7-301-28775-0</v>
      </c>
      <c r="B25" s="7" t="str">
        <f>"文苑英华：中国古代文学作品讲读．下"</f>
        <v>文苑英华：中国古代文学作品讲读．下</v>
      </c>
      <c r="C25" s="8" t="str">
        <f>"北京大学首都发展研究院组编"</f>
        <v>北京大学首都发展研究院组编</v>
      </c>
      <c r="D25" s="8" t="str">
        <f>"北京大学出版社"</f>
        <v>北京大学出版社</v>
      </c>
      <c r="E25" s="8" t="str">
        <f>"I206.2/312/2"</f>
        <v>I206.2/312/2</v>
      </c>
    </row>
    <row r="26" spans="1:5" ht="21.95" customHeight="1">
      <c r="A26" s="6" t="str">
        <f>"978-7-302-41731-6"</f>
        <v>978-7-302-41731-6</v>
      </c>
      <c r="B26" s="7" t="str">
        <f>"中国古代文学必读书"</f>
        <v>中国古代文学必读书</v>
      </c>
      <c r="C26" s="8" t="str">
        <f>"张美兰主编"</f>
        <v>张美兰主编</v>
      </c>
      <c r="D26" s="8" t="str">
        <f>"清华大学出版社"</f>
        <v>清华大学出版社</v>
      </c>
      <c r="E26" s="8" t="str">
        <f>"I206.2/313"</f>
        <v>I206.2/313</v>
      </c>
    </row>
    <row r="27" spans="1:5" ht="21.95" customHeight="1">
      <c r="A27" s="6" t="str">
        <f>"978-7-108-05716-7"</f>
        <v>978-7-108-05716-7</v>
      </c>
      <c r="B27" s="7" t="str">
        <f>"断裂的诗学: 1998年的文学、思想与行动"</f>
        <v>断裂的诗学: 1998年的文学、思想与行动</v>
      </c>
      <c r="C27" s="8" t="str">
        <f>"曾念长著"</f>
        <v>曾念长著</v>
      </c>
      <c r="D27" s="8" t="str">
        <f>"生活·读书·新知三联书店"</f>
        <v>生活·读书·新知三联书店</v>
      </c>
      <c r="E27" s="8" t="str">
        <f>"I206.7/347"</f>
        <v>I206.7/347</v>
      </c>
    </row>
    <row r="28" spans="1:5" ht="21.95" customHeight="1">
      <c r="A28" s="6" t="str">
        <f>"978-7-301-27759-1"</f>
        <v>978-7-301-27759-1</v>
      </c>
      <c r="B28" s="7" t="str">
        <f>"时代的尴尬"</f>
        <v>时代的尴尬</v>
      </c>
      <c r="C28" s="8" t="str">
        <f>"李振著"</f>
        <v>李振著</v>
      </c>
      <c r="D28" s="8" t="str">
        <f t="shared" ref="D28:D30" si="1">"北京大学出版社"</f>
        <v>北京大学出版社</v>
      </c>
      <c r="E28" s="8" t="str">
        <f>"I206.7/348"</f>
        <v>I206.7/348</v>
      </c>
    </row>
    <row r="29" spans="1:5" ht="21.95" customHeight="1">
      <c r="A29" s="6" t="str">
        <f>"978-7-301-28034-8"</f>
        <v>978-7-301-28034-8</v>
      </c>
      <c r="B29" s="7" t="str">
        <f>"静默与孤独"</f>
        <v>静默与孤独</v>
      </c>
      <c r="C29" s="8" t="str">
        <f>"王敏著"</f>
        <v>王敏著</v>
      </c>
      <c r="D29" s="8" t="str">
        <f t="shared" si="1"/>
        <v>北京大学出版社</v>
      </c>
      <c r="E29" s="8" t="str">
        <f>"I206.7/349"</f>
        <v>I206.7/349</v>
      </c>
    </row>
    <row r="30" spans="1:5" ht="21.95" customHeight="1">
      <c r="A30" s="6" t="str">
        <f>"978-7-301-28010-2"</f>
        <v>978-7-301-28010-2</v>
      </c>
      <c r="B30" s="7" t="str">
        <f>"一种真实"</f>
        <v>一种真实</v>
      </c>
      <c r="C30" s="8" t="str">
        <f>"张定浩著"</f>
        <v>张定浩著</v>
      </c>
      <c r="D30" s="8" t="str">
        <f t="shared" si="1"/>
        <v>北京大学出版社</v>
      </c>
      <c r="E30" s="8" t="str">
        <f>"I206.7/350"</f>
        <v>I206.7/350</v>
      </c>
    </row>
    <row r="31" spans="1:5" ht="21.95" customHeight="1">
      <c r="A31" s="6" t="str">
        <f>"978-7-108-06026-6"</f>
        <v>978-7-108-06026-6</v>
      </c>
      <c r="B31" s="7" t="str">
        <f>"汉语新文学通论"</f>
        <v>汉语新文学通论</v>
      </c>
      <c r="C31" s="8" t="str">
        <f>"朱寿桐著"</f>
        <v>朱寿桐著</v>
      </c>
      <c r="D31" s="8" t="str">
        <f>"三联书店"</f>
        <v>三联书店</v>
      </c>
      <c r="E31" s="8" t="str">
        <f>"I206/107"</f>
        <v>I206/107</v>
      </c>
    </row>
    <row r="32" spans="1:5" ht="21.95" customHeight="1">
      <c r="A32" s="6" t="str">
        <f>"978-7-108-06033-4"</f>
        <v>978-7-108-06033-4</v>
      </c>
      <c r="B32" s="7" t="str">
        <f>"古诗词课"</f>
        <v>古诗词课</v>
      </c>
      <c r="C32" s="8" t="str">
        <f>"叶嘉莹"</f>
        <v>叶嘉莹</v>
      </c>
      <c r="D32" s="8" t="str">
        <f>"三联书店"</f>
        <v>三联书店</v>
      </c>
      <c r="E32" s="8" t="str">
        <f>"I207.2/122"</f>
        <v>I207.2/122</v>
      </c>
    </row>
    <row r="33" spans="1:5" ht="21.95" customHeight="1">
      <c r="A33" s="6" t="str">
        <f>"978-7-302-46405-1"</f>
        <v>978-7-302-46405-1</v>
      </c>
      <c r="B33" s="7" t="str">
        <f>"楚骚·谶纬·易占与仪式乐歌：西汉诗歌创作形态与《诗》学研究"</f>
        <v>楚骚·谶纬·易占与仪式乐歌：西汉诗歌创作形态与《诗》学研究</v>
      </c>
      <c r="C33" s="8" t="str">
        <f>"张树国著"</f>
        <v>张树国著</v>
      </c>
      <c r="D33" s="8" t="str">
        <f>"清华大学出版社"</f>
        <v>清华大学出版社</v>
      </c>
      <c r="E33" s="8" t="str">
        <f>"I207.2/123"</f>
        <v>I207.2/123</v>
      </c>
    </row>
    <row r="34" spans="1:5" ht="21.95" customHeight="1">
      <c r="A34" s="6" t="str">
        <f>"978-7-101-12727-0"</f>
        <v>978-7-101-12727-0</v>
      </c>
      <c r="B34" s="7" t="str">
        <f>"诗词中国．2017 第三期"</f>
        <v>诗词中国．2017 第三期</v>
      </c>
      <c r="C34" s="8" t="str">
        <f>" "</f>
        <v xml:space="preserve"> </v>
      </c>
      <c r="D34" s="8" t="str">
        <f>"中华书局"</f>
        <v>中华书局</v>
      </c>
      <c r="E34" s="8" t="str">
        <f>"I207.2/124"</f>
        <v>I207.2/124</v>
      </c>
    </row>
    <row r="35" spans="1:5" ht="21.95" customHeight="1">
      <c r="A35" s="6" t="str">
        <f>"978-7-5034-3733-5"</f>
        <v>978-7-5034-3733-5</v>
      </c>
      <c r="B35" s="7" t="str">
        <f>"中国古代“诗画一律”论"</f>
        <v>中国古代“诗画一律”论</v>
      </c>
      <c r="C35" s="8" t="str">
        <f>"王韶华著"</f>
        <v>王韶华著</v>
      </c>
      <c r="D35" s="8" t="str">
        <f>"中国文史出版社"</f>
        <v>中国文史出版社</v>
      </c>
      <c r="E35" s="8" t="str">
        <f>"I207.209/38"</f>
        <v>I207.209/38</v>
      </c>
    </row>
    <row r="36" spans="1:5" ht="35.25" customHeight="1">
      <c r="A36" s="6" t="str">
        <f>"978-7-301-27972-4"</f>
        <v>978-7-301-27972-4</v>
      </c>
      <c r="B36" s="7" t="str">
        <f>"宋代僧人诗话研究：诗学、禅学、党争交织的文学案例：literary examples of poetry mingled with zen and faction"</f>
        <v>宋代僧人诗话研究：诗学、禅学、党争交织的文学案例：literary examples of poetry mingled with zen and faction</v>
      </c>
      <c r="C36" s="8" t="str">
        <f>"周萌著"</f>
        <v>周萌著</v>
      </c>
      <c r="D36" s="8" t="str">
        <f>"北京大学出版社"</f>
        <v>北京大学出版社</v>
      </c>
      <c r="E36" s="8" t="str">
        <f>"I207.22/384"</f>
        <v>I207.22/384</v>
      </c>
    </row>
    <row r="37" spans="1:5" ht="21.95" customHeight="1">
      <c r="A37" s="6" t="str">
        <f>"978-7-5426-5827-2"</f>
        <v>978-7-5426-5827-2</v>
      </c>
      <c r="B37" s="7" t="str">
        <f>"中国现代旧体译诗研究"</f>
        <v>中国现代旧体译诗研究</v>
      </c>
      <c r="C37" s="8" t="str">
        <f>"潘建伟著"</f>
        <v>潘建伟著</v>
      </c>
      <c r="D37" s="8" t="str">
        <f>"上海三联书店"</f>
        <v>上海三联书店</v>
      </c>
      <c r="E37" s="8" t="str">
        <f>"I207.22/385"</f>
        <v>I207.22/385</v>
      </c>
    </row>
    <row r="38" spans="1:5" ht="38.25" customHeight="1">
      <c r="A38" s="6" t="str">
        <f>"978-7-03-053119-3"</f>
        <v>978-7-03-053119-3</v>
      </c>
      <c r="B38" s="7" t="str">
        <f>"诗歌翻译中的框架操作：中国古诗英译认知研究：a cognitive approach to English translation of classical Chinese poetry"</f>
        <v>诗歌翻译中的框架操作：中国古诗英译认知研究：a cognitive approach to English translation of classical Chinese poetry</v>
      </c>
      <c r="C38" s="8" t="str">
        <f>"肖开容著"</f>
        <v>肖开容著</v>
      </c>
      <c r="D38" s="8" t="str">
        <f>"科学出版社"</f>
        <v>科学出版社</v>
      </c>
      <c r="E38" s="8" t="str">
        <f>"I207.22/386"</f>
        <v>I207.22/386</v>
      </c>
    </row>
    <row r="39" spans="1:5" ht="21.95" customHeight="1">
      <c r="A39" s="6" t="str">
        <f>"978-7-101-12867-3"</f>
        <v>978-7-101-12867-3</v>
      </c>
      <c r="B39" s="7" t="str">
        <f>"康震讲诗词经典"</f>
        <v>康震讲诗词经典</v>
      </c>
      <c r="C39" s="8" t="str">
        <f>"康震著"</f>
        <v>康震著</v>
      </c>
      <c r="D39" s="8" t="str">
        <f>"中华书局"</f>
        <v>中华书局</v>
      </c>
      <c r="E39" s="8" t="str">
        <f>"I207.22/387"</f>
        <v>I207.22/387</v>
      </c>
    </row>
    <row r="40" spans="1:5" ht="21.95" customHeight="1">
      <c r="A40" s="6" t="str">
        <f>"978-7-108-06039-6"</f>
        <v>978-7-108-06039-6</v>
      </c>
      <c r="B40" s="7" t="str">
        <f>"诗与它的山河：中古山水美感的生长"</f>
        <v>诗与它的山河：中古山水美感的生长</v>
      </c>
      <c r="C40" s="8" t="str">
        <f>"萧驰著"</f>
        <v>萧驰著</v>
      </c>
      <c r="D40" s="8" t="str">
        <f>"三联书店"</f>
        <v>三联书店</v>
      </c>
      <c r="E40" s="8" t="str">
        <f>"I207.22/388"</f>
        <v>I207.22/388</v>
      </c>
    </row>
    <row r="41" spans="1:5" ht="21.95" customHeight="1">
      <c r="A41" s="6" t="str">
        <f>"978-7-218-11019-6"</f>
        <v>978-7-218-11019-6</v>
      </c>
      <c r="B41" s="7" t="str">
        <f>"大学生诗歌家谱"</f>
        <v>大学生诗歌家谱</v>
      </c>
      <c r="C41" s="8" t="str">
        <f>"姜红伟编著"</f>
        <v>姜红伟编著</v>
      </c>
      <c r="D41" s="8" t="str">
        <f>"广东人民出版社"</f>
        <v>广东人民出版社</v>
      </c>
      <c r="E41" s="8" t="str">
        <f>"I207.22/389"</f>
        <v>I207.22/389</v>
      </c>
    </row>
    <row r="42" spans="1:5" ht="21.95" customHeight="1">
      <c r="A42" s="6" t="str">
        <f>"978-7-5426-5689-6"</f>
        <v>978-7-5426-5689-6</v>
      </c>
      <c r="B42" s="7" t="str">
        <f>"诗经讲义稿"</f>
        <v>诗经讲义稿</v>
      </c>
      <c r="C42" s="8" t="str">
        <f>"傅斯年著"</f>
        <v>傅斯年著</v>
      </c>
      <c r="D42" s="8" t="str">
        <f>"上海三联书店"</f>
        <v>上海三联书店</v>
      </c>
      <c r="E42" s="8" t="str">
        <f>"I207.222/197"</f>
        <v>I207.222/197</v>
      </c>
    </row>
    <row r="43" spans="1:5" ht="21.95" customHeight="1">
      <c r="A43" s="6" t="str">
        <f>"978-7-302-46813-4"</f>
        <v>978-7-302-46813-4</v>
      </c>
      <c r="B43" s="7" t="str">
        <f>"唐诗为镜照汗青：讲述唐诗背后的故事．上"</f>
        <v>唐诗为镜照汗青：讲述唐诗背后的故事．上</v>
      </c>
      <c r="C43" s="8" t="str">
        <f>"鞠菟著"</f>
        <v>鞠菟著</v>
      </c>
      <c r="D43" s="8" t="str">
        <f>"清华大学出版社"</f>
        <v>清华大学出版社</v>
      </c>
      <c r="E43" s="8" t="str">
        <f>"I207.227.42/82/1"</f>
        <v>I207.227.42/82/1</v>
      </c>
    </row>
    <row r="44" spans="1:5" ht="21.95" customHeight="1">
      <c r="A44" s="6" t="str">
        <f>"978-7-302-46813-4"</f>
        <v>978-7-302-46813-4</v>
      </c>
      <c r="B44" s="7" t="str">
        <f>"唐诗为镜照汗青：讲述唐诗背后的故事．下"</f>
        <v>唐诗为镜照汗青：讲述唐诗背后的故事．下</v>
      </c>
      <c r="C44" s="8" t="str">
        <f>"鞠菟著"</f>
        <v>鞠菟著</v>
      </c>
      <c r="D44" s="8" t="str">
        <f>"清华大学出版社"</f>
        <v>清华大学出版社</v>
      </c>
      <c r="E44" s="8" t="str">
        <f>"I207.227.42/82/2"</f>
        <v>I207.227.42/82/2</v>
      </c>
    </row>
    <row r="45" spans="1:5" ht="21.95" customHeight="1">
      <c r="A45" s="6" t="str">
        <f>"978-7-301-28570-1"</f>
        <v>978-7-301-28570-1</v>
      </c>
      <c r="B45" s="7" t="str">
        <f>"盛唐三大家诗论"</f>
        <v>盛唐三大家诗论</v>
      </c>
      <c r="C45" s="8" t="str">
        <f>"魏耕原著"</f>
        <v>魏耕原著</v>
      </c>
      <c r="D45" s="8" t="str">
        <f>"北京大学出版社"</f>
        <v>北京大学出版社</v>
      </c>
      <c r="E45" s="8" t="str">
        <f>"I207.227.42/83"</f>
        <v>I207.227.42/83</v>
      </c>
    </row>
    <row r="46" spans="1:5" ht="21.95" customHeight="1">
      <c r="A46" s="6" t="str">
        <f>"978-7-5032-5935-7"</f>
        <v>978-7-5032-5935-7</v>
      </c>
      <c r="B46" s="7" t="str">
        <f>"宋词中的旅游"</f>
        <v>宋词中的旅游</v>
      </c>
      <c r="C46" s="8" t="str">
        <f>"李金早主编"</f>
        <v>李金早主编</v>
      </c>
      <c r="D46" s="8" t="str">
        <f>"中国旅游出版社"</f>
        <v>中国旅游出版社</v>
      </c>
      <c r="E46" s="8" t="str">
        <f>"I207.23/270"</f>
        <v>I207.23/270</v>
      </c>
    </row>
    <row r="47" spans="1:5" ht="21.95" customHeight="1">
      <c r="A47" s="6" t="str">
        <f>"978-7-108-05966-6"</f>
        <v>978-7-108-05966-6</v>
      </c>
      <c r="B47" s="7" t="str">
        <f>"看诗不分明"</f>
        <v>看诗不分明</v>
      </c>
      <c r="C47" s="8" t="str">
        <f>"潘向黎著"</f>
        <v>潘向黎著</v>
      </c>
      <c r="D47" s="8" t="str">
        <f>"生活·读书·新知三联书店"</f>
        <v>生活·读书·新知三联书店</v>
      </c>
      <c r="E47" s="8" t="str">
        <f>"I207.2-53/2"</f>
        <v>I207.2-53/2</v>
      </c>
    </row>
    <row r="48" spans="1:5" ht="21.95" customHeight="1">
      <c r="A48" s="6" t="str">
        <f>"978-7-5486-1291-9"</f>
        <v>978-7-5486-1291-9</v>
      </c>
      <c r="B48" s="7" t="str">
        <f>"人生自有境界"</f>
        <v>人生自有境界</v>
      </c>
      <c r="C48" s="8" t="str">
        <f>"郦波著"</f>
        <v>郦波著</v>
      </c>
      <c r="D48" s="8" t="str">
        <f>"学林出版社"</f>
        <v>学林出版社</v>
      </c>
      <c r="E48" s="8" t="str">
        <f>"I207.2-53/3"</f>
        <v>I207.2-53/3</v>
      </c>
    </row>
    <row r="49" spans="1:5" ht="21.95" customHeight="1">
      <c r="A49" s="6" t="str">
        <f>"978-7-108-05823-2"</f>
        <v>978-7-108-05823-2</v>
      </c>
      <c r="B49" s="7" t="str">
        <f>"红楼启示录"</f>
        <v>红楼启示录</v>
      </c>
      <c r="C49" s="8" t="str">
        <f>"王蒙"</f>
        <v>王蒙</v>
      </c>
      <c r="D49" s="8" t="str">
        <f>"三联书店"</f>
        <v>三联书店</v>
      </c>
      <c r="E49" s="8" t="str">
        <f>"I207.411/254"</f>
        <v>I207.411/254</v>
      </c>
    </row>
    <row r="50" spans="1:5" ht="21.95" customHeight="1">
      <c r="A50" s="6" t="str">
        <f>"978-7-301-28363-9"</f>
        <v>978-7-301-28363-9</v>
      </c>
      <c r="B50" s="7" t="str">
        <f>"大观红楼：欧丽娟讲红楼梦．2"</f>
        <v>大观红楼：欧丽娟讲红楼梦．2</v>
      </c>
      <c r="C50" s="8" t="str">
        <f>"欧丽娟著"</f>
        <v>欧丽娟著</v>
      </c>
      <c r="D50" s="8" t="str">
        <f>"北京大学出版社"</f>
        <v>北京大学出版社</v>
      </c>
      <c r="E50" s="8" t="str">
        <f>"I207.411/255"</f>
        <v>I207.411/255</v>
      </c>
    </row>
    <row r="51" spans="1:5" ht="21.95" customHeight="1">
      <c r="A51" s="6" t="str">
        <f>"978-7-5426-6011-4"</f>
        <v>978-7-5426-6011-4</v>
      </c>
      <c r="B51" s="7" t="str">
        <f>"秦良玉与《石头记》初探"</f>
        <v>秦良玉与《石头记》初探</v>
      </c>
      <c r="C51" s="8" t="str">
        <f>"孙怡祖，孙翼著"</f>
        <v>孙怡祖，孙翼著</v>
      </c>
      <c r="D51" s="8" t="str">
        <f>"上海三联书店"</f>
        <v>上海三联书店</v>
      </c>
      <c r="E51" s="8" t="str">
        <f>"I207.411/256"</f>
        <v>I207.411/256</v>
      </c>
    </row>
    <row r="52" spans="1:5" ht="21.95" customHeight="1">
      <c r="A52" s="6" t="str">
        <f>"978-7-108-05568-2"</f>
        <v>978-7-108-05568-2</v>
      </c>
      <c r="B52" s="7" t="str">
        <f>"青梅煮酒：三国群雄的帅和怪"</f>
        <v>青梅煮酒：三国群雄的帅和怪</v>
      </c>
      <c r="C52" s="8" t="str">
        <f>"周泽雄著"</f>
        <v>周泽雄著</v>
      </c>
      <c r="D52" s="8" t="str">
        <f>"三联书店"</f>
        <v>三联书店</v>
      </c>
      <c r="E52" s="8" t="str">
        <f>"I207.413/73"</f>
        <v>I207.413/73</v>
      </c>
    </row>
    <row r="53" spans="1:5" ht="21.95" customHeight="1">
      <c r="A53" s="6" t="str">
        <f>"978-7-5086-8063-7"</f>
        <v>978-7-5086-8063-7</v>
      </c>
      <c r="B53" s="7" t="str">
        <f>"叶思芬说金瓶梅：世道与人心．1"</f>
        <v>叶思芬说金瓶梅：世道与人心．1</v>
      </c>
      <c r="C53" s="8" t="str">
        <f>"叶思芬著"</f>
        <v>叶思芬著</v>
      </c>
      <c r="D53" s="8" t="str">
        <f>"中信出版集团股份有限公司"</f>
        <v>中信出版集团股份有限公司</v>
      </c>
      <c r="E53" s="8" t="str">
        <f>"I207.419/102/1"</f>
        <v>I207.419/102/1</v>
      </c>
    </row>
    <row r="54" spans="1:5" ht="21.95" customHeight="1">
      <c r="A54" s="6" t="str">
        <f>"978-7-5086-8063-7"</f>
        <v>978-7-5086-8063-7</v>
      </c>
      <c r="B54" s="7" t="str">
        <f>"叶思芬说金瓶梅：世道与人心．2"</f>
        <v>叶思芬说金瓶梅：世道与人心．2</v>
      </c>
      <c r="C54" s="8" t="str">
        <f>"叶思芬著"</f>
        <v>叶思芬著</v>
      </c>
      <c r="D54" s="8" t="str">
        <f>"中信出版集团股份有限公司"</f>
        <v>中信出版集团股份有限公司</v>
      </c>
      <c r="E54" s="8" t="str">
        <f>"I207.419/102/2"</f>
        <v>I207.419/102/2</v>
      </c>
    </row>
    <row r="55" spans="1:5" ht="21.95" customHeight="1">
      <c r="A55" s="6" t="str">
        <f>"978-7-5086-8063-7"</f>
        <v>978-7-5086-8063-7</v>
      </c>
      <c r="B55" s="7" t="str">
        <f>"叶思芬说金瓶梅：世道与人心．3"</f>
        <v>叶思芬说金瓶梅：世道与人心．3</v>
      </c>
      <c r="C55" s="8" t="str">
        <f>"叶思芬著"</f>
        <v>叶思芬著</v>
      </c>
      <c r="D55" s="8" t="str">
        <f>"中信出版集团股份有限公司"</f>
        <v>中信出版集团股份有限公司</v>
      </c>
      <c r="E55" s="8" t="str">
        <f>"I207.419/102/3"</f>
        <v>I207.419/102/3</v>
      </c>
    </row>
    <row r="56" spans="1:5" ht="21.95" customHeight="1">
      <c r="A56" s="6" t="str">
        <f>"978-7-5096-5292-3"</f>
        <v>978-7-5096-5292-3</v>
      </c>
      <c r="B56" s="7" t="str">
        <f>"中国现代小说传奇叙事研究"</f>
        <v>中国现代小说传奇叙事研究</v>
      </c>
      <c r="C56" s="8" t="str">
        <f>"王兴著"</f>
        <v>王兴著</v>
      </c>
      <c r="D56" s="8" t="str">
        <f>"经济管理出版社"</f>
        <v>经济管理出版社</v>
      </c>
      <c r="E56" s="8" t="str">
        <f>"I207.42/118"</f>
        <v>I207.42/118</v>
      </c>
    </row>
    <row r="57" spans="1:5" ht="21.95" customHeight="1">
      <c r="A57" s="6" t="str">
        <f>"978-7-101-12391-3"</f>
        <v>978-7-101-12391-3</v>
      </c>
      <c r="B57" s="7" t="str">
        <f>"先秦诸子散文文体及其文化渊源"</f>
        <v>先秦诸子散文文体及其文化渊源</v>
      </c>
      <c r="C57" s="8" t="str">
        <f>"侯文华著"</f>
        <v>侯文华著</v>
      </c>
      <c r="D57" s="8" t="str">
        <f>"中华书局"</f>
        <v>中华书局</v>
      </c>
      <c r="E57" s="8" t="str">
        <f>"I207.62/76"</f>
        <v>I207.62/76</v>
      </c>
    </row>
    <row r="58" spans="1:5" ht="21.95" customHeight="1">
      <c r="A58" s="6" t="str">
        <f>"978-7-108-06059-4"</f>
        <v>978-7-108-06059-4</v>
      </c>
      <c r="B58" s="7" t="str">
        <f>"从文人之文到学者之文：明清散文研究"</f>
        <v>从文人之文到学者之文：明清散文研究</v>
      </c>
      <c r="C58" s="8" t="str">
        <f>"陈平原著"</f>
        <v>陈平原著</v>
      </c>
      <c r="D58" s="8" t="str">
        <f>"三联书店"</f>
        <v>三联书店</v>
      </c>
      <c r="E58" s="8" t="str">
        <f>"I207.62/77=2D"</f>
        <v>I207.62/77=2D</v>
      </c>
    </row>
    <row r="59" spans="1:5" ht="21.95" customHeight="1">
      <c r="A59" s="6" t="str">
        <f>"978-7-5426-5747-3"</f>
        <v>978-7-5426-5747-3</v>
      </c>
      <c r="B59" s="7" t="str">
        <f>"中国古代文学史讲义"</f>
        <v>中国古代文学史讲义</v>
      </c>
      <c r="C59" s="8" t="str">
        <f>"傅斯年著"</f>
        <v>傅斯年著</v>
      </c>
      <c r="D59" s="8" t="str">
        <f>"上海三联书店"</f>
        <v>上海三联书店</v>
      </c>
      <c r="E59" s="8" t="str">
        <f>"I209.2/53"</f>
        <v>I209.2/53</v>
      </c>
    </row>
    <row r="60" spans="1:5" ht="21.95" customHeight="1">
      <c r="A60" s="6" t="str">
        <f>"978-7-108-06102-7"</f>
        <v>978-7-108-06102-7</v>
      </c>
      <c r="B60" s="7" t="str">
        <f>"问题与方法：中国当代文学史研究讲稿"</f>
        <v>问题与方法：中国当代文学史研究讲稿</v>
      </c>
      <c r="C60" s="8" t="str">
        <f>"洪子诚著"</f>
        <v>洪子诚著</v>
      </c>
      <c r="D60" s="8" t="str">
        <f>"三联书店"</f>
        <v>三联书店</v>
      </c>
      <c r="E60" s="8" t="str">
        <f>"I209.7/39"</f>
        <v>I209.7/39</v>
      </c>
    </row>
    <row r="61" spans="1:5" ht="21.95" customHeight="1">
      <c r="A61" s="6" t="str">
        <f>"978-7-5426-6177-7"</f>
        <v>978-7-5426-6177-7</v>
      </c>
      <c r="B61" s="7" t="str">
        <f>"江南都市与中国文学：第二届江南文化论坛论文集"</f>
        <v>江南都市与中国文学：第二届江南文化论坛论文集</v>
      </c>
      <c r="C61" s="8" t="str">
        <f>"查清华， 詹丹主编"</f>
        <v>查清华， 詹丹主编</v>
      </c>
      <c r="D61" s="8" t="str">
        <f>"上海三联书店"</f>
        <v>上海三联书店</v>
      </c>
      <c r="E61" s="8" t="str">
        <f>"I209.95/2"</f>
        <v>I209.95/2</v>
      </c>
    </row>
    <row r="62" spans="1:5" ht="21.95" customHeight="1">
      <c r="A62" s="6" t="str">
        <f>"978-7-301-27917-5"</f>
        <v>978-7-301-27917-5</v>
      </c>
      <c r="B62" s="7" t="str">
        <f>"从形式主义到历史主义：晚近文学理论“向外转”的深层机理探究"</f>
        <v>从形式主义到历史主义：晚近文学理论“向外转”的深层机理探究</v>
      </c>
      <c r="C62" s="8" t="str">
        <f>"姚文放著"</f>
        <v>姚文放著</v>
      </c>
      <c r="D62" s="8" t="str">
        <f>"北京大学出版社"</f>
        <v>北京大学出版社</v>
      </c>
      <c r="E62" s="8" t="str">
        <f>"I209/139"</f>
        <v>I209/139</v>
      </c>
    </row>
    <row r="63" spans="1:5" ht="21.95" customHeight="1">
      <c r="A63" s="6" t="str">
        <f>"978-7-301-27694-5"</f>
        <v>978-7-301-27694-5</v>
      </c>
      <c r="B63" s="7" t="str">
        <f>"范曾插图鲁迅小说集"</f>
        <v>范曾插图鲁迅小说集</v>
      </c>
      <c r="C63" s="8" t="str">
        <f>"鲁迅著"</f>
        <v>鲁迅著</v>
      </c>
      <c r="D63" s="8" t="str">
        <f>"北京大学出版社"</f>
        <v>北京大学出版社</v>
      </c>
      <c r="E63" s="8" t="str">
        <f>"I210.6/121"</f>
        <v>I210.6/121</v>
      </c>
    </row>
    <row r="64" spans="1:5" ht="21.95" customHeight="1">
      <c r="A64" s="6" t="str">
        <f>"978-7-108-05828-7"</f>
        <v>978-7-108-05828-7</v>
      </c>
      <c r="B64" s="7" t="str">
        <f>"字里行间读鲁迅"</f>
        <v>字里行间读鲁迅</v>
      </c>
      <c r="C64" s="8" t="str">
        <f>"黄乔生著"</f>
        <v>黄乔生著</v>
      </c>
      <c r="D64" s="8" t="str">
        <f>"三联书店"</f>
        <v>三联书店</v>
      </c>
      <c r="E64" s="8" t="str">
        <f>"I210.97/44"</f>
        <v>I210.97/44</v>
      </c>
    </row>
    <row r="65" spans="1:5" ht="21.95" customHeight="1">
      <c r="A65" s="6" t="str">
        <f>"978-7-301-27953-3"</f>
        <v>978-7-301-27953-3</v>
      </c>
      <c r="B65" s="7" t="str">
        <f>"鲁迅与当代中国"</f>
        <v>鲁迅与当代中国</v>
      </c>
      <c r="C65" s="8" t="str">
        <f>"钱理群著"</f>
        <v>钱理群著</v>
      </c>
      <c r="D65" s="8" t="str">
        <f>"北京大学出版社"</f>
        <v>北京大学出版社</v>
      </c>
      <c r="E65" s="8" t="str">
        <f>"I210.97/45"</f>
        <v>I210.97/45</v>
      </c>
    </row>
    <row r="66" spans="1:5" ht="21.95" customHeight="1">
      <c r="A66" s="6" t="str">
        <f>"978-7-5520-2071-7"</f>
        <v>978-7-5520-2071-7</v>
      </c>
      <c r="B66" s="7" t="str">
        <f>"上海鲁迅研究：鲁迅与美术暨纪念李桦诞辰110周年"</f>
        <v>上海鲁迅研究：鲁迅与美术暨纪念李桦诞辰110周年</v>
      </c>
      <c r="C66" s="8" t="str">
        <f>"上海鲁迅纪念馆编"</f>
        <v>上海鲁迅纪念馆编</v>
      </c>
      <c r="D66" s="8" t="str">
        <f>"上海社会科学院出版社"</f>
        <v>上海社会科学院出版社</v>
      </c>
      <c r="E66" s="8" t="str">
        <f>"I210.97-53/2"</f>
        <v>I210.97-53/2</v>
      </c>
    </row>
    <row r="67" spans="1:5" ht="21.95" customHeight="1">
      <c r="A67" s="6" t="str">
        <f>"978-7-301-28578-7"</f>
        <v>978-7-301-28578-7</v>
      </c>
      <c r="B67" s="7" t="str">
        <f>"中国古代文学作品选注．先秦两汉魏晋"</f>
        <v>中国古代文学作品选注．先秦两汉魏晋</v>
      </c>
      <c r="C67" s="8" t="str">
        <f>"韩传达选注"</f>
        <v>韩传达选注</v>
      </c>
      <c r="D67" s="8" t="str">
        <f>"北京大学出版社"</f>
        <v>北京大学出版社</v>
      </c>
      <c r="E67" s="8" t="str">
        <f>"I212.1/10=3D"</f>
        <v>I212.1/10=3D</v>
      </c>
    </row>
    <row r="68" spans="1:5" ht="21.95" customHeight="1">
      <c r="A68" s="6" t="str">
        <f>"978-7-101-12872-7"</f>
        <v>978-7-101-12872-7</v>
      </c>
      <c r="B68" s="7" t="str">
        <f>"陶淵明集箋註．上"</f>
        <v>陶淵明集箋註．上</v>
      </c>
      <c r="C68" s="8" t="str">
        <f>"袁行霈撰"</f>
        <v>袁行霈撰</v>
      </c>
      <c r="D68" s="8" t="str">
        <f>"中華書局"</f>
        <v>中華書局</v>
      </c>
      <c r="E68" s="8" t="str">
        <f>"I213.722/5/1"</f>
        <v>I213.722/5/1</v>
      </c>
    </row>
    <row r="69" spans="1:5" ht="21.95" customHeight="1">
      <c r="A69" s="6" t="str">
        <f>"978-7-101-12872-7"</f>
        <v>978-7-101-12872-7</v>
      </c>
      <c r="B69" s="7" t="str">
        <f>"陶淵明集箋註．下"</f>
        <v>陶淵明集箋註．下</v>
      </c>
      <c r="C69" s="8" t="str">
        <f>"袁行霈撰"</f>
        <v>袁行霈撰</v>
      </c>
      <c r="D69" s="8" t="str">
        <f>"中華書局"</f>
        <v>中華書局</v>
      </c>
      <c r="E69" s="8" t="str">
        <f>"I213.722/5/2"</f>
        <v>I213.722/5/2</v>
      </c>
    </row>
    <row r="70" spans="1:5" ht="21.95" customHeight="1">
      <c r="A70" s="6" t="str">
        <f>"978-7-301-28046-1"</f>
        <v>978-7-301-28046-1</v>
      </c>
      <c r="B70" s="7" t="str">
        <f>"石涛诗文集"</f>
        <v>石涛诗文集</v>
      </c>
      <c r="C70" s="8" t="str">
        <f>"朱良志辑注"</f>
        <v>朱良志辑注</v>
      </c>
      <c r="D70" s="8" t="str">
        <f>"北京大学出版社"</f>
        <v>北京大学出版社</v>
      </c>
      <c r="E70" s="8" t="str">
        <f>"I214.92/11"</f>
        <v>I214.92/11</v>
      </c>
    </row>
    <row r="71" spans="1:5" ht="21.95" customHeight="1">
      <c r="A71" s="6" t="str">
        <f>"978-7-5086-7145-1"</f>
        <v>978-7-5086-7145-1</v>
      </c>
      <c r="B71" s="7" t="str">
        <f>"贵生集"</f>
        <v>贵生集</v>
      </c>
      <c r="C71" s="8" t="str">
        <f>"沈从文著"</f>
        <v>沈从文著</v>
      </c>
      <c r="D71" s="8" t="str">
        <f>"中信出版集团股份有限公司"</f>
        <v>中信出版集团股份有限公司</v>
      </c>
      <c r="E71" s="8" t="str">
        <f>"I216.2/204"</f>
        <v>I216.2/204</v>
      </c>
    </row>
    <row r="72" spans="1:5" ht="21.95" customHeight="1">
      <c r="A72" s="6" t="str">
        <f>"978-7-5086-6876-5"</f>
        <v>978-7-5086-6876-5</v>
      </c>
      <c r="B72" s="7" t="str">
        <f>"七色魇"</f>
        <v>七色魇</v>
      </c>
      <c r="C72" s="8" t="str">
        <f>"沈从文著"</f>
        <v>沈从文著</v>
      </c>
      <c r="D72" s="8" t="str">
        <f>"中信出版集团股份有限公司"</f>
        <v>中信出版集团股份有限公司</v>
      </c>
      <c r="E72" s="8" t="str">
        <f>"I217.2/106"</f>
        <v>I217.2/106</v>
      </c>
    </row>
    <row r="73" spans="1:5" ht="21.95" customHeight="1">
      <c r="A73" s="6" t="str">
        <f>"978-7-5426-6042-8"</f>
        <v>978-7-5426-6042-8</v>
      </c>
      <c r="B73" s="7" t="str">
        <f>"前十年集"</f>
        <v>前十年集</v>
      </c>
      <c r="C73" s="8" t="str">
        <f>"汪曾祺著"</f>
        <v>汪曾祺著</v>
      </c>
      <c r="D73" s="8" t="str">
        <f>"上海三联书店"</f>
        <v>上海三联书店</v>
      </c>
      <c r="E73" s="8" t="str">
        <f>"I217.62/257"</f>
        <v>I217.62/257</v>
      </c>
    </row>
    <row r="74" spans="1:5" ht="21.95" customHeight="1">
      <c r="A74" s="6" t="str">
        <f>"978-7-101-12750-8"</f>
        <v>978-7-101-12750-8</v>
      </c>
      <c r="B74" s="7" t="str">
        <f>"诗经注析．上"</f>
        <v>诗经注析．上</v>
      </c>
      <c r="C74" s="8" t="str">
        <f>"程俊英， 蒋见元著"</f>
        <v>程俊英， 蒋见元著</v>
      </c>
      <c r="D74" s="8" t="str">
        <f>"中华书局"</f>
        <v>中华书局</v>
      </c>
      <c r="E74" s="8" t="str">
        <f>"I222.2/51/1"</f>
        <v>I222.2/51/1</v>
      </c>
    </row>
    <row r="75" spans="1:5" ht="21.95" customHeight="1">
      <c r="A75" s="6" t="str">
        <f>"978-7-101-12750-8"</f>
        <v>978-7-101-12750-8</v>
      </c>
      <c r="B75" s="7" t="str">
        <f>"诗经注析．中"</f>
        <v>诗经注析．中</v>
      </c>
      <c r="C75" s="8" t="str">
        <f>"程俊英， 蒋见元著"</f>
        <v>程俊英， 蒋见元著</v>
      </c>
      <c r="D75" s="8" t="str">
        <f>"中华书局"</f>
        <v>中华书局</v>
      </c>
      <c r="E75" s="8" t="str">
        <f>"I222.2/51/2"</f>
        <v>I222.2/51/2</v>
      </c>
    </row>
    <row r="76" spans="1:5" ht="21.95" customHeight="1">
      <c r="A76" s="6" t="str">
        <f>"978-7-101-12750-8"</f>
        <v>978-7-101-12750-8</v>
      </c>
      <c r="B76" s="7" t="str">
        <f>"诗经注析．下"</f>
        <v>诗经注析．下</v>
      </c>
      <c r="C76" s="8" t="str">
        <f>"程俊英， 蒋见元著"</f>
        <v>程俊英， 蒋见元著</v>
      </c>
      <c r="D76" s="8" t="str">
        <f>"中华书局"</f>
        <v>中华书局</v>
      </c>
      <c r="E76" s="8" t="str">
        <f>"I222.2/51/3"</f>
        <v>I222.2/51/3</v>
      </c>
    </row>
    <row r="77" spans="1:5" ht="21.95" customHeight="1">
      <c r="A77" s="6" t="str">
        <f>"978-7-302-45748-0"</f>
        <v>978-7-302-45748-0</v>
      </c>
      <c r="B77" s="7" t="str">
        <f>"大师美绘千家诗．五"</f>
        <v>大师美绘千家诗．五</v>
      </c>
      <c r="C77" s="8" t="str">
        <f t="shared" ref="C77:C81" si="2">"杨永青绘"</f>
        <v>杨永青绘</v>
      </c>
      <c r="D77" s="8" t="str">
        <f t="shared" ref="D77:D81" si="3">"清华大学出版社"</f>
        <v>清华大学出版社</v>
      </c>
      <c r="E77" s="8" t="str">
        <f>"I222.72//25/5"</f>
        <v>I222.72//25/5</v>
      </c>
    </row>
    <row r="78" spans="1:5" ht="21.95" customHeight="1">
      <c r="A78" s="6" t="str">
        <f>"978-7-302-45744-2"</f>
        <v>978-7-302-45744-2</v>
      </c>
      <c r="B78" s="7" t="str">
        <f>"大师美绘千家诗．一"</f>
        <v>大师美绘千家诗．一</v>
      </c>
      <c r="C78" s="8" t="str">
        <f t="shared" si="2"/>
        <v>杨永青绘</v>
      </c>
      <c r="D78" s="8" t="str">
        <f t="shared" si="3"/>
        <v>清华大学出版社</v>
      </c>
      <c r="E78" s="8" t="str">
        <f>"I222.72/25/1"</f>
        <v>I222.72/25/1</v>
      </c>
    </row>
    <row r="79" spans="1:5" ht="21.95" customHeight="1">
      <c r="A79" s="6" t="str">
        <f>"978-7-302-45745-9"</f>
        <v>978-7-302-45745-9</v>
      </c>
      <c r="B79" s="7" t="str">
        <f>"大师美绘千家诗．二"</f>
        <v>大师美绘千家诗．二</v>
      </c>
      <c r="C79" s="8" t="str">
        <f t="shared" si="2"/>
        <v>杨永青绘</v>
      </c>
      <c r="D79" s="8" t="str">
        <f t="shared" si="3"/>
        <v>清华大学出版社</v>
      </c>
      <c r="E79" s="8" t="str">
        <f>"I222.72/25/2"</f>
        <v>I222.72/25/2</v>
      </c>
    </row>
    <row r="80" spans="1:5" ht="21.95" customHeight="1">
      <c r="A80" s="6" t="str">
        <f>"978-7-302-45746-6"</f>
        <v>978-7-302-45746-6</v>
      </c>
      <c r="B80" s="7" t="str">
        <f>"大师美绘千家诗．三"</f>
        <v>大师美绘千家诗．三</v>
      </c>
      <c r="C80" s="8" t="str">
        <f t="shared" si="2"/>
        <v>杨永青绘</v>
      </c>
      <c r="D80" s="8" t="str">
        <f t="shared" si="3"/>
        <v>清华大学出版社</v>
      </c>
      <c r="E80" s="8" t="str">
        <f>"I222.72/25/3"</f>
        <v>I222.72/25/3</v>
      </c>
    </row>
    <row r="81" spans="1:5" ht="21.95" customHeight="1">
      <c r="A81" s="6" t="str">
        <f>"978-7-302-45747-3"</f>
        <v>978-7-302-45747-3</v>
      </c>
      <c r="B81" s="7" t="str">
        <f>"大师美绘千家诗．四"</f>
        <v>大师美绘千家诗．四</v>
      </c>
      <c r="C81" s="8" t="str">
        <f t="shared" si="2"/>
        <v>杨永青绘</v>
      </c>
      <c r="D81" s="8" t="str">
        <f t="shared" si="3"/>
        <v>清华大学出版社</v>
      </c>
      <c r="E81" s="8" t="str">
        <f>"I222.72/25/4"</f>
        <v>I222.72/25/4</v>
      </c>
    </row>
    <row r="82" spans="1:5" ht="21.95" customHeight="1">
      <c r="A82" s="6" t="str">
        <f>"978-7-5086-8052-1"</f>
        <v>978-7-5086-8052-1</v>
      </c>
      <c r="B82" s="7" t="str">
        <f>"陶渊明诗选：石涛插图版"</f>
        <v>陶渊明诗选：石涛插图版</v>
      </c>
      <c r="C82" s="8" t="str">
        <f>"中信美术馆编"</f>
        <v>中信美术馆编</v>
      </c>
      <c r="D82" s="8" t="str">
        <f>"中信出版集团股份有限公司"</f>
        <v>中信出版集团股份有限公司</v>
      </c>
      <c r="E82" s="8" t="str">
        <f>"I222.737.2/1"</f>
        <v>I222.737.2/1</v>
      </c>
    </row>
    <row r="83" spans="1:5" ht="21.95" customHeight="1">
      <c r="A83" s="6" t="str">
        <f>"978-7-301-28905-1"</f>
        <v>978-7-301-28905-1</v>
      </c>
      <c r="B83" s="7" t="str">
        <f>"彩绘唐诗画谱"</f>
        <v>彩绘唐诗画谱</v>
      </c>
      <c r="C83" s="8" t="str">
        <f>"(明) 黄凤池编"</f>
        <v>(明) 黄凤池编</v>
      </c>
      <c r="D83" s="8" t="str">
        <f>"北京大学出版社"</f>
        <v>北京大学出版社</v>
      </c>
      <c r="E83" s="8" t="str">
        <f>"I222.742/59"</f>
        <v>I222.742/59</v>
      </c>
    </row>
    <row r="84" spans="1:5" ht="21.95" customHeight="1">
      <c r="A84" s="6" t="str">
        <f>"978-7-5086-7701-9"</f>
        <v>978-7-5086-7701-9</v>
      </c>
      <c r="B84" s="7" t="str">
        <f>"宋诗选"</f>
        <v>宋诗选</v>
      </c>
      <c r="C84" s="8" t="str">
        <f>"(宋) 苏轼等著"</f>
        <v>(宋) 苏轼等著</v>
      </c>
      <c r="D84" s="8" t="str">
        <f>"中信出版集团股份有限公司"</f>
        <v>中信出版集团股份有限公司</v>
      </c>
      <c r="E84" s="8" t="str">
        <f>"I222.744/8"</f>
        <v>I222.744/8</v>
      </c>
    </row>
    <row r="85" spans="1:5" ht="21.95" customHeight="1">
      <c r="A85" s="6" t="str">
        <f>"978-7-5426-6098-5"</f>
        <v>978-7-5426-6098-5</v>
      </c>
      <c r="B85" s="7" t="str">
        <f>"老虎桥杂诗"</f>
        <v>老虎桥杂诗</v>
      </c>
      <c r="C85" s="8" t="str">
        <f>"周作人著"</f>
        <v>周作人著</v>
      </c>
      <c r="D85" s="8" t="str">
        <f>"上海三联书店"</f>
        <v>上海三联书店</v>
      </c>
      <c r="E85" s="8" t="str">
        <f>"I226/83"</f>
        <v>I226/83</v>
      </c>
    </row>
    <row r="86" spans="1:5" ht="21.95" customHeight="1">
      <c r="A86" s="6" t="str">
        <f>"978-7-108-05963-5"</f>
        <v>978-7-108-05963-5</v>
      </c>
      <c r="B86" s="7" t="str">
        <f>"现代汉诗110首"</f>
        <v>现代汉诗110首</v>
      </c>
      <c r="C86" s="8" t="str">
        <f>"蔡天新主编"</f>
        <v>蔡天新主编</v>
      </c>
      <c r="D86" s="8" t="str">
        <f>"三联书店"</f>
        <v>三联书店</v>
      </c>
      <c r="E86" s="8" t="str">
        <f>"I226/84"</f>
        <v>I226/84</v>
      </c>
    </row>
    <row r="87" spans="1:5" ht="21.95" customHeight="1">
      <c r="A87" s="6" t="str">
        <f>"978-7-5426-6155-5"</f>
        <v>978-7-5426-6155-5</v>
      </c>
      <c r="B87" s="7" t="str">
        <f>"礼：卢文丽诗选"</f>
        <v>礼：卢文丽诗选</v>
      </c>
      <c r="C87" s="8" t="str">
        <f>"卢文丽著"</f>
        <v>卢文丽著</v>
      </c>
      <c r="D87" s="8" t="str">
        <f>"上海三联书店"</f>
        <v>上海三联书店</v>
      </c>
      <c r="E87" s="8" t="str">
        <f>"I227.1/22"</f>
        <v>I227.1/22</v>
      </c>
    </row>
    <row r="88" spans="1:5" ht="21.95" customHeight="1">
      <c r="A88" s="6" t="str">
        <f>"978-7-5426-6208-8"</f>
        <v>978-7-5426-6208-8</v>
      </c>
      <c r="B88" s="7" t="str">
        <f>"诗语京韵"</f>
        <v>诗语京韵</v>
      </c>
      <c r="C88" s="8" t="str">
        <f>"赵志诚著"</f>
        <v>赵志诚著</v>
      </c>
      <c r="D88" s="8" t="str">
        <f>"上海三联书店"</f>
        <v>上海三联书店</v>
      </c>
      <c r="E88" s="8" t="str">
        <f>"I227.7/10"</f>
        <v>I227.7/10</v>
      </c>
    </row>
    <row r="89" spans="1:5" ht="21.95" customHeight="1">
      <c r="A89" s="6" t="str">
        <f>"978-7-108-06045-7"</f>
        <v>978-7-108-06045-7</v>
      </c>
      <c r="B89" s="7" t="str">
        <f>"天窗的随笔"</f>
        <v>天窗的随笔</v>
      </c>
      <c r="C89" s="8" t="str">
        <f>"王锋著"</f>
        <v>王锋著</v>
      </c>
      <c r="D89" s="8" t="str">
        <f>"三联书店"</f>
        <v>三联书店</v>
      </c>
      <c r="E89" s="8" t="str">
        <f>"I227/720"</f>
        <v>I227/720</v>
      </c>
    </row>
    <row r="90" spans="1:5" ht="21.95" customHeight="1">
      <c r="A90" s="6" t="str">
        <f>"978-7-302-48924-5"</f>
        <v>978-7-302-48924-5</v>
      </c>
      <c r="B90" s="7" t="str">
        <f>"中国好诗词：古诗词里的花事情未了"</f>
        <v>中国好诗词：古诗词里的花事情未了</v>
      </c>
      <c r="C90" s="8" t="str">
        <f>"曾雅娴著"</f>
        <v>曾雅娴著</v>
      </c>
      <c r="D90" s="8" t="str">
        <f>"清华大学出版社"</f>
        <v>清华大学出版社</v>
      </c>
      <c r="E90" s="8" t="str">
        <f>"I227/721"</f>
        <v>I227/721</v>
      </c>
    </row>
    <row r="91" spans="1:5" ht="21.95" customHeight="1">
      <c r="A91" s="6" t="str">
        <f>"978-7-5426-5782-4"</f>
        <v>978-7-5426-5782-4</v>
      </c>
      <c r="B91" s="7" t="str">
        <f>"上海诗词系列丛书．二〇一六年第二卷·总第十四卷"</f>
        <v>上海诗词系列丛书．二〇一六年第二卷·总第十四卷</v>
      </c>
      <c r="C91" s="8" t="str">
        <f>"主编褚水敖， 陈鹏举"</f>
        <v>主编褚水敖， 陈鹏举</v>
      </c>
      <c r="D91" s="8" t="str">
        <f t="shared" ref="D91:D94" si="4">"上海三联书店"</f>
        <v>上海三联书店</v>
      </c>
      <c r="E91" s="8" t="str">
        <f>"I227/722"</f>
        <v>I227/722</v>
      </c>
    </row>
    <row r="92" spans="1:5" ht="21.95" customHeight="1">
      <c r="A92" s="6" t="str">
        <f>"978-7-5426-6130-2"</f>
        <v>978-7-5426-6130-2</v>
      </c>
      <c r="B92" s="7" t="str">
        <f>"上海诗词．二○一七年第二卷 (总第十六卷)"</f>
        <v>上海诗词．二○一七年第二卷 (总第十六卷)</v>
      </c>
      <c r="C92" s="8" t="str">
        <f>"主编褚水敖， 陈鹏举"</f>
        <v>主编褚水敖， 陈鹏举</v>
      </c>
      <c r="D92" s="8" t="str">
        <f t="shared" si="4"/>
        <v>上海三联书店</v>
      </c>
      <c r="E92" s="8" t="str">
        <f>"I227/723"</f>
        <v>I227/723</v>
      </c>
    </row>
    <row r="93" spans="1:5" ht="21.95" customHeight="1">
      <c r="A93" s="6" t="str">
        <f>"978-7-5426-6195-1"</f>
        <v>978-7-5426-6195-1</v>
      </c>
      <c r="B93" s="7" t="str">
        <f>"一园半厦集"</f>
        <v>一园半厦集</v>
      </c>
      <c r="C93" s="8" t="str">
        <f>"竺国良著"</f>
        <v>竺国良著</v>
      </c>
      <c r="D93" s="8" t="str">
        <f t="shared" si="4"/>
        <v>上海三联书店</v>
      </c>
      <c r="E93" s="8" t="str">
        <f>"I227/724"</f>
        <v>I227/724</v>
      </c>
    </row>
    <row r="94" spans="1:5" ht="21.95" customHeight="1">
      <c r="A94" s="6" t="str">
        <f>"978-7-5426-5942-2"</f>
        <v>978-7-5426-5942-2</v>
      </c>
      <c r="B94" s="7" t="str">
        <f>"上海诗词．二〇一七年第一卷(总第十五卷)"</f>
        <v>上海诗词．二〇一七年第一卷(总第十五卷)</v>
      </c>
      <c r="C94" s="8" t="str">
        <f>"主编褚水敖，陈鹏举"</f>
        <v>主编褚水敖，陈鹏举</v>
      </c>
      <c r="D94" s="8" t="str">
        <f t="shared" si="4"/>
        <v>上海三联书店</v>
      </c>
      <c r="E94" s="8" t="str">
        <f>"I227/725"</f>
        <v>I227/725</v>
      </c>
    </row>
    <row r="95" spans="1:5" ht="21.95" customHeight="1">
      <c r="A95" s="6" t="str">
        <f>"978-7-5086-6877-2"</f>
        <v>978-7-5086-6877-2</v>
      </c>
      <c r="B95" s="7" t="str">
        <f>"阿黑小史"</f>
        <v>阿黑小史</v>
      </c>
      <c r="C95" s="8" t="str">
        <f>"沈从文著"</f>
        <v>沈从文著</v>
      </c>
      <c r="D95" s="8" t="str">
        <f>"中信出版集团股份有限公司"</f>
        <v>中信出版集团股份有限公司</v>
      </c>
      <c r="E95" s="8" t="str">
        <f>"I246.5/37"</f>
        <v>I246.5/37</v>
      </c>
    </row>
    <row r="96" spans="1:5" ht="21.95" customHeight="1">
      <c r="A96" s="6" t="str">
        <f>"978-7-101-12362-3"</f>
        <v>978-7-101-12362-3</v>
      </c>
      <c r="B96" s="7" t="str">
        <f>"郁达夫手稿：她是一个弱女子"</f>
        <v>郁达夫手稿：她是一个弱女子</v>
      </c>
      <c r="C96" s="8" t="str">
        <f>"郁达夫著"</f>
        <v>郁达夫著</v>
      </c>
      <c r="D96" s="8" t="str">
        <f>"中华书局"</f>
        <v>中华书局</v>
      </c>
      <c r="E96" s="8" t="str">
        <f>"I246.57/102"</f>
        <v>I246.57/102</v>
      </c>
    </row>
    <row r="97" spans="1:5" ht="21.95" customHeight="1">
      <c r="A97" s="6" t="str">
        <f>"978-7-302-47093-9"</f>
        <v>978-7-302-47093-9</v>
      </c>
      <c r="B97" s="7" t="str">
        <f>"赶集·集外"</f>
        <v>赶集·集外</v>
      </c>
      <c r="C97" s="8" t="str">
        <f>"老舍著"</f>
        <v>老舍著</v>
      </c>
      <c r="D97" s="8" t="str">
        <f>"清华大学出版社"</f>
        <v>清华大学出版社</v>
      </c>
      <c r="E97" s="8" t="str">
        <f>"I246.7/150"</f>
        <v>I246.7/150</v>
      </c>
    </row>
    <row r="98" spans="1:5" ht="21.95" customHeight="1">
      <c r="A98" s="6" t="str">
        <f t="shared" ref="A98:A103" si="5">"978-7-5086-7145-1"</f>
        <v>978-7-5086-7145-1</v>
      </c>
      <c r="B98" s="7" t="str">
        <f>"泥涂集"</f>
        <v>泥涂集</v>
      </c>
      <c r="C98" s="8" t="str">
        <f t="shared" ref="C98:C103" si="6">"沈从文著"</f>
        <v>沈从文著</v>
      </c>
      <c r="D98" s="8" t="str">
        <f t="shared" ref="D98:D103" si="7">"中信出版集团股份有限公司"</f>
        <v>中信出版集团股份有限公司</v>
      </c>
      <c r="E98" s="8" t="str">
        <f>"I246.7/151"</f>
        <v>I246.7/151</v>
      </c>
    </row>
    <row r="99" spans="1:5" ht="21.95" customHeight="1">
      <c r="A99" s="6" t="str">
        <f t="shared" si="5"/>
        <v>978-7-5086-7145-1</v>
      </c>
      <c r="B99" s="7" t="str">
        <f>"雪晴集"</f>
        <v>雪晴集</v>
      </c>
      <c r="C99" s="8" t="str">
        <f t="shared" si="6"/>
        <v>沈从文著</v>
      </c>
      <c r="D99" s="8" t="str">
        <f t="shared" si="7"/>
        <v>中信出版集团股份有限公司</v>
      </c>
      <c r="E99" s="8" t="str">
        <f>"I246.7/152"</f>
        <v>I246.7/152</v>
      </c>
    </row>
    <row r="100" spans="1:5" ht="21.95" customHeight="1">
      <c r="A100" s="6" t="str">
        <f t="shared" si="5"/>
        <v>978-7-5086-7145-1</v>
      </c>
      <c r="B100" s="7" t="str">
        <f>"萧萧集"</f>
        <v>萧萧集</v>
      </c>
      <c r="C100" s="8" t="str">
        <f t="shared" si="6"/>
        <v>沈从文著</v>
      </c>
      <c r="D100" s="8" t="str">
        <f t="shared" si="7"/>
        <v>中信出版集团股份有限公司</v>
      </c>
      <c r="E100" s="8" t="str">
        <f>"I246.7/153"</f>
        <v>I246.7/153</v>
      </c>
    </row>
    <row r="101" spans="1:5" ht="21.95" customHeight="1">
      <c r="A101" s="6" t="str">
        <f t="shared" si="5"/>
        <v>978-7-5086-7145-1</v>
      </c>
      <c r="B101" s="7" t="str">
        <f>"顾问官"</f>
        <v>顾问官</v>
      </c>
      <c r="C101" s="8" t="str">
        <f t="shared" si="6"/>
        <v>沈从文著</v>
      </c>
      <c r="D101" s="8" t="str">
        <f t="shared" si="7"/>
        <v>中信出版集团股份有限公司</v>
      </c>
      <c r="E101" s="8" t="str">
        <f>"I246.7/154"</f>
        <v>I246.7/154</v>
      </c>
    </row>
    <row r="102" spans="1:5" ht="21.95" customHeight="1">
      <c r="A102" s="6" t="str">
        <f t="shared" si="5"/>
        <v>978-7-5086-7145-1</v>
      </c>
      <c r="B102" s="7" t="str">
        <f>"柏子集"</f>
        <v>柏子集</v>
      </c>
      <c r="C102" s="8" t="str">
        <f t="shared" si="6"/>
        <v>沈从文著</v>
      </c>
      <c r="D102" s="8" t="str">
        <f t="shared" si="7"/>
        <v>中信出版集团股份有限公司</v>
      </c>
      <c r="E102" s="8" t="str">
        <f>"I246.7/155"</f>
        <v>I246.7/155</v>
      </c>
    </row>
    <row r="103" spans="1:5" ht="21.95" customHeight="1">
      <c r="A103" s="6" t="str">
        <f t="shared" si="5"/>
        <v>978-7-5086-7145-1</v>
      </c>
      <c r="B103" s="7" t="str">
        <f>"龙朱集"</f>
        <v>龙朱集</v>
      </c>
      <c r="C103" s="8" t="str">
        <f t="shared" si="6"/>
        <v>沈从文著</v>
      </c>
      <c r="D103" s="8" t="str">
        <f t="shared" si="7"/>
        <v>中信出版集团股份有限公司</v>
      </c>
      <c r="E103" s="8" t="str">
        <f>"I246.7/156"</f>
        <v>I246.7/156</v>
      </c>
    </row>
    <row r="104" spans="1:5" ht="21.95" customHeight="1">
      <c r="A104" s="6" t="str">
        <f>"978-7-02-012372-8"</f>
        <v>978-7-02-012372-8</v>
      </c>
      <c r="B104" s="7" t="str">
        <f>"芳华"</f>
        <v>芳华</v>
      </c>
      <c r="C104" s="8" t="str">
        <f>"严歌苓著"</f>
        <v>严歌苓著</v>
      </c>
      <c r="D104" s="8" t="str">
        <f>"人民文学出版社"</f>
        <v>人民文学出版社</v>
      </c>
      <c r="E104" s="8" t="str">
        <f>"I247.5/2905"</f>
        <v>I247.5/2905</v>
      </c>
    </row>
    <row r="105" spans="1:5" ht="21.95" customHeight="1">
      <c r="A105" s="6" t="str">
        <f>"978-7-5404-8577-1"</f>
        <v>978-7-5404-8577-1</v>
      </c>
      <c r="B105" s="7" t="str">
        <f>"美人书"</f>
        <v>美人书</v>
      </c>
      <c r="C105" s="8" t="str">
        <f>"赵俊辉著"</f>
        <v>赵俊辉著</v>
      </c>
      <c r="D105" s="8" t="str">
        <f>"湖南文艺出版社"</f>
        <v>湖南文艺出版社</v>
      </c>
      <c r="E105" s="8" t="str">
        <f>"I247.5/2906"</f>
        <v>I247.5/2906</v>
      </c>
    </row>
    <row r="106" spans="1:5" ht="21.95" customHeight="1">
      <c r="A106" s="6" t="str">
        <f>"978-7-5426-5969-9"</f>
        <v>978-7-5426-5969-9</v>
      </c>
      <c r="B106" s="7" t="str">
        <f>"找个背风向阳的草坡睡个觉"</f>
        <v>找个背风向阳的草坡睡个觉</v>
      </c>
      <c r="C106" s="8" t="str">
        <f>"张苹著"</f>
        <v>张苹著</v>
      </c>
      <c r="D106" s="8" t="str">
        <f t="shared" ref="D106:D109" si="8">"上海三联书店"</f>
        <v>上海三联书店</v>
      </c>
      <c r="E106" s="8" t="str">
        <f>"I247.5/2907"</f>
        <v>I247.5/2907</v>
      </c>
    </row>
    <row r="107" spans="1:5" ht="21.95" customHeight="1">
      <c r="A107" s="6" t="str">
        <f>"978-7-5426-6217-0"</f>
        <v>978-7-5426-6217-0</v>
      </c>
      <c r="B107" s="7" t="str">
        <f>"尾巴"</f>
        <v>尾巴</v>
      </c>
      <c r="C107" s="8" t="str">
        <f>"梁晓声著"</f>
        <v>梁晓声著</v>
      </c>
      <c r="D107" s="8" t="str">
        <f t="shared" si="8"/>
        <v>上海三联书店</v>
      </c>
      <c r="E107" s="8" t="str">
        <f>"I247.5/2908"</f>
        <v>I247.5/2908</v>
      </c>
    </row>
    <row r="108" spans="1:5" ht="21.95" customHeight="1">
      <c r="A108" s="6" t="str">
        <f>"978-7-5426-6218-7"</f>
        <v>978-7-5426-6218-7</v>
      </c>
      <c r="B108" s="7" t="str">
        <f>"浮城"</f>
        <v>浮城</v>
      </c>
      <c r="C108" s="8" t="str">
        <f>"梁晓声著"</f>
        <v>梁晓声著</v>
      </c>
      <c r="D108" s="8" t="str">
        <f t="shared" si="8"/>
        <v>上海三联书店</v>
      </c>
      <c r="E108" s="8" t="str">
        <f>"I247.5/2909"</f>
        <v>I247.5/2909</v>
      </c>
    </row>
    <row r="109" spans="1:5" ht="21.95" customHeight="1">
      <c r="A109" s="6" t="str">
        <f>"978-7-5426-6127-2"</f>
        <v>978-7-5426-6127-2</v>
      </c>
      <c r="B109" s="7" t="str">
        <f>"芒刺"</f>
        <v>芒刺</v>
      </c>
      <c r="C109" s="8" t="str">
        <f>"孙建伟著"</f>
        <v>孙建伟著</v>
      </c>
      <c r="D109" s="8" t="str">
        <f t="shared" si="8"/>
        <v>上海三联书店</v>
      </c>
      <c r="E109" s="8" t="str">
        <f>"I247.5/2910"</f>
        <v>I247.5/2910</v>
      </c>
    </row>
    <row r="110" spans="1:5" ht="21.95" customHeight="1">
      <c r="A110" s="6" t="str">
        <f>"978-7-5404-7833-9"</f>
        <v>978-7-5404-7833-9</v>
      </c>
      <c r="B110" s="7" t="str">
        <f>"长安十二时辰．下"</f>
        <v>长安十二时辰．下</v>
      </c>
      <c r="C110" s="8" t="str">
        <f>"马伯庸著"</f>
        <v>马伯庸著</v>
      </c>
      <c r="D110" s="8" t="str">
        <f>"湖南文艺出版社"</f>
        <v>湖南文艺出版社</v>
      </c>
      <c r="E110" s="8" t="str">
        <f>"I247.5/2911"</f>
        <v>I247.5/2911</v>
      </c>
    </row>
    <row r="111" spans="1:5" ht="21.95" customHeight="1">
      <c r="A111" s="6" t="str">
        <f>"978-7-5404-7831-5"</f>
        <v>978-7-5404-7831-5</v>
      </c>
      <c r="B111" s="7" t="str">
        <f>"长安十二时辰．上"</f>
        <v>长安十二时辰．上</v>
      </c>
      <c r="C111" s="8" t="str">
        <f>"马伯庸著"</f>
        <v>马伯庸著</v>
      </c>
      <c r="D111" s="8" t="str">
        <f>"湖南文艺出版社"</f>
        <v>湖南文艺出版社</v>
      </c>
      <c r="E111" s="8" t="str">
        <f>"I247.5/2912"</f>
        <v>I247.5/2912</v>
      </c>
    </row>
    <row r="112" spans="1:5" ht="21.95" customHeight="1">
      <c r="A112" s="6" t="str">
        <f>"978-7-221-13936-8"</f>
        <v>978-7-221-13936-8</v>
      </c>
      <c r="B112" s="7" t="str">
        <f>"北斗推理剧场"</f>
        <v>北斗推理剧场</v>
      </c>
      <c r="C112" s="8" t="str">
        <f>"天丛著"</f>
        <v>天丛著</v>
      </c>
      <c r="D112" s="8" t="str">
        <f>"贵州人民出版社"</f>
        <v>贵州人民出版社</v>
      </c>
      <c r="E112" s="8" t="str">
        <f>"I247.5/2913"</f>
        <v>I247.5/2913</v>
      </c>
    </row>
    <row r="113" spans="1:5" ht="21.95" customHeight="1">
      <c r="A113" s="6" t="str">
        <f>"978-7-5302-1559-3"</f>
        <v>978-7-5302-1559-3</v>
      </c>
      <c r="B113" s="7" t="str">
        <f>"活着"</f>
        <v>活着</v>
      </c>
      <c r="C113" s="8" t="str">
        <f>"余华著"</f>
        <v>余华著</v>
      </c>
      <c r="D113" s="8" t="str">
        <f>"北京十月文艺出版社"</f>
        <v>北京十月文艺出版社</v>
      </c>
      <c r="E113" s="8" t="str">
        <f>"I247.57/1197-2"</f>
        <v>I247.57/1197-2</v>
      </c>
    </row>
    <row r="114" spans="1:5" ht="21.95" customHeight="1">
      <c r="A114" s="6" t="str">
        <f>"978-7-5473-1171-4"</f>
        <v>978-7-5473-1171-4</v>
      </c>
      <c r="B114" s="7" t="str">
        <f>"南方有乔木"</f>
        <v>南方有乔木</v>
      </c>
      <c r="C114" s="8" t="str">
        <f>"小狐濡尾著"</f>
        <v>小狐濡尾著</v>
      </c>
      <c r="D114" s="8" t="str">
        <f>"东方出版中心"</f>
        <v>东方出版中心</v>
      </c>
      <c r="E114" s="8" t="str">
        <f>"I247.57/6828"</f>
        <v>I247.57/6828</v>
      </c>
    </row>
    <row r="115" spans="1:5" ht="21.95" customHeight="1">
      <c r="A115" s="6" t="str">
        <f>"978-7-5399-8601-2"</f>
        <v>978-7-5399-8601-2</v>
      </c>
      <c r="B115" s="7" t="str">
        <f>"致我们暖暖的小时光"</f>
        <v>致我们暖暖的小时光</v>
      </c>
      <c r="C115" s="8" t="str">
        <f>"赵乾乾著"</f>
        <v>赵乾乾著</v>
      </c>
      <c r="D115" s="8" t="str">
        <f>"江苏凤凰文艺出版社"</f>
        <v>江苏凤凰文艺出版社</v>
      </c>
      <c r="E115" s="8" t="str">
        <f>"I247.57/6829"</f>
        <v>I247.57/6829</v>
      </c>
    </row>
    <row r="116" spans="1:5" ht="21.95" customHeight="1">
      <c r="A116" s="6" t="str">
        <f>"978-7-5411-4347-2"</f>
        <v>978-7-5411-4347-2</v>
      </c>
      <c r="B116" s="7" t="str">
        <f>"中北路空无一人"</f>
        <v>中北路空无一人</v>
      </c>
      <c r="C116" s="8" t="str">
        <f>"方方著"</f>
        <v>方方著</v>
      </c>
      <c r="D116" s="8" t="str">
        <f>"四川文艺出版社"</f>
        <v>四川文艺出版社</v>
      </c>
      <c r="E116" s="8" t="str">
        <f>"I247.57/6830"</f>
        <v>I247.57/6830</v>
      </c>
    </row>
    <row r="117" spans="1:5" ht="21.95" customHeight="1">
      <c r="A117" s="6" t="str">
        <f>"978-7-5057-4333-5"</f>
        <v>978-7-5057-4333-5</v>
      </c>
      <c r="B117" s="7" t="str">
        <f>"归去来"</f>
        <v>归去来</v>
      </c>
      <c r="C117" s="8" t="str">
        <f t="shared" ref="C117:C119" si="9">"高璇， 任宝茹著"</f>
        <v>高璇， 任宝茹著</v>
      </c>
      <c r="D117" s="8" t="str">
        <f t="shared" ref="D117:D119" si="10">"中国友谊出版公司"</f>
        <v>中国友谊出版公司</v>
      </c>
      <c r="E117" s="8" t="str">
        <f>"I247.57/6831/1"</f>
        <v>I247.57/6831/1</v>
      </c>
    </row>
    <row r="118" spans="1:5" ht="21.95" customHeight="1">
      <c r="A118" s="6" t="str">
        <f>"978-7-5057-4371-7"</f>
        <v>978-7-5057-4371-7</v>
      </c>
      <c r="B118" s="7" t="str">
        <f>"归去来．2．2"</f>
        <v>归去来．2．2</v>
      </c>
      <c r="C118" s="8" t="str">
        <f t="shared" si="9"/>
        <v>高璇， 任宝茹著</v>
      </c>
      <c r="D118" s="8" t="str">
        <f t="shared" si="10"/>
        <v>中国友谊出版公司</v>
      </c>
      <c r="E118" s="8" t="str">
        <f>"I247.57/6831/2"</f>
        <v>I247.57/6831/2</v>
      </c>
    </row>
    <row r="119" spans="1:5" ht="21.95" customHeight="1">
      <c r="A119" s="6" t="str">
        <f>"978-7-5057-4370-0"</f>
        <v>978-7-5057-4370-0</v>
      </c>
      <c r="B119" s="7" t="str">
        <f>"归去来：大结局"</f>
        <v>归去来：大结局</v>
      </c>
      <c r="C119" s="8" t="str">
        <f t="shared" si="9"/>
        <v>高璇， 任宝茹著</v>
      </c>
      <c r="D119" s="8" t="str">
        <f t="shared" si="10"/>
        <v>中国友谊出版公司</v>
      </c>
      <c r="E119" s="8" t="str">
        <f>"I247.57/6831/3"</f>
        <v>I247.57/6831/3</v>
      </c>
    </row>
    <row r="120" spans="1:5" ht="21.95" customHeight="1">
      <c r="A120" s="6" t="str">
        <f>"978-7-5302-1689-7"</f>
        <v>978-7-5302-1689-7</v>
      </c>
      <c r="B120" s="7" t="str">
        <f>"好人宋没用"</f>
        <v>好人宋没用</v>
      </c>
      <c r="C120" s="8" t="str">
        <f>"任晓雯著"</f>
        <v>任晓雯著</v>
      </c>
      <c r="D120" s="8" t="str">
        <f>"北京十月文艺出版社"</f>
        <v>北京十月文艺出版社</v>
      </c>
      <c r="E120" s="8" t="str">
        <f>"I247.57/6832"</f>
        <v>I247.57/6832</v>
      </c>
    </row>
    <row r="121" spans="1:5" ht="21.95" customHeight="1">
      <c r="A121" s="6" t="str">
        <f>"978-7-5596-0894-9"</f>
        <v>978-7-5596-0894-9</v>
      </c>
      <c r="B121" s="7" t="str">
        <f>"我在未来等你"</f>
        <v>我在未来等你</v>
      </c>
      <c r="C121" s="8" t="str">
        <f>"刘同著"</f>
        <v>刘同著</v>
      </c>
      <c r="D121" s="8" t="str">
        <f>"北京联合出版公司"</f>
        <v>北京联合出版公司</v>
      </c>
      <c r="E121" s="8" t="str">
        <f>"I247.57/6833"</f>
        <v>I247.57/6833</v>
      </c>
    </row>
    <row r="122" spans="1:5" ht="21.95" customHeight="1">
      <c r="A122" s="6" t="str">
        <f>"978-7-5500-2682-7"</f>
        <v>978-7-5500-2682-7</v>
      </c>
      <c r="B122" s="7" t="str">
        <f>"乌云遇皎月．上"</f>
        <v>乌云遇皎月．上</v>
      </c>
      <c r="C122" s="8" t="str">
        <f>"丁墨著"</f>
        <v>丁墨著</v>
      </c>
      <c r="D122" s="8" t="str">
        <f>"百花洲文艺出版社"</f>
        <v>百花洲文艺出版社</v>
      </c>
      <c r="E122" s="8" t="str">
        <f>"I247.57/6834/1"</f>
        <v>I247.57/6834/1</v>
      </c>
    </row>
    <row r="123" spans="1:5" ht="21.95" customHeight="1">
      <c r="A123" s="6" t="str">
        <f>"978-7-5500-2682-7"</f>
        <v>978-7-5500-2682-7</v>
      </c>
      <c r="B123" s="7" t="str">
        <f>"乌云遇皎月．下"</f>
        <v>乌云遇皎月．下</v>
      </c>
      <c r="C123" s="8" t="str">
        <f>"丁墨著"</f>
        <v>丁墨著</v>
      </c>
      <c r="D123" s="8" t="str">
        <f>"百花洲文艺出版社"</f>
        <v>百花洲文艺出版社</v>
      </c>
      <c r="E123" s="8" t="str">
        <f>"I247.57/6834/2"</f>
        <v>I247.57/6834/2</v>
      </c>
    </row>
    <row r="124" spans="1:5" ht="21.95" customHeight="1">
      <c r="A124" s="6" t="str">
        <f>"978-7-5404-7772-1"</f>
        <v>978-7-5404-7772-1</v>
      </c>
      <c r="B124" s="7" t="str">
        <f>"艾约堡秘史"</f>
        <v>艾约堡秘史</v>
      </c>
      <c r="C124" s="8" t="str">
        <f>"张炜著"</f>
        <v>张炜著</v>
      </c>
      <c r="D124" s="8" t="str">
        <f>"湖南文艺出版社"</f>
        <v>湖南文艺出版社</v>
      </c>
      <c r="E124" s="8" t="str">
        <f>"I247.57/6835"</f>
        <v>I247.57/6835</v>
      </c>
    </row>
    <row r="125" spans="1:5" ht="21.95" customHeight="1">
      <c r="A125" s="6" t="str">
        <f>"978-7-5086-8351-5"</f>
        <v>978-7-5086-8351-5</v>
      </c>
      <c r="B125" s="7" t="str">
        <f>"三万英尺"</f>
        <v>三万英尺</v>
      </c>
      <c r="C125" s="8" t="str">
        <f>"马曳著"</f>
        <v>马曳著</v>
      </c>
      <c r="D125" s="8" t="str">
        <f>"中信出版集团股份有限公司"</f>
        <v>中信出版集团股份有限公司</v>
      </c>
      <c r="E125" s="8" t="str">
        <f>"I247.57/6836"</f>
        <v>I247.57/6836</v>
      </c>
    </row>
    <row r="126" spans="1:5" ht="21.95" customHeight="1">
      <c r="A126" s="6" t="str">
        <f>"978-7-5339-4536-7"</f>
        <v>978-7-5339-4536-7</v>
      </c>
      <c r="B126" s="7" t="str">
        <f>"结爱．犀燃烛照．上"</f>
        <v>结爱．犀燃烛照．上</v>
      </c>
      <c r="C126" s="8" t="str">
        <f t="shared" ref="C126:C129" si="11">"施定柔著"</f>
        <v>施定柔著</v>
      </c>
      <c r="D126" s="8" t="str">
        <f t="shared" ref="D126:D129" si="12">"浙江文艺出版社"</f>
        <v>浙江文艺出版社</v>
      </c>
      <c r="E126" s="8" t="str">
        <f>"I247.57/6837/1"</f>
        <v>I247.57/6837/1</v>
      </c>
    </row>
    <row r="127" spans="1:5" ht="21.95" customHeight="1">
      <c r="A127" s="6" t="str">
        <f>"978-7-5339-4536-7"</f>
        <v>978-7-5339-4536-7</v>
      </c>
      <c r="B127" s="7" t="str">
        <f>"结爱．犀燃烛照．下"</f>
        <v>结爱．犀燃烛照．下</v>
      </c>
      <c r="C127" s="8" t="str">
        <f t="shared" si="11"/>
        <v>施定柔著</v>
      </c>
      <c r="D127" s="8" t="str">
        <f t="shared" si="12"/>
        <v>浙江文艺出版社</v>
      </c>
      <c r="E127" s="8" t="str">
        <f>"I247.57/6837/2"</f>
        <v>I247.57/6837/2</v>
      </c>
    </row>
    <row r="128" spans="1:5" ht="21.95" customHeight="1">
      <c r="A128" s="6" t="str">
        <f>"978-7-5339-4492-6"</f>
        <v>978-7-5339-4492-6</v>
      </c>
      <c r="B128" s="7" t="str">
        <f>"结爱：异客逢欢．上"</f>
        <v>结爱：异客逢欢．上</v>
      </c>
      <c r="C128" s="8" t="str">
        <f t="shared" si="11"/>
        <v>施定柔著</v>
      </c>
      <c r="D128" s="8" t="str">
        <f t="shared" si="12"/>
        <v>浙江文艺出版社</v>
      </c>
      <c r="E128" s="8" t="str">
        <f>"I247.57/6838/1"</f>
        <v>I247.57/6838/1</v>
      </c>
    </row>
    <row r="129" spans="1:5" ht="21.95" customHeight="1">
      <c r="A129" s="6" t="str">
        <f>"978-7-5339-4492-6"</f>
        <v>978-7-5339-4492-6</v>
      </c>
      <c r="B129" s="7" t="str">
        <f>"结爱：异客逢欢．下"</f>
        <v>结爱：异客逢欢．下</v>
      </c>
      <c r="C129" s="8" t="str">
        <f t="shared" si="11"/>
        <v>施定柔著</v>
      </c>
      <c r="D129" s="8" t="str">
        <f t="shared" si="12"/>
        <v>浙江文艺出版社</v>
      </c>
      <c r="E129" s="8" t="str">
        <f>"I247.57/6838/2"</f>
        <v>I247.57/6838/2</v>
      </c>
    </row>
    <row r="130" spans="1:5" ht="21.95" customHeight="1">
      <c r="A130" s="6" t="str">
        <f>"978-7-5086-7183-3"</f>
        <v>978-7-5086-7183-3</v>
      </c>
      <c r="B130" s="7" t="str">
        <f>"租界"</f>
        <v>租界</v>
      </c>
      <c r="C130" s="8" t="str">
        <f>"小白著"</f>
        <v>小白著</v>
      </c>
      <c r="D130" s="8" t="str">
        <f>"中信出版集团股份有限公司"</f>
        <v>中信出版集团股份有限公司</v>
      </c>
      <c r="E130" s="8" t="str">
        <f>"I247.57/6839"</f>
        <v>I247.57/6839</v>
      </c>
    </row>
    <row r="131" spans="1:5" ht="21.95" customHeight="1">
      <c r="A131" s="6" t="str">
        <f>"978-7-5321-4800-4"</f>
        <v>978-7-5321-4800-4</v>
      </c>
      <c r="B131" s="7" t="str">
        <f>"繁花"</f>
        <v>繁花</v>
      </c>
      <c r="C131" s="8" t="str">
        <f>"金宇澄著"</f>
        <v>金宇澄著</v>
      </c>
      <c r="D131" s="8" t="str">
        <f>"上海文艺出版社"</f>
        <v>上海文艺出版社</v>
      </c>
      <c r="E131" s="8" t="str">
        <f>"I247.57/6840=2D"</f>
        <v>I247.57/6840=2D</v>
      </c>
    </row>
    <row r="132" spans="1:5" ht="21.95" customHeight="1">
      <c r="A132" s="6" t="str">
        <f>"978-7-5063-9937-1"</f>
        <v>978-7-5063-9937-1</v>
      </c>
      <c r="B132" s="7" t="str">
        <f>"山本"</f>
        <v>山本</v>
      </c>
      <c r="C132" s="8" t="str">
        <f>"贾平凹著"</f>
        <v>贾平凹著</v>
      </c>
      <c r="D132" s="8" t="str">
        <f>"作家出版社"</f>
        <v>作家出版社</v>
      </c>
      <c r="E132" s="8" t="str">
        <f>"I247.57/6841"</f>
        <v>I247.57/6841</v>
      </c>
    </row>
    <row r="133" spans="1:5" ht="21.95" customHeight="1">
      <c r="A133" s="6" t="str">
        <f>"978-7-5404-6777-7"</f>
        <v>978-7-5404-6777-7</v>
      </c>
      <c r="B133" s="7" t="str">
        <f>"花千骨．上"</f>
        <v>花千骨．上</v>
      </c>
      <c r="C133" s="8" t="str">
        <f>"果果著"</f>
        <v>果果著</v>
      </c>
      <c r="D133" s="8" t="str">
        <f>"湖南文艺出版社"</f>
        <v>湖南文艺出版社</v>
      </c>
      <c r="E133" s="8" t="str">
        <f>"I247.57/6842/1"</f>
        <v>I247.57/6842/1</v>
      </c>
    </row>
    <row r="134" spans="1:5" ht="21.95" customHeight="1">
      <c r="A134" s="6" t="str">
        <f>"978-7-5404-6777-7"</f>
        <v>978-7-5404-6777-7</v>
      </c>
      <c r="B134" s="7" t="str">
        <f>"花千骨．下"</f>
        <v>花千骨．下</v>
      </c>
      <c r="C134" s="8" t="str">
        <f>"果果著"</f>
        <v>果果著</v>
      </c>
      <c r="D134" s="8" t="str">
        <f>"湖南文艺出版社"</f>
        <v>湖南文艺出版社</v>
      </c>
      <c r="E134" s="8" t="str">
        <f>"I247.57/6842/2"</f>
        <v>I247.57/6842/2</v>
      </c>
    </row>
    <row r="135" spans="1:5" ht="21.95" customHeight="1">
      <c r="A135" s="6" t="str">
        <f>"978-7-5407-8388-4"</f>
        <v>978-7-5407-8388-4</v>
      </c>
      <c r="B135" s="7" t="str">
        <f>"溺水者"</f>
        <v>溺水者</v>
      </c>
      <c r="C135" s="8" t="str">
        <f>"赵兰振著"</f>
        <v>赵兰振著</v>
      </c>
      <c r="D135" s="8" t="str">
        <f>"漓江出版社"</f>
        <v>漓江出版社</v>
      </c>
      <c r="E135" s="8" t="str">
        <f>"I247.57/6843"</f>
        <v>I247.57/6843</v>
      </c>
    </row>
    <row r="136" spans="1:5" ht="21.95" customHeight="1">
      <c r="A136" s="6" t="str">
        <f>"978-7-5086-8312-6"</f>
        <v>978-7-5086-8312-6</v>
      </c>
      <c r="B136" s="7" t="str">
        <f>"二择"</f>
        <v>二择</v>
      </c>
      <c r="C136" s="8" t="str">
        <f>"宁迦著"</f>
        <v>宁迦著</v>
      </c>
      <c r="D136" s="8" t="str">
        <f>"中信出版集团股份有限公司"</f>
        <v>中信出版集团股份有限公司</v>
      </c>
      <c r="E136" s="8" t="str">
        <f>"I247.57/6844"</f>
        <v>I247.57/6844</v>
      </c>
    </row>
    <row r="137" spans="1:5" ht="21.95" customHeight="1">
      <c r="A137" s="6" t="str">
        <f>"978-7-108-06143-0"</f>
        <v>978-7-108-06143-0</v>
      </c>
      <c r="B137" s="7" t="str">
        <f>"寂寞的伏兵"</f>
        <v>寂寞的伏兵</v>
      </c>
      <c r="C137" s="8" t="str">
        <f>"夏笳编"</f>
        <v>夏笳编</v>
      </c>
      <c r="D137" s="8" t="str">
        <f>"三联书店"</f>
        <v>三联书店</v>
      </c>
      <c r="E137" s="8" t="str">
        <f>"I247.7/1254"</f>
        <v>I247.7/1254</v>
      </c>
    </row>
    <row r="138" spans="1:5" ht="21.95" customHeight="1">
      <c r="A138" s="6" t="str">
        <f>"978-7-5086-8472-7"</f>
        <v>978-7-5086-8472-7</v>
      </c>
      <c r="B138" s="7" t="str">
        <f>"搭子"</f>
        <v>搭子</v>
      </c>
      <c r="C138" s="8" t="str">
        <f>"张忌著"</f>
        <v>张忌著</v>
      </c>
      <c r="D138" s="8" t="str">
        <f t="shared" ref="D138:D140" si="13">"中信出版集团股份有限公司"</f>
        <v>中信出版集团股份有限公司</v>
      </c>
      <c r="E138" s="8" t="str">
        <f>"I247.7/1255"</f>
        <v>I247.7/1255</v>
      </c>
    </row>
    <row r="139" spans="1:5" ht="21.95" customHeight="1">
      <c r="A139" s="6" t="str">
        <f>"978-7-5086-7303-5"</f>
        <v>978-7-5086-7303-5</v>
      </c>
      <c r="B139" s="7" t="str">
        <f>"丙申故事集"</f>
        <v>丙申故事集</v>
      </c>
      <c r="C139" s="8" t="str">
        <f>"弋舟著"</f>
        <v>弋舟著</v>
      </c>
      <c r="D139" s="8" t="str">
        <f t="shared" si="13"/>
        <v>中信出版集团股份有限公司</v>
      </c>
      <c r="E139" s="8" t="str">
        <f>"I247.7/1256"</f>
        <v>I247.7/1256</v>
      </c>
    </row>
    <row r="140" spans="1:5" ht="21.95" customHeight="1">
      <c r="A140" s="6" t="str">
        <f>"978-7-5086-8224-2"</f>
        <v>978-7-5086-8224-2</v>
      </c>
      <c r="B140" s="7" t="str">
        <f>"性盲症患者的爱情"</f>
        <v>性盲症患者的爱情</v>
      </c>
      <c r="C140" s="8" t="str">
        <f>"张天翼著"</f>
        <v>张天翼著</v>
      </c>
      <c r="D140" s="8" t="str">
        <f t="shared" si="13"/>
        <v>中信出版集团股份有限公司</v>
      </c>
      <c r="E140" s="8" t="str">
        <f>"I247.7/1257"</f>
        <v>I247.7/1257</v>
      </c>
    </row>
    <row r="141" spans="1:5" ht="21.95" customHeight="1">
      <c r="A141" s="6" t="str">
        <f>"978-7-5354-8674-5"</f>
        <v>978-7-5354-8674-5</v>
      </c>
      <c r="B141" s="7" t="str">
        <f>"一地鸡毛"</f>
        <v>一地鸡毛</v>
      </c>
      <c r="C141" s="8" t="str">
        <f>"刘震云著"</f>
        <v>刘震云著</v>
      </c>
      <c r="D141" s="8" t="str">
        <f>"长江文艺出版社"</f>
        <v>长江文艺出版社</v>
      </c>
      <c r="E141" s="8" t="str">
        <f>"I247.7/1258"</f>
        <v>I247.7/1258</v>
      </c>
    </row>
    <row r="142" spans="1:5" ht="21.95" customHeight="1">
      <c r="A142" s="6" t="str">
        <f>"978-7-5561-1453-5"</f>
        <v>978-7-5561-1453-5</v>
      </c>
      <c r="B142" s="7" t="str">
        <f>"让我留在你身边"</f>
        <v>让我留在你身边</v>
      </c>
      <c r="C142" s="8" t="str">
        <f>"张嘉佳著"</f>
        <v>张嘉佳著</v>
      </c>
      <c r="D142" s="8" t="str">
        <f>"湖南人民出版社"</f>
        <v>湖南人民出版社</v>
      </c>
      <c r="E142" s="8" t="str">
        <f>"I247.81/26"</f>
        <v>I247.81/26</v>
      </c>
    </row>
    <row r="143" spans="1:5" ht="21.95" customHeight="1">
      <c r="A143" s="6" t="str">
        <f>"978-7-5411-5044-9"</f>
        <v>978-7-5411-5044-9</v>
      </c>
      <c r="B143" s="7" t="str">
        <f>"你那么懂事， 一定很辛苦吧"</f>
        <v>你那么懂事， 一定很辛苦吧</v>
      </c>
      <c r="C143" s="8" t="str">
        <f>"阿莫学长著"</f>
        <v>阿莫学长著</v>
      </c>
      <c r="D143" s="8" t="str">
        <f>"四川文艺出版社"</f>
        <v>四川文艺出版社</v>
      </c>
      <c r="E143" s="8" t="str">
        <f>"I247.81/27"</f>
        <v>I247.81/27</v>
      </c>
    </row>
    <row r="144" spans="1:5" ht="36" customHeight="1">
      <c r="A144" s="6" t="str">
        <f>"978-7-5426-6110-4"</f>
        <v>978-7-5426-6110-4</v>
      </c>
      <c r="B144" s="7" t="str">
        <f>"跨跃：上海企业在海外大型调查纪实．Ⅱ：an overall survey on overseas operations of Shanghai enterprises．Ⅱ"</f>
        <v>跨跃：上海企业在海外大型调查纪实．Ⅱ：an overall survey on overseas operations of Shanghai enterprises．Ⅱ</v>
      </c>
      <c r="C144" s="8" t="str">
        <f>"《跨跃》编委会编著"</f>
        <v>《跨跃》编委会编著</v>
      </c>
      <c r="D144" s="8" t="str">
        <f>"上海三联书店"</f>
        <v>上海三联书店</v>
      </c>
      <c r="E144" s="8" t="str">
        <f>"I25/339"</f>
        <v>I25/339</v>
      </c>
    </row>
    <row r="145" spans="1:5" ht="21.95" customHeight="1">
      <c r="A145" s="6" t="str">
        <f>"978-7-5426-6161-6"</f>
        <v>978-7-5426-6161-6</v>
      </c>
      <c r="B145" s="7" t="str">
        <f>"我的美国表姑：“圆房顶”下的今人与往事"</f>
        <v>我的美国表姑：“圆房顶”下的今人与往事</v>
      </c>
      <c r="C145" s="8" t="str">
        <f>"赵明和著"</f>
        <v>赵明和著</v>
      </c>
      <c r="D145" s="8" t="str">
        <f>"上海三联书店"</f>
        <v>上海三联书店</v>
      </c>
      <c r="E145" s="8" t="str">
        <f>"I25/340"</f>
        <v>I25/340</v>
      </c>
    </row>
    <row r="146" spans="1:5" ht="21.95" customHeight="1">
      <c r="A146" s="6" t="str">
        <f>"978-7-212-09573-4"</f>
        <v>978-7-212-09573-4</v>
      </c>
      <c r="B146" s="7" t="str">
        <f>"试飞英雄"</f>
        <v>试飞英雄</v>
      </c>
      <c r="C146" s="8" t="str">
        <f>"张子影著"</f>
        <v>张子影著</v>
      </c>
      <c r="D146" s="8" t="str">
        <f>"安徽人民出版社"</f>
        <v>安徽人民出版社</v>
      </c>
      <c r="E146" s="8" t="str">
        <f>"I25/341"</f>
        <v>I25/341</v>
      </c>
    </row>
    <row r="147" spans="1:5" ht="21.95" customHeight="1">
      <c r="A147" s="6" t="str">
        <f>"978-7-5354-9572-3"</f>
        <v>978-7-5354-9572-3</v>
      </c>
      <c r="B147" s="7" t="str">
        <f>"姥姥语录"</f>
        <v>姥姥语录</v>
      </c>
      <c r="C147" s="8" t="str">
        <f>"倪萍著"</f>
        <v>倪萍著</v>
      </c>
      <c r="D147" s="8" t="str">
        <f>"长江文艺出版社"</f>
        <v>长江文艺出版社</v>
      </c>
      <c r="E147" s="8" t="str">
        <f>"I251/395"</f>
        <v>I251/395</v>
      </c>
    </row>
    <row r="148" spans="1:5" ht="21.95" customHeight="1">
      <c r="A148" s="6" t="str">
        <f>"978-7-5039-6097-0"</f>
        <v>978-7-5039-6097-0</v>
      </c>
      <c r="B148" s="7" t="str">
        <f>"一百个人的十年"</f>
        <v>一百个人的十年</v>
      </c>
      <c r="C148" s="8" t="str">
        <f>"冯骥才著"</f>
        <v>冯骥才著</v>
      </c>
      <c r="D148" s="8" t="str">
        <f>"文化艺术出版社"</f>
        <v>文化艺术出版社</v>
      </c>
      <c r="E148" s="8" t="str">
        <f>"I251/396"</f>
        <v>I251/396</v>
      </c>
    </row>
    <row r="149" spans="1:5" ht="21.95" customHeight="1">
      <c r="A149" s="6" t="str">
        <f>"978-7-5086-7643-2"</f>
        <v>978-7-5086-7643-2</v>
      </c>
      <c r="B149" s="7" t="str">
        <f>"中东死生门：巴以行走观察"</f>
        <v>中东死生门：巴以行走观察</v>
      </c>
      <c r="C149" s="8" t="str">
        <f>"周轶君著"</f>
        <v>周轶君著</v>
      </c>
      <c r="D149" s="8" t="str">
        <f>"中信出版集团股份有限公司"</f>
        <v>中信出版集团股份有限公司</v>
      </c>
      <c r="E149" s="8" t="str">
        <f>"I253.1/331"</f>
        <v>I253.1/331</v>
      </c>
    </row>
    <row r="150" spans="1:5" ht="21.95" customHeight="1">
      <c r="A150" s="6" t="str">
        <f>"978-7-108-05255-1"</f>
        <v>978-7-108-05255-1</v>
      </c>
      <c r="B150" s="7" t="str">
        <f>"弹在膛上：一个维和士兵的战地纪实"</f>
        <v>弹在膛上：一个维和士兵的战地纪实</v>
      </c>
      <c r="C150" s="8" t="str">
        <f>"杨华文著"</f>
        <v>杨华文著</v>
      </c>
      <c r="D150" s="8" t="str">
        <f>"三联书店"</f>
        <v>三联书店</v>
      </c>
      <c r="E150" s="8" t="str">
        <f>"I253.2/236"</f>
        <v>I253.2/236</v>
      </c>
    </row>
    <row r="151" spans="1:5" ht="21.95" customHeight="1">
      <c r="A151" s="6" t="str">
        <f>"978-7-5086-8579-3"</f>
        <v>978-7-5086-8579-3</v>
      </c>
      <c r="B151" s="7" t="str">
        <f>"政协智慧．2：新时代改革动力和经济图景"</f>
        <v>政协智慧．2：新时代改革动力和经济图景</v>
      </c>
      <c r="C151" s="8" t="str">
        <f>"主编周北川"</f>
        <v>主编周北川</v>
      </c>
      <c r="D151" s="8" t="str">
        <f>"中信出版集团股份有限公司"</f>
        <v>中信出版集团股份有限公司</v>
      </c>
      <c r="E151" s="8" t="str">
        <f>"I253.3/139"</f>
        <v>I253.3/139</v>
      </c>
    </row>
    <row r="152" spans="1:5" ht="21.95" customHeight="1">
      <c r="A152" s="6" t="str">
        <f>"978-7-5484-3773-4"</f>
        <v>978-7-5484-3773-4</v>
      </c>
      <c r="B152" s="7" t="str">
        <f>"徐志摩：人生过处，梦痕轻轻"</f>
        <v>徐志摩：人生过处，梦痕轻轻</v>
      </c>
      <c r="C152" s="8" t="str">
        <f>"王楠著"</f>
        <v>王楠著</v>
      </c>
      <c r="D152" s="8" t="str">
        <f>"哈尔滨出版社"</f>
        <v>哈尔滨出版社</v>
      </c>
      <c r="E152" s="8" t="str">
        <f>"I253.5/50"</f>
        <v>I253.5/50</v>
      </c>
    </row>
    <row r="153" spans="1:5" ht="21.95" customHeight="1">
      <c r="A153" s="6" t="str">
        <f>"978-7-5387-5144-4"</f>
        <v>978-7-5387-5144-4</v>
      </c>
      <c r="B153" s="7" t="str">
        <f>"大国担当：中国人民解放军援塞医疗队抗击埃博拉疫情纪实"</f>
        <v>大国担当：中国人民解放军援塞医疗队抗击埃博拉疫情纪实</v>
      </c>
      <c r="C153" s="8" t="str">
        <f>"王锦秋， 洪建国著"</f>
        <v>王锦秋， 洪建国著</v>
      </c>
      <c r="D153" s="8" t="str">
        <f>"时代文艺出版社"</f>
        <v>时代文艺出版社</v>
      </c>
      <c r="E153" s="8" t="str">
        <f>"I253.6/90"</f>
        <v>I253.6/90</v>
      </c>
    </row>
    <row r="154" spans="1:5" ht="21.95" customHeight="1">
      <c r="A154" s="6" t="str">
        <f>"978-7-5596-1789-7"</f>
        <v>978-7-5596-1789-7</v>
      </c>
      <c r="B154" s="7" t="str">
        <f>"我到新疆去"</f>
        <v>我到新疆去</v>
      </c>
      <c r="C154" s="8" t="str">
        <f>"库尔班江·赛买提作品"</f>
        <v>库尔班江·赛买提作品</v>
      </c>
      <c r="D154" s="8" t="str">
        <f>"北京联合出版公司"</f>
        <v>北京联合出版公司</v>
      </c>
      <c r="E154" s="8" t="str">
        <f>"I253.7/224"</f>
        <v>I253.7/224</v>
      </c>
    </row>
    <row r="155" spans="1:5" ht="21.95" customHeight="1">
      <c r="A155" s="6" t="str">
        <f>"978-7-5690-1288-0"</f>
        <v>978-7-5690-1288-0</v>
      </c>
      <c r="B155" s="7" t="str">
        <f>"汶川大地震十年祭：来自亲历者的口述"</f>
        <v>汶川大地震十年祭：来自亲历者的口述</v>
      </c>
      <c r="C155" s="8" t="str">
        <f>"刘吕红， 刘世龙主编"</f>
        <v>刘吕红， 刘世龙主编</v>
      </c>
      <c r="D155" s="8" t="str">
        <f>"四川大学出版社"</f>
        <v>四川大学出版社</v>
      </c>
      <c r="E155" s="8" t="str">
        <f>"I253.7/225"</f>
        <v>I253.7/225</v>
      </c>
    </row>
    <row r="156" spans="1:5" ht="21.95" customHeight="1">
      <c r="A156" s="6" t="str">
        <f>"978-7-5500-2166-2"</f>
        <v>978-7-5500-2166-2</v>
      </c>
      <c r="B156" s="7" t="str">
        <f>"城乡大裂变"</f>
        <v>城乡大裂变</v>
      </c>
      <c r="C156" s="8" t="str">
        <f>"杨豪著"</f>
        <v>杨豪著</v>
      </c>
      <c r="D156" s="8" t="str">
        <f>"百花洲文艺出版社"</f>
        <v>百花洲文艺出版社</v>
      </c>
      <c r="E156" s="8" t="str">
        <f>"I253.7/226"</f>
        <v>I253.7/226</v>
      </c>
    </row>
    <row r="157" spans="1:5" ht="21.95" customHeight="1">
      <c r="A157" s="6" t="str">
        <f>"978-7-5561-1780-2"</f>
        <v>978-7-5561-1780-2</v>
      </c>
      <c r="B157" s="7" t="str">
        <f>"乡村国是"</f>
        <v>乡村国是</v>
      </c>
      <c r="C157" s="8" t="str">
        <f>"纪红建著"</f>
        <v>纪红建著</v>
      </c>
      <c r="D157" s="8" t="str">
        <f>"湖南人民出版社"</f>
        <v>湖南人民出版社</v>
      </c>
      <c r="E157" s="8" t="str">
        <f>"I253.7/227"</f>
        <v>I253.7/227</v>
      </c>
    </row>
    <row r="158" spans="1:5" ht="21.95" customHeight="1">
      <c r="A158" s="6" t="str">
        <f>"978-7-5115-4723-1"</f>
        <v>978-7-5115-4723-1</v>
      </c>
      <c r="B158" s="7" t="str">
        <f>"薪火传家"</f>
        <v>薪火传家</v>
      </c>
      <c r="C158" s="8" t="str">
        <f>"郭万新著"</f>
        <v>郭万新著</v>
      </c>
      <c r="D158" s="8" t="str">
        <f>"人民日报出版社"</f>
        <v>人民日报出版社</v>
      </c>
      <c r="E158" s="8" t="str">
        <f>"I253.7/228"</f>
        <v>I253.7/228</v>
      </c>
    </row>
    <row r="159" spans="1:5" ht="21.95" customHeight="1">
      <c r="A159" s="6" t="str">
        <f>"978-7-108-06251-2"</f>
        <v>978-7-108-06251-2</v>
      </c>
      <c r="B159" s="7" t="str">
        <f>"幌马车之歌续曲"</f>
        <v>幌马车之歌续曲</v>
      </c>
      <c r="C159" s="8" t="str">
        <f>"蓝博洲"</f>
        <v>蓝博洲</v>
      </c>
      <c r="D159" s="8" t="str">
        <f t="shared" ref="D159:D162" si="14">"三联书店"</f>
        <v>三联书店</v>
      </c>
      <c r="E159" s="8" t="str">
        <f>"I253.8/5"</f>
        <v>I253.8/5</v>
      </c>
    </row>
    <row r="160" spans="1:5" ht="21.95" customHeight="1">
      <c r="A160" s="6" t="str">
        <f>"978-7-108-05207-0"</f>
        <v>978-7-108-05207-0</v>
      </c>
      <c r="B160" s="7" t="str">
        <f>"幌马车之歌"</f>
        <v>幌马车之歌</v>
      </c>
      <c r="C160" s="8" t="str">
        <f>"蓝博洲"</f>
        <v>蓝博洲</v>
      </c>
      <c r="D160" s="8" t="str">
        <f t="shared" si="14"/>
        <v>三联书店</v>
      </c>
      <c r="E160" s="8" t="str">
        <f>"I253.8/6"</f>
        <v>I253.8/6</v>
      </c>
    </row>
    <row r="161" spans="1:5" ht="21.95" customHeight="1">
      <c r="A161" s="6" t="str">
        <f>"978-7-108-05879-9"</f>
        <v>978-7-108-05879-9</v>
      </c>
      <c r="B161" s="7" t="str">
        <f>"MEMO2016：《三联生活周刊》的观察与态度"</f>
        <v>MEMO2016：《三联生活周刊》的观察与态度</v>
      </c>
      <c r="C161" s="8" t="str">
        <f>" "</f>
        <v xml:space="preserve"> </v>
      </c>
      <c r="D161" s="8" t="str">
        <f t="shared" si="14"/>
        <v>三联书店</v>
      </c>
      <c r="E161" s="8" t="str">
        <f>"I253/435/2016"</f>
        <v>I253/435/2016</v>
      </c>
    </row>
    <row r="162" spans="1:5" ht="21.95" customHeight="1">
      <c r="A162" s="6" t="str">
        <f>"978-7-108-06237-6"</f>
        <v>978-7-108-06237-6</v>
      </c>
      <c r="B162" s="7" t="str">
        <f>"MEMO 2017：《三联生活周刊》的观察与态度"</f>
        <v>MEMO 2017：《三联生活周刊》的观察与态度</v>
      </c>
      <c r="C162" s="8" t="str">
        <f>" "</f>
        <v xml:space="preserve"> </v>
      </c>
      <c r="D162" s="8" t="str">
        <f t="shared" si="14"/>
        <v>三联书店</v>
      </c>
      <c r="E162" s="8" t="str">
        <f>"I253/435/2017"</f>
        <v>I253/435/2017</v>
      </c>
    </row>
    <row r="163" spans="1:5" ht="21.95" customHeight="1">
      <c r="A163" s="6" t="str">
        <f>"978-7-5387-5516-9"</f>
        <v>978-7-5387-5516-9</v>
      </c>
      <c r="B163" s="7" t="str">
        <f>"心有大我 至诚报国：黄大年"</f>
        <v>心有大我 至诚报国：黄大年</v>
      </c>
      <c r="C163" s="8" t="str">
        <f>"吴晶，陈聪著"</f>
        <v>吴晶，陈聪著</v>
      </c>
      <c r="D163" s="8" t="str">
        <f>"时代文艺出版社"</f>
        <v>时代文艺出版社</v>
      </c>
      <c r="E163" s="8" t="str">
        <f>"I253/436"</f>
        <v>I253/436</v>
      </c>
    </row>
    <row r="164" spans="1:5" ht="21.95" customHeight="1">
      <c r="A164" s="6" t="str">
        <f>"978-7-5115-5135-1"</f>
        <v>978-7-5115-5135-1</v>
      </c>
      <c r="B164" s="7" t="str">
        <f>"媒体评说"</f>
        <v>媒体评说</v>
      </c>
      <c r="C164" s="8" t="str">
        <f>"王建珂著"</f>
        <v>王建珂著</v>
      </c>
      <c r="D164" s="8" t="str">
        <f>"人民日报出版社"</f>
        <v>人民日报出版社</v>
      </c>
      <c r="E164" s="8" t="str">
        <f>"I253/437"</f>
        <v>I253/437</v>
      </c>
    </row>
    <row r="165" spans="1:5" ht="21.95" customHeight="1">
      <c r="A165" s="6" t="str">
        <f>"978-7-5399-9200-6"</f>
        <v>978-7-5399-9200-6</v>
      </c>
      <c r="B165" s="7" t="str">
        <f>"若无相欠， 怎会相见：13对民国才情恋人的缱绻情书集"</f>
        <v>若无相欠， 怎会相见：13对民国才情恋人的缱绻情书集</v>
      </c>
      <c r="C165" s="8" t="str">
        <f>"桑妮著"</f>
        <v>桑妮著</v>
      </c>
      <c r="D165" s="8" t="str">
        <f>"江苏凤凰文艺出版社"</f>
        <v>江苏凤凰文艺出版社</v>
      </c>
      <c r="E165" s="8" t="str">
        <f>"I266.5/12"</f>
        <v>I266.5/12</v>
      </c>
    </row>
    <row r="166" spans="1:5" ht="21.95" customHeight="1">
      <c r="A166" s="6" t="str">
        <f>"978-7-5354-8152-8"</f>
        <v>978-7-5354-8152-8</v>
      </c>
      <c r="B166" s="7" t="str">
        <f>"湘行散记"</f>
        <v>湘行散记</v>
      </c>
      <c r="C166" s="8" t="str">
        <f>"沈从文著"</f>
        <v>沈从文著</v>
      </c>
      <c r="D166" s="8" t="str">
        <f>"长江文艺出版社"</f>
        <v>长江文艺出版社</v>
      </c>
      <c r="E166" s="8" t="str">
        <f>"I266/731"</f>
        <v>I266/731</v>
      </c>
    </row>
    <row r="167" spans="1:5" ht="21.95" customHeight="1">
      <c r="A167" s="6" t="str">
        <f>"978-7-5426-5967-5"</f>
        <v>978-7-5426-5967-5</v>
      </c>
      <c r="B167" s="7" t="str">
        <f>"雨天的书"</f>
        <v>雨天的书</v>
      </c>
      <c r="C167" s="8" t="str">
        <f>"周作人著"</f>
        <v>周作人著</v>
      </c>
      <c r="D167" s="8" t="str">
        <f>"上海三联书店"</f>
        <v>上海三联书店</v>
      </c>
      <c r="E167" s="8" t="str">
        <f>"I266/732"</f>
        <v>I266/732</v>
      </c>
    </row>
    <row r="168" spans="1:5" ht="21.95" customHeight="1">
      <c r="A168" s="6" t="str">
        <f>"978-7-5426-5966-8"</f>
        <v>978-7-5426-5966-8</v>
      </c>
      <c r="B168" s="7" t="str">
        <f>"自己的园地"</f>
        <v>自己的园地</v>
      </c>
      <c r="C168" s="8" t="str">
        <f>"周作人著"</f>
        <v>周作人著</v>
      </c>
      <c r="D168" s="8" t="str">
        <f>"上海三联书店"</f>
        <v>上海三联书店</v>
      </c>
      <c r="E168" s="8" t="str">
        <f>"I266/733"</f>
        <v>I266/733</v>
      </c>
    </row>
    <row r="169" spans="1:5" ht="21.95" customHeight="1">
      <c r="A169" s="6" t="str">
        <f>"978-7-5086-6875-8"</f>
        <v>978-7-5086-6875-8</v>
      </c>
      <c r="B169" s="7" t="str">
        <f>"记丁玲"</f>
        <v>记丁玲</v>
      </c>
      <c r="C169" s="8" t="str">
        <f>"沈从文著"</f>
        <v>沈从文著</v>
      </c>
      <c r="D169" s="8" t="str">
        <f>"中信出版集团股份有限公司"</f>
        <v>中信出版集团股份有限公司</v>
      </c>
      <c r="E169" s="8" t="str">
        <f>"I266/734"</f>
        <v>I266/734</v>
      </c>
    </row>
    <row r="170" spans="1:5" ht="21.95" customHeight="1">
      <c r="A170" s="6" t="str">
        <f>"978-7-5426-6100-5"</f>
        <v>978-7-5426-6100-5</v>
      </c>
      <c r="B170" s="7" t="str">
        <f>"看云集"</f>
        <v>看云集</v>
      </c>
      <c r="C170" s="8" t="str">
        <f>"周作人著"</f>
        <v>周作人著</v>
      </c>
      <c r="D170" s="8" t="str">
        <f>"上海三联书店"</f>
        <v>上海三联书店</v>
      </c>
      <c r="E170" s="8" t="str">
        <f>"I266/735"</f>
        <v>I266/735</v>
      </c>
    </row>
    <row r="171" spans="1:5" ht="21.95" customHeight="1">
      <c r="A171" s="6" t="str">
        <f>"978-7-5596-1814-6"</f>
        <v>978-7-5596-1814-6</v>
      </c>
      <c r="B171" s="7" t="str">
        <f>"顺从内心过一生：人生只有一次， 去做自己喜欢的事"</f>
        <v>顺从内心过一生：人生只有一次， 去做自己喜欢的事</v>
      </c>
      <c r="C171" s="8" t="str">
        <f>"梁实秋作品"</f>
        <v>梁实秋作品</v>
      </c>
      <c r="D171" s="8" t="str">
        <f>"北京联合出版公司"</f>
        <v>北京联合出版公司</v>
      </c>
      <c r="E171" s="8" t="str">
        <f>"I266/736"</f>
        <v>I266/736</v>
      </c>
    </row>
    <row r="172" spans="1:5" ht="21.95" customHeight="1">
      <c r="A172" s="6" t="str">
        <f>"978-7-5086-7145-1"</f>
        <v>978-7-5086-7145-1</v>
      </c>
      <c r="B172" s="7" t="str">
        <f>"友情集"</f>
        <v>友情集</v>
      </c>
      <c r="C172" s="8" t="str">
        <f>"沈从文著"</f>
        <v>沈从文著</v>
      </c>
      <c r="D172" s="8" t="str">
        <f>"中信出版集团股份有限公司"</f>
        <v>中信出版集团股份有限公司</v>
      </c>
      <c r="E172" s="8" t="str">
        <f>"I266/737"</f>
        <v>I266/737</v>
      </c>
    </row>
    <row r="173" spans="1:5" ht="21.95" customHeight="1">
      <c r="A173" s="6" t="str">
        <f>"978-7-218-11341-8"</f>
        <v>978-7-218-11341-8</v>
      </c>
      <c r="B173" s="7" t="str">
        <f>"来， 跟毛小孩聊天：动物沟通那些温暖的小事"</f>
        <v>来， 跟毛小孩聊天：动物沟通那些温暖的小事</v>
      </c>
      <c r="C173" s="8" t="str">
        <f>"裴惟信著"</f>
        <v>裴惟信著</v>
      </c>
      <c r="D173" s="8" t="str">
        <f>"广东人民出版社"</f>
        <v>广东人民出版社</v>
      </c>
      <c r="E173" s="8" t="str">
        <f>"I267.1/1499"</f>
        <v>I267.1/1499</v>
      </c>
    </row>
    <row r="174" spans="1:5" ht="21.95" customHeight="1">
      <c r="A174" s="6" t="str">
        <f>"978-7-5470-4539-8"</f>
        <v>978-7-5470-4539-8</v>
      </c>
      <c r="B174" s="7" t="str">
        <f>"刘火说诗画经史：风月原本两无功"</f>
        <v>刘火说诗画经史：风月原本两无功</v>
      </c>
      <c r="C174" s="8" t="str">
        <f>"刘火著"</f>
        <v>刘火著</v>
      </c>
      <c r="D174" s="8" t="str">
        <f>"万卷出版公司"</f>
        <v>万卷出版公司</v>
      </c>
      <c r="E174" s="8" t="str">
        <f>"I267.1/1500"</f>
        <v>I267.1/1500</v>
      </c>
    </row>
    <row r="175" spans="1:5" ht="21.95" customHeight="1">
      <c r="A175" s="6" t="str">
        <f>"978-7-208-14038-7"</f>
        <v>978-7-208-14038-7</v>
      </c>
      <c r="B175" s="7" t="str">
        <f>"美国印记"</f>
        <v>美国印记</v>
      </c>
      <c r="C175" s="8" t="str">
        <f>"俞杰明著"</f>
        <v>俞杰明著</v>
      </c>
      <c r="D175" s="8" t="str">
        <f>"上海人民出版社"</f>
        <v>上海人民出版社</v>
      </c>
      <c r="E175" s="8" t="str">
        <f>"I267.1/1501"</f>
        <v>I267.1/1501</v>
      </c>
    </row>
    <row r="176" spans="1:5" ht="21.95" customHeight="1">
      <c r="A176" s="6" t="str">
        <f>"978-7-108-05781-5"</f>
        <v>978-7-108-05781-5</v>
      </c>
      <c r="B176" s="7" t="str">
        <f>"随无涯之旅"</f>
        <v>随无涯之旅</v>
      </c>
      <c r="C176" s="8" t="str">
        <f>"周振鹤"</f>
        <v>周振鹤</v>
      </c>
      <c r="D176" s="8" t="str">
        <f t="shared" ref="D176:D179" si="15">"三联书店"</f>
        <v>三联书店</v>
      </c>
      <c r="E176" s="8" t="str">
        <f>"I267.1/1502"</f>
        <v>I267.1/1502</v>
      </c>
    </row>
    <row r="177" spans="1:5" ht="21.95" customHeight="1">
      <c r="A177" s="6" t="str">
        <f>"978-7-108-05785-3"</f>
        <v>978-7-108-05785-3</v>
      </c>
      <c r="B177" s="7" t="str">
        <f>"旧学新知集"</f>
        <v>旧学新知集</v>
      </c>
      <c r="C177" s="8" t="str">
        <f>"金克木"</f>
        <v>金克木</v>
      </c>
      <c r="D177" s="8" t="str">
        <f t="shared" si="15"/>
        <v>三联书店</v>
      </c>
      <c r="E177" s="8" t="str">
        <f>"I267.1/1503"</f>
        <v>I267.1/1503</v>
      </c>
    </row>
    <row r="178" spans="1:5" ht="21.95" customHeight="1">
      <c r="A178" s="6" t="str">
        <f>"978-7-108-06005-1"</f>
        <v>978-7-108-06005-1</v>
      </c>
      <c r="B178" s="7" t="str">
        <f>"行水看云"</f>
        <v>行水看云</v>
      </c>
      <c r="C178" s="8" t="str">
        <f>"李浩著"</f>
        <v>李浩著</v>
      </c>
      <c r="D178" s="8" t="str">
        <f t="shared" si="15"/>
        <v>三联书店</v>
      </c>
      <c r="E178" s="8" t="str">
        <f>"I267.1/1504=2D"</f>
        <v>I267.1/1504=2D</v>
      </c>
    </row>
    <row r="179" spans="1:5" ht="21.95" customHeight="1">
      <c r="A179" s="6" t="str">
        <f>"978-7-108-05955-0"</f>
        <v>978-7-108-05955-0</v>
      </c>
      <c r="B179" s="7" t="str">
        <f>"闲窗微信"</f>
        <v>闲窗微信</v>
      </c>
      <c r="C179" s="8" t="str">
        <f>"孙冰川"</f>
        <v>孙冰川</v>
      </c>
      <c r="D179" s="8" t="str">
        <f t="shared" si="15"/>
        <v>三联书店</v>
      </c>
      <c r="E179" s="8" t="str">
        <f>"I267.1/1505"</f>
        <v>I267.1/1505</v>
      </c>
    </row>
    <row r="180" spans="1:5" ht="21.95" customHeight="1">
      <c r="A180" s="6" t="str">
        <f>"978-7-5086-7706-4"</f>
        <v>978-7-5086-7706-4</v>
      </c>
      <c r="B180" s="7" t="str">
        <f>"走出中东：全球民主浪潮的见证与省思"</f>
        <v>走出中东：全球民主浪潮的见证与省思</v>
      </c>
      <c r="C180" s="8" t="str">
        <f>"周轶君著"</f>
        <v>周轶君著</v>
      </c>
      <c r="D180" s="8" t="str">
        <f>"中信出版集团股份有限公司"</f>
        <v>中信出版集团股份有限公司</v>
      </c>
      <c r="E180" s="8" t="str">
        <f>"I267.1/1506"</f>
        <v>I267.1/1506</v>
      </c>
    </row>
    <row r="181" spans="1:5" ht="21.95" customHeight="1">
      <c r="A181" s="6" t="str">
        <f>"978-7-5110-3705-3"</f>
        <v>978-7-5110-3705-3</v>
      </c>
      <c r="B181" s="7" t="str">
        <f>"躺着读书"</f>
        <v>躺着读书</v>
      </c>
      <c r="C181" s="8" t="str">
        <f>"周立民著"</f>
        <v>周立民著</v>
      </c>
      <c r="D181" s="8" t="str">
        <f>"海豚出版社"</f>
        <v>海豚出版社</v>
      </c>
      <c r="E181" s="8" t="str">
        <f>"I267.1/1507"</f>
        <v>I267.1/1507</v>
      </c>
    </row>
    <row r="182" spans="1:5" ht="21.95" customHeight="1">
      <c r="A182" s="6" t="str">
        <f>"978-7-5086-7935-8"</f>
        <v>978-7-5086-7935-8</v>
      </c>
      <c r="B182" s="7" t="str">
        <f>"当喵星人有了门牌号"</f>
        <v>当喵星人有了门牌号</v>
      </c>
      <c r="C182" s="8" t="str">
        <f>"李青菜著"</f>
        <v>李青菜著</v>
      </c>
      <c r="D182" s="8" t="str">
        <f>"中信出版集团股份有限公司"</f>
        <v>中信出版集团股份有限公司</v>
      </c>
      <c r="E182" s="8" t="str">
        <f>"I267.1/1508"</f>
        <v>I267.1/1508</v>
      </c>
    </row>
    <row r="183" spans="1:5" ht="21.95" customHeight="1">
      <c r="A183" s="6" t="str">
        <f>"978-7-5086-7768-2"</f>
        <v>978-7-5086-7768-2</v>
      </c>
      <c r="B183" s="7" t="str">
        <f>"小小小生活"</f>
        <v>小小小生活</v>
      </c>
      <c r="C183" s="8" t="str">
        <f>"西树著"</f>
        <v>西树著</v>
      </c>
      <c r="D183" s="8" t="str">
        <f>"中信出版集团股份有限公司"</f>
        <v>中信出版集团股份有限公司</v>
      </c>
      <c r="E183" s="8" t="str">
        <f>"I267.1/1509"</f>
        <v>I267.1/1509</v>
      </c>
    </row>
    <row r="184" spans="1:5" ht="21.95" customHeight="1">
      <c r="A184" s="6" t="str">
        <f>"978-7-108-05840-9"</f>
        <v>978-7-108-05840-9</v>
      </c>
      <c r="B184" s="7" t="str">
        <f>"西南联大的背影"</f>
        <v>西南联大的背影</v>
      </c>
      <c r="C184" s="8" t="str">
        <f>"余斌著"</f>
        <v>余斌著</v>
      </c>
      <c r="D184" s="8" t="str">
        <f>"三联书店"</f>
        <v>三联书店</v>
      </c>
      <c r="E184" s="8" t="str">
        <f>"I267.1/1510"</f>
        <v>I267.1/1510</v>
      </c>
    </row>
    <row r="185" spans="1:5" ht="21.95" customHeight="1">
      <c r="A185" s="6" t="str">
        <f>"978-7-108-05953-6"</f>
        <v>978-7-108-05953-6</v>
      </c>
      <c r="B185" s="7" t="str">
        <f>"万念"</f>
        <v>万念</v>
      </c>
      <c r="C185" s="8" t="str">
        <f>"潘向黎著"</f>
        <v>潘向黎著</v>
      </c>
      <c r="D185" s="8" t="str">
        <f>"三联书店"</f>
        <v>三联书店</v>
      </c>
      <c r="E185" s="8" t="str">
        <f>"I267.1/1511"</f>
        <v>I267.1/1511</v>
      </c>
    </row>
    <row r="186" spans="1:5" ht="21.95" customHeight="1">
      <c r="A186" s="6" t="str">
        <f>"978-7-5086-7760-6"</f>
        <v>978-7-5086-7760-6</v>
      </c>
      <c r="B186" s="7" t="str">
        <f>"咏而归"</f>
        <v>咏而归</v>
      </c>
      <c r="C186" s="8" t="str">
        <f>"李敬泽著"</f>
        <v>李敬泽著</v>
      </c>
      <c r="D186" s="8" t="str">
        <f>"中信出版集团股份有限公司"</f>
        <v>中信出版集团股份有限公司</v>
      </c>
      <c r="E186" s="8" t="str">
        <f>"I267.1/1512"</f>
        <v>I267.1/1512</v>
      </c>
    </row>
    <row r="187" spans="1:5" ht="21.95" customHeight="1">
      <c r="A187" s="6" t="str">
        <f>"978-7-108-05594-1"</f>
        <v>978-7-108-05594-1</v>
      </c>
      <c r="B187" s="7" t="str">
        <f>"红烛罗帐"</f>
        <v>红烛罗帐</v>
      </c>
      <c r="C187" s="8" t="str">
        <f>"蔡澜著"</f>
        <v>蔡澜著</v>
      </c>
      <c r="D187" s="8" t="str">
        <f>"三联书店"</f>
        <v>三联书店</v>
      </c>
      <c r="E187" s="8" t="str">
        <f>"I267.1/1513"</f>
        <v>I267.1/1513</v>
      </c>
    </row>
    <row r="188" spans="1:5" ht="21.95" customHeight="1">
      <c r="A188" s="6" t="str">
        <f>"978-7-302-46551-5"</f>
        <v>978-7-302-46551-5</v>
      </c>
      <c r="B188" s="7" t="str">
        <f>"水木烙印"</f>
        <v>水木烙印</v>
      </c>
      <c r="C188" s="8" t="str">
        <f>"胡钰著"</f>
        <v>胡钰著</v>
      </c>
      <c r="D188" s="8" t="str">
        <f>"清华大学出版社"</f>
        <v>清华大学出版社</v>
      </c>
      <c r="E188" s="8" t="str">
        <f>"I267.1/1514"</f>
        <v>I267.1/1514</v>
      </c>
    </row>
    <row r="189" spans="1:5" ht="21.95" customHeight="1">
      <c r="A189" s="6" t="str">
        <f>"978-7-122-29500-2"</f>
        <v>978-7-122-29500-2</v>
      </c>
      <c r="B189" s="7" t="str">
        <f>"就要过得比你慢"</f>
        <v>就要过得比你慢</v>
      </c>
      <c r="C189" s="8" t="str">
        <f>"蔡立鹏著"</f>
        <v>蔡立鹏著</v>
      </c>
      <c r="D189" s="8" t="str">
        <f>"化学工业出版社"</f>
        <v>化学工业出版社</v>
      </c>
      <c r="E189" s="8" t="str">
        <f>"I267.1/1515"</f>
        <v>I267.1/1515</v>
      </c>
    </row>
    <row r="190" spans="1:5" ht="21.95" customHeight="1">
      <c r="A190" s="6" t="str">
        <f>"978-7-5339-5038-5"</f>
        <v>978-7-5339-5038-5</v>
      </c>
      <c r="B190" s="7" t="str">
        <f>"愿所有相遇， 都恰逢其时"</f>
        <v>愿所有相遇， 都恰逢其时</v>
      </c>
      <c r="C190" s="8" t="str">
        <f>"DTT著"</f>
        <v>DTT著</v>
      </c>
      <c r="D190" s="8" t="str">
        <f>"浙江文艺出版社"</f>
        <v>浙江文艺出版社</v>
      </c>
      <c r="E190" s="8" t="str">
        <f>"I267.1/1516"</f>
        <v>I267.1/1516</v>
      </c>
    </row>
    <row r="191" spans="1:5" ht="21.95" customHeight="1">
      <c r="A191" s="6" t="str">
        <f>"978-7-5086-7892-4"</f>
        <v>978-7-5086-7892-4</v>
      </c>
      <c r="B191" s="7" t="str">
        <f>"愉悦哲学"</f>
        <v>愉悦哲学</v>
      </c>
      <c r="C191" s="8" t="str">
        <f>"陈文茜著"</f>
        <v>陈文茜著</v>
      </c>
      <c r="D191" s="8" t="str">
        <f>"中信出版集团股份有限公司"</f>
        <v>中信出版集团股份有限公司</v>
      </c>
      <c r="E191" s="8" t="str">
        <f>"I267.1/1517"</f>
        <v>I267.1/1517</v>
      </c>
    </row>
    <row r="192" spans="1:5" ht="21.95" customHeight="1">
      <c r="A192" s="6" t="str">
        <f>"978-7-5426-6024-4"</f>
        <v>978-7-5426-6024-4</v>
      </c>
      <c r="B192" s="7" t="str">
        <f>"吴门烟花"</f>
        <v>吴门烟花</v>
      </c>
      <c r="C192" s="8" t="str">
        <f>"王稼句著"</f>
        <v>王稼句著</v>
      </c>
      <c r="D192" s="8" t="str">
        <f>"上海三联书店"</f>
        <v>上海三联书店</v>
      </c>
      <c r="E192" s="8" t="str">
        <f>"I267.1/1520"</f>
        <v>I267.1/1520</v>
      </c>
    </row>
    <row r="193" spans="1:5" ht="21.95" customHeight="1">
      <c r="A193" s="6" t="str">
        <f>"978-7-302-48005-1"</f>
        <v>978-7-302-48005-1</v>
      </c>
      <c r="B193" s="7" t="str">
        <f>"跨越中西的桥梁"</f>
        <v>跨越中西的桥梁</v>
      </c>
      <c r="C193" s="8" t="str">
        <f>"周燕平著"</f>
        <v>周燕平著</v>
      </c>
      <c r="D193" s="8" t="str">
        <f>"清华大学出版社"</f>
        <v>清华大学出版社</v>
      </c>
      <c r="E193" s="8" t="str">
        <f>"I267.1/1521"</f>
        <v>I267.1/1521</v>
      </c>
    </row>
    <row r="194" spans="1:5" ht="21.95" customHeight="1">
      <c r="A194" s="6" t="str">
        <f>"978-7-5507-2210-1"</f>
        <v>978-7-5507-2210-1</v>
      </c>
      <c r="B194" s="7" t="str">
        <f>"民国旧事"</f>
        <v>民国旧事</v>
      </c>
      <c r="C194" s="8" t="str">
        <f>"介子平著"</f>
        <v>介子平著</v>
      </c>
      <c r="D194" s="8" t="str">
        <f>"海天出版社"</f>
        <v>海天出版社</v>
      </c>
      <c r="E194" s="8" t="str">
        <f>"I267.1/1522"</f>
        <v>I267.1/1522</v>
      </c>
    </row>
    <row r="195" spans="1:5" ht="21.95" customHeight="1">
      <c r="A195" s="6" t="str">
        <f>"978-7-108-05611-5"</f>
        <v>978-7-108-05611-5</v>
      </c>
      <c r="B195" s="7" t="str">
        <f>"一缕余香"</f>
        <v>一缕余香</v>
      </c>
      <c r="C195" s="8" t="str">
        <f>"蔡澜著"</f>
        <v>蔡澜著</v>
      </c>
      <c r="D195" s="8" t="str">
        <f>"三联书店"</f>
        <v>三联书店</v>
      </c>
      <c r="E195" s="8" t="str">
        <f>"I267.1/1523"</f>
        <v>I267.1/1523</v>
      </c>
    </row>
    <row r="196" spans="1:5" ht="21.95" customHeight="1">
      <c r="A196" s="6" t="str">
        <f>"978-7-5426-6095-4"</f>
        <v>978-7-5426-6095-4</v>
      </c>
      <c r="B196" s="7" t="str">
        <f>"听谁的命运在高声呼喊"</f>
        <v>听谁的命运在高声呼喊</v>
      </c>
      <c r="C196" s="8" t="str">
        <f>"孔笑微著"</f>
        <v>孔笑微著</v>
      </c>
      <c r="D196" s="8" t="str">
        <f>"上海三联书店"</f>
        <v>上海三联书店</v>
      </c>
      <c r="E196" s="8" t="str">
        <f>"I267.1/1524"</f>
        <v>I267.1/1524</v>
      </c>
    </row>
    <row r="197" spans="1:5" ht="21.95" customHeight="1">
      <c r="A197" s="6" t="str">
        <f>"978-7-5426-6189-0"</f>
        <v>978-7-5426-6189-0</v>
      </c>
      <c r="B197" s="7" t="str">
        <f>"寻常百姓"</f>
        <v>寻常百姓</v>
      </c>
      <c r="C197" s="8" t="str">
        <f>"郭正一著"</f>
        <v>郭正一著</v>
      </c>
      <c r="D197" s="8" t="str">
        <f>"上海三联书店"</f>
        <v>上海三联书店</v>
      </c>
      <c r="E197" s="8" t="str">
        <f>"I267.1/1525"</f>
        <v>I267.1/1525</v>
      </c>
    </row>
    <row r="198" spans="1:5" ht="21.95" customHeight="1">
      <c r="A198" s="6" t="str">
        <f>"978-7-108-06008-2"</f>
        <v>978-7-108-06008-2</v>
      </c>
      <c r="B198" s="7" t="str">
        <f>"怅望古今"</f>
        <v>怅望古今</v>
      </c>
      <c r="C198" s="8" t="str">
        <f>"李浩著"</f>
        <v>李浩著</v>
      </c>
      <c r="D198" s="8" t="str">
        <f>"三联书店"</f>
        <v>三联书店</v>
      </c>
      <c r="E198" s="8" t="str">
        <f>"I267.1/1526=2D"</f>
        <v>I267.1/1526=2D</v>
      </c>
    </row>
    <row r="199" spans="1:5" ht="21.95" customHeight="1">
      <c r="A199" s="6" t="str">
        <f>"978-7-5086-7954-9"</f>
        <v>978-7-5086-7954-9</v>
      </c>
      <c r="B199" s="7" t="str">
        <f>"通往冈仁波齐的路"</f>
        <v>通往冈仁波齐的路</v>
      </c>
      <c r="C199" s="8" t="str">
        <f>"张杨著"</f>
        <v>张杨著</v>
      </c>
      <c r="D199" s="8" t="str">
        <f>"中信出版集团股份有限公司"</f>
        <v>中信出版集团股份有限公司</v>
      </c>
      <c r="E199" s="8" t="str">
        <f>"I267.1/1527"</f>
        <v>I267.1/1527</v>
      </c>
    </row>
    <row r="200" spans="1:5" ht="21.95" customHeight="1">
      <c r="A200" s="6" t="str">
        <f>"978-7-108-05835-5"</f>
        <v>978-7-108-05835-5</v>
      </c>
      <c r="B200" s="7" t="str">
        <f>"彀外谭屑：近五十年闻见摭忆"</f>
        <v>彀外谭屑：近五十年闻见摭忆</v>
      </c>
      <c r="C200" s="8" t="str">
        <f>"赵珩著"</f>
        <v>赵珩著</v>
      </c>
      <c r="D200" s="8" t="str">
        <f>"三联书店"</f>
        <v>三联书店</v>
      </c>
      <c r="E200" s="8" t="str">
        <f>"I267.1/1528"</f>
        <v>I267.1/1528</v>
      </c>
    </row>
    <row r="201" spans="1:5" ht="21.95" customHeight="1">
      <c r="A201" s="6" t="str">
        <f>"978-7-5426-6027-5"</f>
        <v>978-7-5426-6027-5</v>
      </c>
      <c r="B201" s="7" t="str">
        <f>"金陵女儿"</f>
        <v>金陵女儿</v>
      </c>
      <c r="C201" s="8" t="str">
        <f>"薛冰著"</f>
        <v>薛冰著</v>
      </c>
      <c r="D201" s="8" t="str">
        <f>"上海三联书店"</f>
        <v>上海三联书店</v>
      </c>
      <c r="E201" s="8" t="str">
        <f>"I267.1/1529"</f>
        <v>I267.1/1529</v>
      </c>
    </row>
    <row r="202" spans="1:5" ht="21.95" customHeight="1">
      <c r="A202" s="6" t="str">
        <f>"978-7-5426-5781-7"</f>
        <v>978-7-5426-5781-7</v>
      </c>
      <c r="B202" s="7" t="str">
        <f>"远去的回声：晚茶三杯"</f>
        <v>远去的回声：晚茶三杯</v>
      </c>
      <c r="C202" s="8" t="str">
        <f>"姚振发著"</f>
        <v>姚振发著</v>
      </c>
      <c r="D202" s="8" t="str">
        <f>"上海三联书店"</f>
        <v>上海三联书店</v>
      </c>
      <c r="E202" s="8" t="str">
        <f>"I267.1/1530"</f>
        <v>I267.1/1530</v>
      </c>
    </row>
    <row r="203" spans="1:5" ht="21.95" customHeight="1">
      <c r="A203" s="6" t="str">
        <f>"978-7-108-05851-5"</f>
        <v>978-7-108-05851-5</v>
      </c>
      <c r="B203" s="7" t="str">
        <f>"一个医生的悟语"</f>
        <v>一个医生的悟语</v>
      </c>
      <c r="C203" s="8" t="str">
        <f>"郎景和著"</f>
        <v>郎景和著</v>
      </c>
      <c r="D203" s="8" t="str">
        <f>"三联书店"</f>
        <v>三联书店</v>
      </c>
      <c r="E203" s="8" t="str">
        <f>"I267.1/1531"</f>
        <v>I267.1/1531</v>
      </c>
    </row>
    <row r="204" spans="1:5" ht="21.95" customHeight="1">
      <c r="A204" s="6" t="str">
        <f>"978-7-5378-5118-3"</f>
        <v>978-7-5378-5118-3</v>
      </c>
      <c r="B204" s="7" t="str">
        <f>"白石老人的虫子"</f>
        <v>白石老人的虫子</v>
      </c>
      <c r="C204" s="8" t="str">
        <f>"王祥夫著"</f>
        <v>王祥夫著</v>
      </c>
      <c r="D204" s="8" t="str">
        <f>"北岳文艺出版社"</f>
        <v>北岳文艺出版社</v>
      </c>
      <c r="E204" s="8" t="str">
        <f>"I267.1/1532"</f>
        <v>I267.1/1532</v>
      </c>
    </row>
    <row r="205" spans="1:5" ht="21.95" customHeight="1">
      <c r="A205" s="6" t="str">
        <f>"978-7-5404-8335-7"</f>
        <v>978-7-5404-8335-7</v>
      </c>
      <c r="B205" s="7" t="str">
        <f>"孤独远行"</f>
        <v>孤独远行</v>
      </c>
      <c r="C205" s="8" t="str">
        <f>"阿Sam著"</f>
        <v>阿Sam著</v>
      </c>
      <c r="D205" s="8" t="str">
        <f>"湖南文艺出版社"</f>
        <v>湖南文艺出版社</v>
      </c>
      <c r="E205" s="8" t="str">
        <f>"I267.1/1533"</f>
        <v>I267.1/1533</v>
      </c>
    </row>
    <row r="206" spans="1:5" ht="21.95" customHeight="1">
      <c r="A206" s="6" t="str">
        <f>"978-7-5411-4317-5"</f>
        <v>978-7-5411-4317-5</v>
      </c>
      <c r="B206" s="7" t="str">
        <f>"影的告白：廖伟棠电影随笔集"</f>
        <v>影的告白：廖伟棠电影随笔集</v>
      </c>
      <c r="C206" s="8" t="str">
        <f>"廖伟棠著"</f>
        <v>廖伟棠著</v>
      </c>
      <c r="D206" s="8" t="str">
        <f>"四川文艺出版社"</f>
        <v>四川文艺出版社</v>
      </c>
      <c r="E206" s="8" t="str">
        <f>"I267.1/1534"</f>
        <v>I267.1/1534</v>
      </c>
    </row>
    <row r="207" spans="1:5" ht="21.95" customHeight="1">
      <c r="A207" s="6" t="str">
        <f>"978-7-5086-8528-1"</f>
        <v>978-7-5086-8528-1</v>
      </c>
      <c r="B207" s="7" t="str">
        <f>"历史的温度．2：细节里的故事、彷徨和信念"</f>
        <v>历史的温度．2：细节里的故事、彷徨和信念</v>
      </c>
      <c r="C207" s="8" t="str">
        <f>"张玮著"</f>
        <v>张玮著</v>
      </c>
      <c r="D207" s="8" t="str">
        <f>"中信出版集团股份有限公司"</f>
        <v>中信出版集团股份有限公司</v>
      </c>
      <c r="E207" s="8" t="str">
        <f>"I267.1/1535"</f>
        <v>I267.1/1535</v>
      </c>
    </row>
    <row r="208" spans="1:5" ht="21.95" customHeight="1">
      <c r="A208" s="6" t="str">
        <f>"978-7-5086-7757-6"</f>
        <v>978-7-5086-7757-6</v>
      </c>
      <c r="B208" s="7" t="str">
        <f>"生活不在别处：年轻中国人的焦虑与狂欢"</f>
        <v>生活不在别处：年轻中国人的焦虑与狂欢</v>
      </c>
      <c r="C208" s="8" t="str">
        <f>"李梓新主编"</f>
        <v>李梓新主编</v>
      </c>
      <c r="D208" s="8" t="str">
        <f>"中信出版集团股份有限公司"</f>
        <v>中信出版集团股份有限公司</v>
      </c>
      <c r="E208" s="8" t="str">
        <f>"I267.1/1536"</f>
        <v>I267.1/1536</v>
      </c>
    </row>
    <row r="209" spans="1:5" ht="21.95" customHeight="1">
      <c r="A209" s="6" t="str">
        <f>"978-7-5426-5077-1"</f>
        <v>978-7-5426-5077-1</v>
      </c>
      <c r="B209" s="7" t="str">
        <f>"四明撷英：《海上宁波人》精选本"</f>
        <v>四明撷英：《海上宁波人》精选本</v>
      </c>
      <c r="C209" s="8" t="str">
        <f>"主编张载养， 余建华"</f>
        <v>主编张载养， 余建华</v>
      </c>
      <c r="D209" s="8" t="str">
        <f>"上海三联书店"</f>
        <v>上海三联书店</v>
      </c>
      <c r="E209" s="8" t="str">
        <f>"I267.1/1537"</f>
        <v>I267.1/1537</v>
      </c>
    </row>
    <row r="210" spans="1:5" ht="21.95" customHeight="1">
      <c r="A210" s="6" t="str">
        <f>"978-7-5426-5885-2"</f>
        <v>978-7-5426-5885-2</v>
      </c>
      <c r="B210" s="7" t="str">
        <f>"剡溪三笔"</f>
        <v>剡溪三笔</v>
      </c>
      <c r="C210" s="8" t="str">
        <f>"郑卫东著"</f>
        <v>郑卫东著</v>
      </c>
      <c r="D210" s="8" t="str">
        <f>"上海三联书店"</f>
        <v>上海三联书店</v>
      </c>
      <c r="E210" s="8" t="str">
        <f>"I267.1/1538"</f>
        <v>I267.1/1538</v>
      </c>
    </row>
    <row r="211" spans="1:5" ht="21.95" customHeight="1">
      <c r="A211" s="6" t="str">
        <f>"978-7-5086-7967-9"</f>
        <v>978-7-5086-7967-9</v>
      </c>
      <c r="B211" s="7" t="str">
        <f>"孟威村的雨季"</f>
        <v>孟威村的雨季</v>
      </c>
      <c r="C211" s="8" t="str">
        <f>"小鹏著"</f>
        <v>小鹏著</v>
      </c>
      <c r="D211" s="8" t="str">
        <f>"中信出版集团股份有限公司"</f>
        <v>中信出版集团股份有限公司</v>
      </c>
      <c r="E211" s="8" t="str">
        <f>"I267.4/688"</f>
        <v>I267.4/688</v>
      </c>
    </row>
    <row r="212" spans="1:5" ht="21.95" customHeight="1">
      <c r="A212" s="6" t="str">
        <f>"978-7-5086-8293-8"</f>
        <v>978-7-5086-8293-8</v>
      </c>
      <c r="B212" s="7" t="str">
        <f>"我不允许你独自旅行"</f>
        <v>我不允许你独自旅行</v>
      </c>
      <c r="C212" s="8" t="str">
        <f>"马嘉骊著"</f>
        <v>马嘉骊著</v>
      </c>
      <c r="D212" s="8" t="str">
        <f>"中信出版集团股份有限公司"</f>
        <v>中信出版集团股份有限公司</v>
      </c>
      <c r="E212" s="8" t="str">
        <f>"I267.4/689"</f>
        <v>I267.4/689</v>
      </c>
    </row>
    <row r="213" spans="1:5" ht="21.95" customHeight="1">
      <c r="A213" s="6" t="str">
        <f>"978-7-108-06003-7"</f>
        <v>978-7-108-06003-7</v>
      </c>
      <c r="B213" s="7" t="str">
        <f>"土摩托看世界：行走在世界之巅"</f>
        <v>土摩托看世界：行走在世界之巅</v>
      </c>
      <c r="C213" s="8" t="str">
        <f>"袁越著"</f>
        <v>袁越著</v>
      </c>
      <c r="D213" s="8" t="str">
        <f>"三联书店"</f>
        <v>三联书店</v>
      </c>
      <c r="E213" s="8" t="str">
        <f>"I267.4/690"</f>
        <v>I267.4/690</v>
      </c>
    </row>
    <row r="214" spans="1:5" ht="21.95" customHeight="1">
      <c r="A214" s="6" t="str">
        <f>"978-7-302-47592-7"</f>
        <v>978-7-302-47592-7</v>
      </c>
      <c r="B214" s="7" t="str">
        <f>"远方不远"</f>
        <v>远方不远</v>
      </c>
      <c r="C214" s="8" t="str">
        <f>"殷宏超著"</f>
        <v>殷宏超著</v>
      </c>
      <c r="D214" s="8" t="str">
        <f>"清华大学出版社"</f>
        <v>清华大学出版社</v>
      </c>
      <c r="E214" s="8" t="str">
        <f>"I267.4/691"</f>
        <v>I267.4/691</v>
      </c>
    </row>
    <row r="215" spans="1:5" ht="21.95" customHeight="1">
      <c r="A215" s="6" t="str">
        <f>"978-7-5032-6002-5"</f>
        <v>978-7-5032-6002-5</v>
      </c>
      <c r="B215" s="7" t="str">
        <f>"阅读与旅行：身体与灵魂诗意地栖居"</f>
        <v>阅读与旅行：身体与灵魂诗意地栖居</v>
      </c>
      <c r="C215" s="8" t="str">
        <f>"唐小六著"</f>
        <v>唐小六著</v>
      </c>
      <c r="D215" s="8" t="str">
        <f>"中国旅游出版社"</f>
        <v>中国旅游出版社</v>
      </c>
      <c r="E215" s="8" t="str">
        <f>"I267.4/692"</f>
        <v>I267.4/692</v>
      </c>
    </row>
    <row r="216" spans="1:5" ht="21.95" customHeight="1">
      <c r="A216" s="6" t="str">
        <f>"978-7-302-44190-8"</f>
        <v>978-7-302-44190-8</v>
      </c>
      <c r="B216" s="7" t="str">
        <f>"杜甫的五城：一位唐史学者的寻踪壮游"</f>
        <v>杜甫的五城：一位唐史学者的寻踪壮游</v>
      </c>
      <c r="C216" s="8" t="str">
        <f>"赖瑞和著"</f>
        <v>赖瑞和著</v>
      </c>
      <c r="D216" s="8" t="str">
        <f>"清华大学出版社"</f>
        <v>清华大学出版社</v>
      </c>
      <c r="E216" s="8" t="str">
        <f>"I267.4/693"</f>
        <v>I267.4/693</v>
      </c>
    </row>
    <row r="217" spans="1:5" ht="21.95" customHeight="1">
      <c r="A217" s="6" t="str">
        <f>"978-7-5145-1191-8"</f>
        <v>978-7-5145-1191-8</v>
      </c>
      <c r="B217" s="7" t="str">
        <f>"孤独是种大自在"</f>
        <v>孤独是种大自在</v>
      </c>
      <c r="C217" s="8" t="str">
        <f>"林清玄作品"</f>
        <v>林清玄作品</v>
      </c>
      <c r="D217" s="8" t="str">
        <f>"中国致公出版社"</f>
        <v>中国致公出版社</v>
      </c>
      <c r="E217" s="8" t="str">
        <f>"I267/3236"</f>
        <v>I267/3236</v>
      </c>
    </row>
    <row r="218" spans="1:5" ht="21.95" customHeight="1">
      <c r="A218" s="6" t="str">
        <f>"978-7-5502-8859-1"</f>
        <v>978-7-5502-8859-1</v>
      </c>
      <c r="B218" s="7" t="str">
        <f>"左手的缪斯：余光中原版散文集典藏本"</f>
        <v>左手的缪斯：余光中原版散文集典藏本</v>
      </c>
      <c r="C218" s="8" t="str">
        <f>"余光中著"</f>
        <v>余光中著</v>
      </c>
      <c r="D218" s="8" t="str">
        <f>"北京联合出版公司"</f>
        <v>北京联合出版公司</v>
      </c>
      <c r="E218" s="8" t="str">
        <f>"I267/3237"</f>
        <v>I267/3237</v>
      </c>
    </row>
    <row r="219" spans="1:5" ht="21.95" customHeight="1">
      <c r="A219" s="6" t="str">
        <f>"978-7-5086-8476-5"</f>
        <v>978-7-5086-8476-5</v>
      </c>
      <c r="B219" s="7" t="str">
        <f>"虚度：何为理想生活"</f>
        <v>虚度：何为理想生活</v>
      </c>
      <c r="C219" s="8" t="str">
        <f>"祝小兔， 宽宽主编"</f>
        <v>祝小兔， 宽宽主编</v>
      </c>
      <c r="D219" s="8" t="str">
        <f>"中信出版集团股份有限公司"</f>
        <v>中信出版集团股份有限公司</v>
      </c>
      <c r="E219" s="8" t="str">
        <f>"I267/3238"</f>
        <v>I267/3238</v>
      </c>
    </row>
    <row r="220" spans="1:5" ht="21.95" customHeight="1">
      <c r="A220" s="6" t="str">
        <f>"978-7-5378-5102-2"</f>
        <v>978-7-5378-5102-2</v>
      </c>
      <c r="B220" s="7" t="str">
        <f>"吃的品味"</f>
        <v>吃的品味</v>
      </c>
      <c r="C220" s="8" t="str">
        <f>"王祥夫著"</f>
        <v>王祥夫著</v>
      </c>
      <c r="D220" s="8" t="str">
        <f>"北岳文艺出版社"</f>
        <v>北岳文艺出版社</v>
      </c>
      <c r="E220" s="8" t="str">
        <f>"I267/3239"</f>
        <v>I267/3239</v>
      </c>
    </row>
    <row r="221" spans="1:5" ht="21.95" customHeight="1">
      <c r="A221" s="6" t="str">
        <f>"978-7-108-05746-4"</f>
        <v>978-7-108-05746-4</v>
      </c>
      <c r="B221" s="7" t="str">
        <f>"英诗的境界"</f>
        <v>英诗的境界</v>
      </c>
      <c r="C221" s="8" t="str">
        <f>"王佐良"</f>
        <v>王佐良</v>
      </c>
      <c r="D221" s="8" t="str">
        <f>"三联书店"</f>
        <v>三联书店</v>
      </c>
      <c r="E221" s="8" t="str">
        <f>"I267/3240"</f>
        <v>I267/3240</v>
      </c>
    </row>
    <row r="222" spans="1:5" ht="21.95" customHeight="1">
      <c r="A222" s="6" t="str">
        <f>"978-7-5113-7336-6"</f>
        <v>978-7-5113-7336-6</v>
      </c>
      <c r="B222" s="7" t="str">
        <f>"鹅鹅鹅"</f>
        <v>鹅鹅鹅</v>
      </c>
      <c r="C222" s="8" t="str">
        <f>"二冬著"</f>
        <v>二冬著</v>
      </c>
      <c r="D222" s="8" t="str">
        <f>"中国华侨出版社"</f>
        <v>中国华侨出版社</v>
      </c>
      <c r="E222" s="8" t="str">
        <f>"I267/3241"</f>
        <v>I267/3241</v>
      </c>
    </row>
    <row r="223" spans="1:5" ht="21.95" customHeight="1">
      <c r="A223" s="6" t="str">
        <f>"978-7-5086-8003-3"</f>
        <v>978-7-5086-8003-3</v>
      </c>
      <c r="B223" s="7" t="str">
        <f>"把世界搞好啊， 少年"</f>
        <v>把世界搞好啊， 少年</v>
      </c>
      <c r="C223" s="8" t="str">
        <f>"巩高峰著"</f>
        <v>巩高峰著</v>
      </c>
      <c r="D223" s="8" t="str">
        <f>"中信出版社"</f>
        <v>中信出版社</v>
      </c>
      <c r="E223" s="8" t="str">
        <f>"I267/3242"</f>
        <v>I267/3242</v>
      </c>
    </row>
    <row r="224" spans="1:5" ht="21.95" customHeight="1">
      <c r="A224" s="6" t="str">
        <f>"978-7-5086-6479-8"</f>
        <v>978-7-5086-6479-8</v>
      </c>
      <c r="B224" s="7" t="str">
        <f>"我想给你一个家"</f>
        <v>我想给你一个家</v>
      </c>
      <c r="C224" s="8" t="str">
        <f>"文昊天著"</f>
        <v>文昊天著</v>
      </c>
      <c r="D224" s="8" t="str">
        <f>"中信出版集团股份有限公司"</f>
        <v>中信出版集团股份有限公司</v>
      </c>
      <c r="E224" s="8" t="str">
        <f>"I267/3243"</f>
        <v>I267/3243</v>
      </c>
    </row>
    <row r="225" spans="1:5" ht="21.95" customHeight="1">
      <c r="A225" s="6" t="str">
        <f>"978-7-5360-8446-9"</f>
        <v>978-7-5360-8446-9</v>
      </c>
      <c r="B225" s="7" t="str">
        <f>"遥远的向日葵地"</f>
        <v>遥远的向日葵地</v>
      </c>
      <c r="C225" s="8" t="str">
        <f t="shared" ref="C225:C228" si="16">"李娟著"</f>
        <v>李娟著</v>
      </c>
      <c r="D225" s="8" t="str">
        <f>"花城出版社"</f>
        <v>花城出版社</v>
      </c>
      <c r="E225" s="8" t="str">
        <f>"I267/3244"</f>
        <v>I267/3244</v>
      </c>
    </row>
    <row r="226" spans="1:5" ht="21.95" customHeight="1">
      <c r="A226" s="6" t="str">
        <f>"978-7-5086-7408-7"</f>
        <v>978-7-5086-7408-7</v>
      </c>
      <c r="B226" s="7" t="str">
        <f>"深山夏牧场"</f>
        <v>深山夏牧场</v>
      </c>
      <c r="C226" s="8" t="str">
        <f t="shared" si="16"/>
        <v>李娟著</v>
      </c>
      <c r="D226" s="8" t="str">
        <f t="shared" ref="D226:D228" si="17">"中信出版集团股份有限公司"</f>
        <v>中信出版集团股份有限公司</v>
      </c>
      <c r="E226" s="8" t="str">
        <f>"I267/3245/1"</f>
        <v>I267/3245/1</v>
      </c>
    </row>
    <row r="227" spans="1:5" ht="21.95" customHeight="1">
      <c r="A227" s="6" t="str">
        <f>"978-7-5086-7358-5"</f>
        <v>978-7-5086-7358-5</v>
      </c>
      <c r="B227" s="7" t="str">
        <f>"春牧场"</f>
        <v>春牧场</v>
      </c>
      <c r="C227" s="8" t="str">
        <f t="shared" si="16"/>
        <v>李娟著</v>
      </c>
      <c r="D227" s="8" t="str">
        <f t="shared" si="17"/>
        <v>中信出版集团股份有限公司</v>
      </c>
      <c r="E227" s="8" t="str">
        <f>"I267/3245/2"</f>
        <v>I267/3245/2</v>
      </c>
    </row>
    <row r="228" spans="1:5" ht="21.95" customHeight="1">
      <c r="A228" s="6" t="str">
        <f>"978-7-5086-7359-2"</f>
        <v>978-7-5086-7359-2</v>
      </c>
      <c r="B228" s="7" t="str">
        <f>"前山夏牧场"</f>
        <v>前山夏牧场</v>
      </c>
      <c r="C228" s="8" t="str">
        <f t="shared" si="16"/>
        <v>李娟著</v>
      </c>
      <c r="D228" s="8" t="str">
        <f t="shared" si="17"/>
        <v>中信出版集团股份有限公司</v>
      </c>
      <c r="E228" s="8" t="str">
        <f>"I267/3245/3"</f>
        <v>I267/3245/3</v>
      </c>
    </row>
    <row r="229" spans="1:5" ht="21.95" customHeight="1">
      <c r="A229" s="6" t="str">
        <f>"978-7-108-05761-7"</f>
        <v>978-7-108-05761-7</v>
      </c>
      <c r="B229" s="7" t="str">
        <f>"日常日本"</f>
        <v>日常日本</v>
      </c>
      <c r="C229" s="8" t="str">
        <f>"房雪霏著"</f>
        <v>房雪霏著</v>
      </c>
      <c r="D229" s="8" t="str">
        <f>"三联书店"</f>
        <v>三联书店</v>
      </c>
      <c r="E229" s="8" t="str">
        <f>"I267/3246"</f>
        <v>I267/3246</v>
      </c>
    </row>
    <row r="230" spans="1:5" ht="21.95" customHeight="1">
      <c r="A230" s="6" t="str">
        <f>"978-7-302-47099-1"</f>
        <v>978-7-302-47099-1</v>
      </c>
      <c r="B230" s="7" t="str">
        <f>"倾听思想的花开：王雪瑛散文集"</f>
        <v>倾听思想的花开：王雪瑛散文集</v>
      </c>
      <c r="C230" s="8" t="str">
        <f>"王雪瑛著"</f>
        <v>王雪瑛著</v>
      </c>
      <c r="D230" s="8" t="str">
        <f>"清华大学出版社"</f>
        <v>清华大学出版社</v>
      </c>
      <c r="E230" s="8" t="str">
        <f>"I267/3247"</f>
        <v>I267/3247</v>
      </c>
    </row>
    <row r="231" spans="1:5" ht="34.5" customHeight="1">
      <c r="A231" s="6" t="str">
        <f>"978-7-5426-5964-4"</f>
        <v>978-7-5426-5964-4</v>
      </c>
      <c r="B231" s="7" t="str">
        <f>"心如直弦：一个青年学人的德国札记：Aufzeichnungen In Deutschland"</f>
        <v>心如直弦：一个青年学人的德国札记：Aufzeichnungen In Deutschland</v>
      </c>
      <c r="C231" s="8" t="str">
        <f>"张振华著"</f>
        <v>张振华著</v>
      </c>
      <c r="D231" s="8" t="str">
        <f>"上海三联书店"</f>
        <v>上海三联书店</v>
      </c>
      <c r="E231" s="8" t="str">
        <f>"I267/3248"</f>
        <v>I267/3248</v>
      </c>
    </row>
    <row r="232" spans="1:5" ht="21.95" customHeight="1">
      <c r="A232" s="6" t="str">
        <f>"978-7-108-05928-4"</f>
        <v>978-7-108-05928-4</v>
      </c>
      <c r="B232" s="7" t="str">
        <f>"如一"</f>
        <v>如一</v>
      </c>
      <c r="C232" s="8" t="str">
        <f>"潘向黎著"</f>
        <v>潘向黎著</v>
      </c>
      <c r="D232" s="8" t="str">
        <f>"生活·读书·新知三联书店"</f>
        <v>生活·读书·新知三联书店</v>
      </c>
      <c r="E232" s="8" t="str">
        <f>"I267/3249"</f>
        <v>I267/3249</v>
      </c>
    </row>
    <row r="233" spans="1:5" ht="21.95" customHeight="1">
      <c r="A233" s="6" t="str">
        <f>"978-7-108-05927-7"</f>
        <v>978-7-108-05927-7</v>
      </c>
      <c r="B233" s="7" t="str">
        <f>"沪乡记事"</f>
        <v>沪乡记事</v>
      </c>
      <c r="C233" s="8" t="str">
        <f>"沈月明著"</f>
        <v>沈月明著</v>
      </c>
      <c r="D233" s="8" t="str">
        <f>"三联书店"</f>
        <v>三联书店</v>
      </c>
      <c r="E233" s="8" t="str">
        <f>"I267/3250"</f>
        <v>I267/3250</v>
      </c>
    </row>
    <row r="234" spans="1:5" ht="21.95" customHeight="1">
      <c r="A234" s="6" t="str">
        <f>"978-7-108-05842-3"</f>
        <v>978-7-108-05842-3</v>
      </c>
      <c r="B234" s="7" t="str">
        <f>"我和译制配音的艺术缘：从不曾忘记的往事"</f>
        <v>我和译制配音的艺术缘：从不曾忘记的往事</v>
      </c>
      <c r="C234" s="8" t="str">
        <f>"刘广宁著"</f>
        <v>刘广宁著</v>
      </c>
      <c r="D234" s="8" t="str">
        <f>"三联书店"</f>
        <v>三联书店</v>
      </c>
      <c r="E234" s="8" t="str">
        <f>"I267/3251"</f>
        <v>I267/3251</v>
      </c>
    </row>
    <row r="235" spans="1:5" ht="21.95" customHeight="1">
      <c r="A235" s="6" t="str">
        <f>"978-7-5086-7966-2"</f>
        <v>978-7-5086-7966-2</v>
      </c>
      <c r="B235" s="7" t="str">
        <f>"所有流过的眼泪， 都会变成钻石"</f>
        <v>所有流过的眼泪， 都会变成钻石</v>
      </c>
      <c r="C235" s="8" t="str">
        <f>"柳翰雅著"</f>
        <v>柳翰雅著</v>
      </c>
      <c r="D235" s="8" t="str">
        <f>"中信出版集团股份有限公司"</f>
        <v>中信出版集团股份有限公司</v>
      </c>
      <c r="E235" s="8" t="str">
        <f>"I267/3252"</f>
        <v>I267/3252</v>
      </c>
    </row>
    <row r="236" spans="1:5" ht="21.95" customHeight="1">
      <c r="A236" s="6" t="str">
        <f>"978-7-5426-5916-3"</f>
        <v>978-7-5426-5916-3</v>
      </c>
      <c r="B236" s="7" t="str">
        <f>"凡人往事"</f>
        <v>凡人往事</v>
      </c>
      <c r="C236" s="8" t="str">
        <f>"孙志远著"</f>
        <v>孙志远著</v>
      </c>
      <c r="D236" s="8" t="str">
        <f>"上海三联书店"</f>
        <v>上海三联书店</v>
      </c>
      <c r="E236" s="8" t="str">
        <f>"I267/3253"</f>
        <v>I267/3253</v>
      </c>
    </row>
    <row r="237" spans="1:5" ht="21.95" customHeight="1">
      <c r="A237" s="6" t="str">
        <f>"978-7-5404-8393-7"</f>
        <v>978-7-5404-8393-7</v>
      </c>
      <c r="B237" s="7" t="str">
        <f>"请说我美"</f>
        <v>请说我美</v>
      </c>
      <c r="C237" s="8" t="str">
        <f>"琦殿作品"</f>
        <v>琦殿作品</v>
      </c>
      <c r="D237" s="8" t="str">
        <f>"湖南文艺出版社"</f>
        <v>湖南文艺出版社</v>
      </c>
      <c r="E237" s="8" t="str">
        <f>"I267/3254"</f>
        <v>I267/3254</v>
      </c>
    </row>
    <row r="238" spans="1:5" ht="21.95" customHeight="1">
      <c r="A238" s="6" t="str">
        <f>"978-7-5426-6094-7"</f>
        <v>978-7-5426-6094-7</v>
      </c>
      <c r="B238" s="7" t="str">
        <f>"学步集"</f>
        <v>学步集</v>
      </c>
      <c r="C238" s="8" t="str">
        <f>"朱根富著"</f>
        <v>朱根富著</v>
      </c>
      <c r="D238" s="8" t="str">
        <f>"上海三联书店"</f>
        <v>上海三联书店</v>
      </c>
      <c r="E238" s="8" t="str">
        <f>"I267/3255"</f>
        <v>I267/3255</v>
      </c>
    </row>
    <row r="239" spans="1:5" ht="21.95" customHeight="1">
      <c r="A239" s="6" t="str">
        <f>"978-7-108-06132-4"</f>
        <v>978-7-108-06132-4</v>
      </c>
      <c r="B239" s="7" t="str">
        <f>"再见故宫"</f>
        <v>再见故宫</v>
      </c>
      <c r="C239" s="8" t="str">
        <f>"安意如著"</f>
        <v>安意如著</v>
      </c>
      <c r="D239" s="8" t="str">
        <f>"三联书店"</f>
        <v>三联书店</v>
      </c>
      <c r="E239" s="8" t="str">
        <f>"I267/3256"</f>
        <v>I267/3256</v>
      </c>
    </row>
    <row r="240" spans="1:5" ht="21.95" customHeight="1">
      <c r="A240" s="6" t="str">
        <f>"978-7-5495-6541-2"</f>
        <v>978-7-5495-6541-2</v>
      </c>
      <c r="B240" s="7" t="str">
        <f>"耳朵借我"</f>
        <v>耳朵借我</v>
      </c>
      <c r="C240" s="8" t="str">
        <f>"马世芳著"</f>
        <v>马世芳著</v>
      </c>
      <c r="D240" s="8" t="str">
        <f>"广西师范大学出版社"</f>
        <v>广西师范大学出版社</v>
      </c>
      <c r="E240" s="8" t="str">
        <f>"I267/3257"</f>
        <v>I267/3257</v>
      </c>
    </row>
    <row r="241" spans="1:5" ht="21.95" customHeight="1">
      <c r="A241" s="6" t="str">
        <f>"978-7-5399-9645-5"</f>
        <v>978-7-5399-9645-5</v>
      </c>
      <c r="B241" s="7" t="str">
        <f>"吾乡食物"</f>
        <v>吾乡食物</v>
      </c>
      <c r="C241" s="8" t="str">
        <f>"刘旭东著"</f>
        <v>刘旭东著</v>
      </c>
      <c r="D241" s="8" t="str">
        <f>"江苏凤凰文艺出版社"</f>
        <v>江苏凤凰文艺出版社</v>
      </c>
      <c r="E241" s="8" t="str">
        <f>"I267/3258"</f>
        <v>I267/3258</v>
      </c>
    </row>
    <row r="242" spans="1:5" ht="21.95" customHeight="1">
      <c r="A242" s="6" t="str">
        <f>"978-7-301-27069-1"</f>
        <v>978-7-301-27069-1</v>
      </c>
      <c r="B242" s="7" t="str">
        <f>"笔花六照"</f>
        <v>笔花六照</v>
      </c>
      <c r="C242" s="8" t="str">
        <f>"梁羽生著"</f>
        <v>梁羽生著</v>
      </c>
      <c r="D242" s="8" t="str">
        <f>"北京大学出版社"</f>
        <v>北京大学出版社</v>
      </c>
      <c r="E242" s="8" t="str">
        <f>"I267/3259"</f>
        <v>I267/3259</v>
      </c>
    </row>
    <row r="243" spans="1:5" ht="21.95" customHeight="1">
      <c r="A243" s="6" t="str">
        <f>"978-7-5596-1425-4"</f>
        <v>978-7-5596-1425-4</v>
      </c>
      <c r="B243" s="7" t="str">
        <f>"孤独， 刚刚好"</f>
        <v>孤独， 刚刚好</v>
      </c>
      <c r="C243" s="8" t="str">
        <f>"张曼娟著"</f>
        <v>张曼娟著</v>
      </c>
      <c r="D243" s="8" t="str">
        <f>"北京联合出版公司"</f>
        <v>北京联合出版公司</v>
      </c>
      <c r="E243" s="8" t="str">
        <f>"I267/3260"</f>
        <v>I267/3260</v>
      </c>
    </row>
    <row r="244" spans="1:5" ht="21.95" customHeight="1">
      <c r="A244" s="6" t="str">
        <f t="shared" ref="A244:A246" si="18">"978-7-5153-5030-1"</f>
        <v>978-7-5153-5030-1</v>
      </c>
      <c r="B244" s="7" t="str">
        <f>"孩子和雁"</f>
        <v>孩子和雁</v>
      </c>
      <c r="C244" s="8" t="str">
        <f t="shared" ref="C244:C246" si="19">"梁晓声著"</f>
        <v>梁晓声著</v>
      </c>
      <c r="D244" s="8" t="str">
        <f t="shared" ref="D244:D246" si="20">"中国青年出版社"</f>
        <v>中国青年出版社</v>
      </c>
      <c r="E244" s="8" t="str">
        <f>"I267/3261"</f>
        <v>I267/3261</v>
      </c>
    </row>
    <row r="245" spans="1:5" ht="21.95" customHeight="1">
      <c r="A245" s="6" t="str">
        <f t="shared" si="18"/>
        <v>978-7-5153-5030-1</v>
      </c>
      <c r="B245" s="7" t="str">
        <f>"我的父亲母亲"</f>
        <v>我的父亲母亲</v>
      </c>
      <c r="C245" s="8" t="str">
        <f t="shared" si="19"/>
        <v>梁晓声著</v>
      </c>
      <c r="D245" s="8" t="str">
        <f t="shared" si="20"/>
        <v>中国青年出版社</v>
      </c>
      <c r="E245" s="8" t="str">
        <f>"I267/3262"</f>
        <v>I267/3262</v>
      </c>
    </row>
    <row r="246" spans="1:5" ht="21.95" customHeight="1">
      <c r="A246" s="6" t="str">
        <f t="shared" si="18"/>
        <v>978-7-5153-5030-1</v>
      </c>
      <c r="B246" s="7" t="str">
        <f>"花儿与少年"</f>
        <v>花儿与少年</v>
      </c>
      <c r="C246" s="8" t="str">
        <f t="shared" si="19"/>
        <v>梁晓声著</v>
      </c>
      <c r="D246" s="8" t="str">
        <f t="shared" si="20"/>
        <v>中国青年出版社</v>
      </c>
      <c r="E246" s="8" t="str">
        <f>"I267/3263"</f>
        <v>I267/3263</v>
      </c>
    </row>
    <row r="247" spans="1:5" ht="21.95" customHeight="1">
      <c r="A247" s="6" t="str">
        <f>"978-7-302-46569-0"</f>
        <v>978-7-302-46569-0</v>
      </c>
      <c r="B247" s="7" t="str">
        <f>"初心依旧"</f>
        <v>初心依旧</v>
      </c>
      <c r="C247" s="8" t="str">
        <f>"李佳林著"</f>
        <v>李佳林著</v>
      </c>
      <c r="D247" s="8" t="str">
        <f>"清华大学出版社"</f>
        <v>清华大学出版社</v>
      </c>
      <c r="E247" s="8" t="str">
        <f>"I267/3264"</f>
        <v>I267/3264</v>
      </c>
    </row>
    <row r="248" spans="1:5" ht="21.95" customHeight="1">
      <c r="A248" s="6" t="str">
        <f>"978-7-5378-5101-5"</f>
        <v>978-7-5378-5101-5</v>
      </c>
      <c r="B248" s="7" t="str">
        <f>"蝴蝶飞何园"</f>
        <v>蝴蝶飞何园</v>
      </c>
      <c r="C248" s="8" t="str">
        <f>"王祥夫著"</f>
        <v>王祥夫著</v>
      </c>
      <c r="D248" s="8" t="str">
        <f>"北岳文艺出版社"</f>
        <v>北岳文艺出版社</v>
      </c>
      <c r="E248" s="8" t="str">
        <f>"I267/3265"</f>
        <v>I267/3265</v>
      </c>
    </row>
    <row r="249" spans="1:5" ht="21.95" customHeight="1">
      <c r="A249" s="6" t="str">
        <f>"978-7-5110-3498-4"</f>
        <v>978-7-5110-3498-4</v>
      </c>
      <c r="B249" s="7" t="str">
        <f>"冬夜说书人"</f>
        <v>冬夜说书人</v>
      </c>
      <c r="C249" s="8" t="str">
        <f>"徐鲁著"</f>
        <v>徐鲁著</v>
      </c>
      <c r="D249" s="8" t="str">
        <f>"海豚出版社"</f>
        <v>海豚出版社</v>
      </c>
      <c r="E249" s="8" t="str">
        <f>"I267/3266"</f>
        <v>I267/3266</v>
      </c>
    </row>
    <row r="250" spans="1:5" ht="21.95" customHeight="1">
      <c r="A250" s="6" t="str">
        <f>"978-7-5426-5868-5"</f>
        <v>978-7-5426-5868-5</v>
      </c>
      <c r="B250" s="7" t="str">
        <f>"德与美"</f>
        <v>德与美</v>
      </c>
      <c r="C250" s="8" t="str">
        <f>"王小锡著"</f>
        <v>王小锡著</v>
      </c>
      <c r="D250" s="8" t="str">
        <f t="shared" ref="D250:D253" si="21">"上海三联书店"</f>
        <v>上海三联书店</v>
      </c>
      <c r="E250" s="8" t="str">
        <f>"I267/3267"</f>
        <v>I267/3267</v>
      </c>
    </row>
    <row r="251" spans="1:5" ht="21.95" customHeight="1">
      <c r="A251" s="6" t="str">
        <f>"978-7-5426-5872-2"</f>
        <v>978-7-5426-5872-2</v>
      </c>
      <c r="B251" s="7" t="str">
        <f>"文化屐痕：书与人"</f>
        <v>文化屐痕：书与人</v>
      </c>
      <c r="C251" s="8" t="str">
        <f>"孙宜学著"</f>
        <v>孙宜学著</v>
      </c>
      <c r="D251" s="8" t="str">
        <f t="shared" si="21"/>
        <v>上海三联书店</v>
      </c>
      <c r="E251" s="8" t="str">
        <f>"I267/3268"</f>
        <v>I267/3268</v>
      </c>
    </row>
    <row r="252" spans="1:5" ht="21.95" customHeight="1">
      <c r="A252" s="6" t="str">
        <f>"978-7-5426-6106-7"</f>
        <v>978-7-5426-6106-7</v>
      </c>
      <c r="B252" s="7" t="str">
        <f>"乡村叙事"</f>
        <v>乡村叙事</v>
      </c>
      <c r="C252" s="8" t="str">
        <f>"吴鹏森著"</f>
        <v>吴鹏森著</v>
      </c>
      <c r="D252" s="8" t="str">
        <f t="shared" si="21"/>
        <v>上海三联书店</v>
      </c>
      <c r="E252" s="8" t="str">
        <f>"I267/3269"</f>
        <v>I267/3269</v>
      </c>
    </row>
    <row r="253" spans="1:5" ht="21.95" customHeight="1">
      <c r="A253" s="6" t="str">
        <f>"978-7-5426-6223-1"</f>
        <v>978-7-5426-6223-1</v>
      </c>
      <c r="B253" s="7" t="str">
        <f>"德与美：王小锡散文随笔集"</f>
        <v>德与美：王小锡散文随笔集</v>
      </c>
      <c r="C253" s="8" t="str">
        <f>"王小锡著"</f>
        <v>王小锡著</v>
      </c>
      <c r="D253" s="8" t="str">
        <f t="shared" si="21"/>
        <v>上海三联书店</v>
      </c>
      <c r="E253" s="8" t="str">
        <f>"I267/3270=2D"</f>
        <v>I267/3270=2D</v>
      </c>
    </row>
    <row r="254" spans="1:5" ht="21.95" customHeight="1">
      <c r="A254" s="6" t="str">
        <f>"978-7-203-10051-5"</f>
        <v>978-7-203-10051-5</v>
      </c>
      <c r="B254" s="7" t="str">
        <f>"太行人民抗战民歌选集"</f>
        <v>太行人民抗战民歌选集</v>
      </c>
      <c r="C254" s="8" t="str">
        <f>"王占文主编"</f>
        <v>王占文主编</v>
      </c>
      <c r="D254" s="8" t="str">
        <f>"山西人民出版社"</f>
        <v>山西人民出版社</v>
      </c>
      <c r="E254" s="8" t="str">
        <f>"I277.225/1"</f>
        <v>I277.225/1</v>
      </c>
    </row>
    <row r="255" spans="1:5" ht="21.95" customHeight="1">
      <c r="A255" s="6" t="str">
        <f>"978-7-5470-4849-8"</f>
        <v>978-7-5470-4849-8</v>
      </c>
      <c r="B255" s="7" t="str">
        <f>"悠然岁时迁：寻常人家的节气故事"</f>
        <v>悠然岁时迁：寻常人家的节气故事</v>
      </c>
      <c r="C255" s="8" t="str">
        <f>"唐玉霞著"</f>
        <v>唐玉霞著</v>
      </c>
      <c r="D255" s="8" t="str">
        <f>"万卷出版公司"</f>
        <v>万卷出版公司</v>
      </c>
      <c r="E255" s="8" t="str">
        <f>"I277.3/89"</f>
        <v>I277.3/89</v>
      </c>
    </row>
    <row r="256" spans="1:5" ht="21.95" customHeight="1">
      <c r="A256" s="6" t="str">
        <f>"978-7-5395-5336-8"</f>
        <v>978-7-5395-5336-8</v>
      </c>
      <c r="B256" s="7" t="str">
        <f>"国学启蒙故事"</f>
        <v>国学启蒙故事</v>
      </c>
      <c r="C256" s="8" t="str">
        <f>"主编蜗牛少儿"</f>
        <v>主编蜗牛少儿</v>
      </c>
      <c r="D256" s="8" t="str">
        <f>"福建少年儿童出版社"</f>
        <v>福建少年儿童出版社</v>
      </c>
      <c r="E256" s="8" t="str">
        <f>"I287.8/19"</f>
        <v>I287.8/19</v>
      </c>
    </row>
    <row r="257" spans="1:5" ht="21.95" customHeight="1">
      <c r="A257" s="6" t="str">
        <f>"978-7-301-27823-9"</f>
        <v>978-7-301-27823-9</v>
      </c>
      <c r="B257" s="7" t="str">
        <f>"东方文艺创作的他者化倾向"</f>
        <v>东方文艺创作的他者化倾向</v>
      </c>
      <c r="C257" s="8" t="str">
        <f>"林丰民等著"</f>
        <v>林丰民等著</v>
      </c>
      <c r="D257" s="8" t="str">
        <f>"北京大学出版社"</f>
        <v>北京大学出版社</v>
      </c>
      <c r="E257" s="8" t="str">
        <f>"I300.6/4"</f>
        <v>I300.6/4</v>
      </c>
    </row>
    <row r="258" spans="1:5" ht="21.95" customHeight="1">
      <c r="A258" s="6" t="str">
        <f>"978-7-301-27823-9"</f>
        <v>978-7-301-27823-9</v>
      </c>
      <c r="B258" s="7" t="str">
        <f>"东方文艺创作的他者化倾向"</f>
        <v>东方文艺创作的他者化倾向</v>
      </c>
      <c r="C258" s="8" t="str">
        <f>"林丰民等著"</f>
        <v>林丰民等著</v>
      </c>
      <c r="D258" s="8" t="str">
        <f>"北京大学出版社"</f>
        <v>北京大学出版社</v>
      </c>
      <c r="E258" s="8" t="str">
        <f>"I300.6/4"</f>
        <v>I300.6/4</v>
      </c>
    </row>
    <row r="259" spans="1:5" ht="21.95" customHeight="1">
      <c r="A259" s="6" t="str">
        <f>"978-7-5086-8753-7"</f>
        <v>978-7-5086-8753-7</v>
      </c>
      <c r="B259" s="7" t="str">
        <f>"二十亿光年的孤独：谷川俊太郎诗歌精选集"</f>
        <v>二十亿光年的孤独：谷川俊太郎诗歌精选集</v>
      </c>
      <c r="C259" s="8" t="str">
        <f>"(日) 谷川俊太郎 (Shuntaro Tanikawa) 著"</f>
        <v>(日) 谷川俊太郎 (Shuntaro Tanikawa) 著</v>
      </c>
      <c r="D259" s="8" t="str">
        <f>"中信出版集团股份有限公司"</f>
        <v>中信出版集团股份有限公司</v>
      </c>
      <c r="E259" s="8" t="str">
        <f>"I313.25/3"</f>
        <v>I313.25/3</v>
      </c>
    </row>
    <row r="260" spans="1:5" ht="21.95" customHeight="1">
      <c r="A260" s="6" t="str">
        <f>"978-7-5442-9116-3"</f>
        <v>978-7-5442-9116-3</v>
      </c>
      <c r="B260" s="7" t="str">
        <f>"白夜行"</f>
        <v>白夜行</v>
      </c>
      <c r="C260" s="8" t="str">
        <f t="shared" ref="C260:C262" si="22">"(日) 东野圭吾著"</f>
        <v>(日) 东野圭吾著</v>
      </c>
      <c r="D260" s="8" t="str">
        <f>"南海出版公司"</f>
        <v>南海出版公司</v>
      </c>
      <c r="E260" s="8" t="str">
        <f>"I313.45/538=3D"</f>
        <v>I313.45/538=3D</v>
      </c>
    </row>
    <row r="261" spans="1:5" ht="21.95" customHeight="1">
      <c r="A261" s="6" t="str">
        <f>"978-7-5596-1156-7"</f>
        <v>978-7-5596-1156-7</v>
      </c>
      <c r="B261" s="7" t="str">
        <f>"白金数据"</f>
        <v>白金数据</v>
      </c>
      <c r="C261" s="8" t="str">
        <f t="shared" si="22"/>
        <v>(日) 东野圭吾著</v>
      </c>
      <c r="D261" s="8" t="str">
        <f>"北京联合出版公司"</f>
        <v>北京联合出版公司</v>
      </c>
      <c r="E261" s="8" t="str">
        <f>"I313.45/561"</f>
        <v>I313.45/561</v>
      </c>
    </row>
    <row r="262" spans="1:5" ht="21.95" customHeight="1">
      <c r="A262" s="6" t="str">
        <f>"978-7-5302-1755-9"</f>
        <v>978-7-5302-1755-9</v>
      </c>
      <c r="B262" s="7" t="str">
        <f>"假面山庄"</f>
        <v>假面山庄</v>
      </c>
      <c r="C262" s="8" t="str">
        <f t="shared" si="22"/>
        <v>(日) 东野圭吾著</v>
      </c>
      <c r="D262" s="8" t="str">
        <f>"北京十月文艺出版社"</f>
        <v>北京十月文艺出版社</v>
      </c>
      <c r="E262" s="8" t="str">
        <f>"I313.45/562"</f>
        <v>I313.45/562</v>
      </c>
    </row>
    <row r="263" spans="1:5" ht="21.95" customHeight="1">
      <c r="A263" s="6" t="str">
        <f>"978-7-5327-7658-0"</f>
        <v>978-7-5327-7658-0</v>
      </c>
      <c r="B263" s="7" t="str">
        <f>"刺杀骑士团长：第一部．显形理念篇"</f>
        <v>刺杀骑士团长：第一部．显形理念篇</v>
      </c>
      <c r="C263" s="8" t="str">
        <f>"(日) 村上春树著"</f>
        <v>(日) 村上春树著</v>
      </c>
      <c r="D263" s="8" t="str">
        <f>"上海译文出版社"</f>
        <v>上海译文出版社</v>
      </c>
      <c r="E263" s="8" t="str">
        <f>"I313.45/563/1"</f>
        <v>I313.45/563/1</v>
      </c>
    </row>
    <row r="264" spans="1:5" ht="21.95" customHeight="1">
      <c r="A264" s="6" t="str">
        <f>"978-7-5327-7658-0"</f>
        <v>978-7-5327-7658-0</v>
      </c>
      <c r="B264" s="7" t="str">
        <f>"刺杀骑士团长：第二部．流变隐喻篇"</f>
        <v>刺杀骑士团长：第二部．流变隐喻篇</v>
      </c>
      <c r="C264" s="8" t="str">
        <f>"(日) 村上春树著"</f>
        <v>(日) 村上春树著</v>
      </c>
      <c r="D264" s="8" t="str">
        <f>"上海译文出版社"</f>
        <v>上海译文出版社</v>
      </c>
      <c r="E264" s="8" t="str">
        <f>"I313.45/563/2"</f>
        <v>I313.45/563/2</v>
      </c>
    </row>
    <row r="265" spans="1:5" ht="21.95" customHeight="1">
      <c r="A265" s="6" t="str">
        <f>"978-7-5387-5594-7"</f>
        <v>978-7-5387-5594-7</v>
      </c>
      <c r="B265" s="7" t="str">
        <f>"爱的流放地"</f>
        <v>爱的流放地</v>
      </c>
      <c r="C265" s="8" t="str">
        <f>"(日) 渡边淳一著"</f>
        <v>(日) 渡边淳一著</v>
      </c>
      <c r="D265" s="8" t="str">
        <f>"时代文艺出版社"</f>
        <v>时代文艺出版社</v>
      </c>
      <c r="E265" s="8" t="str">
        <f>"I313.45/564"</f>
        <v>I313.45/564</v>
      </c>
    </row>
    <row r="266" spans="1:5" ht="21.95" customHeight="1">
      <c r="A266" s="6" t="str">
        <f>"978-7-02-013108-2"</f>
        <v>978-7-02-013108-2</v>
      </c>
      <c r="B266" s="7" t="str">
        <f>"逃离"</f>
        <v>逃离</v>
      </c>
      <c r="C266" s="8" t="str">
        <f>"(日)吉田修一著"</f>
        <v>(日)吉田修一著</v>
      </c>
      <c r="D266" s="8" t="str">
        <f>"人民文学出版社"</f>
        <v>人民文学出版社</v>
      </c>
      <c r="E266" s="8" t="str">
        <f>"I313.45/565"</f>
        <v>I313.45/565</v>
      </c>
    </row>
    <row r="267" spans="1:5" ht="21.95" customHeight="1">
      <c r="A267" s="6" t="str">
        <f>"978-7-5426-5970-5"</f>
        <v>978-7-5426-5970-5</v>
      </c>
      <c r="B267" s="7" t="str">
        <f>"枕草子"</f>
        <v>枕草子</v>
      </c>
      <c r="C267" s="8" t="str">
        <f>"(日) 清少纳言著"</f>
        <v>(日) 清少纳言著</v>
      </c>
      <c r="D267" s="8" t="str">
        <f>"上海三联书店"</f>
        <v>上海三联书店</v>
      </c>
      <c r="E267" s="8" t="str">
        <f>"I313.63/2"</f>
        <v>I313.63/2</v>
      </c>
    </row>
    <row r="268" spans="1:5" ht="21.95" customHeight="1">
      <c r="A268" s="6" t="str">
        <f>"978-7-5086-7761-3"</f>
        <v>978-7-5086-7761-3</v>
      </c>
      <c r="B268" s="7" t="str">
        <f>"东京一年"</f>
        <v>东京一年</v>
      </c>
      <c r="C268" s="8" t="str">
        <f>"蒋方舟著"</f>
        <v>蒋方舟著</v>
      </c>
      <c r="D268" s="8" t="str">
        <f>"中信出版集团股份有限公司"</f>
        <v>中信出版集团股份有限公司</v>
      </c>
      <c r="E268" s="8" t="str">
        <f>"I313.65/88"</f>
        <v>I313.65/88</v>
      </c>
    </row>
    <row r="269" spans="1:5" ht="21.95" customHeight="1">
      <c r="A269" s="6" t="str">
        <f>"978-7-5133-2336-9"</f>
        <v>978-7-5133-2336-9</v>
      </c>
      <c r="B269" s="7" t="str">
        <f>"今日店休：93岁旧书店主写给生活的情书"</f>
        <v>今日店休：93岁旧书店主写给生活的情书</v>
      </c>
      <c r="C269" s="8" t="str">
        <f>"(日) 坂本健一著"</f>
        <v>(日) 坂本健一著</v>
      </c>
      <c r="D269" s="8" t="str">
        <f>"新星出版社"</f>
        <v>新星出版社</v>
      </c>
      <c r="E269" s="8" t="str">
        <f>"I313.65/89"</f>
        <v>I313.65/89</v>
      </c>
    </row>
    <row r="270" spans="1:5" ht="21.95" customHeight="1">
      <c r="A270" s="6" t="str">
        <f>"978-7-5086-6792-8"</f>
        <v>978-7-5086-6792-8</v>
      </c>
      <c r="B270" s="7" t="str">
        <f>"我的爱情生活"</f>
        <v>我的爱情生活</v>
      </c>
      <c r="C270" s="8" t="str">
        <f>"(日) 荒木阳子， 荒木经惟著"</f>
        <v>(日) 荒木阳子， 荒木经惟著</v>
      </c>
      <c r="D270" s="8" t="str">
        <f>"中信出版集团股份有限公司"</f>
        <v>中信出版集团股份有限公司</v>
      </c>
      <c r="E270" s="8" t="str">
        <f>"I313.65/90"</f>
        <v>I313.65/90</v>
      </c>
    </row>
    <row r="271" spans="1:5" ht="21.95" customHeight="1">
      <c r="A271" s="6" t="str">
        <f>"978-7-5086-4598-8"</f>
        <v>978-7-5086-4598-8</v>
      </c>
      <c r="B271" s="7" t="str">
        <f>"旅行从客房开始．2"</f>
        <v>旅行从客房开始．2</v>
      </c>
      <c r="C271" s="8" t="str">
        <f>"(日) 浦一也著"</f>
        <v>(日) 浦一也著</v>
      </c>
      <c r="D271" s="8" t="str">
        <f>"中信出版社"</f>
        <v>中信出版社</v>
      </c>
      <c r="E271" s="8" t="str">
        <f>"I313.65/91"</f>
        <v>I313.65/91</v>
      </c>
    </row>
    <row r="272" spans="1:5" ht="21.95" customHeight="1">
      <c r="A272" s="6" t="str">
        <f>"978-7-5086-7999-0"</f>
        <v>978-7-5086-7999-0</v>
      </c>
      <c r="B272" s="7" t="str">
        <f>"非常非常好"</f>
        <v>非常非常好</v>
      </c>
      <c r="C272" s="8" t="str">
        <f>"(日) 松浦弥太郎著"</f>
        <v>(日) 松浦弥太郎著</v>
      </c>
      <c r="D272" s="8" t="str">
        <f>"中信出版集团股份有限公司"</f>
        <v>中信出版集团股份有限公司</v>
      </c>
      <c r="E272" s="8" t="str">
        <f>"I313.65/92"</f>
        <v>I313.65/92</v>
      </c>
    </row>
    <row r="273" spans="1:5" ht="21.95" customHeight="1">
      <c r="A273" s="6" t="str">
        <f>"978-7-5594-1431-1"</f>
        <v>978-7-5594-1431-1</v>
      </c>
      <c r="B273" s="7" t="str">
        <f>"佛系：如何成为一个快乐的人"</f>
        <v>佛系：如何成为一个快乐的人</v>
      </c>
      <c r="C273" s="8" t="str">
        <f>"(日) 草薙龙瞬著"</f>
        <v>(日) 草薙龙瞬著</v>
      </c>
      <c r="D273" s="8" t="str">
        <f>"江苏凤凰文艺出版社"</f>
        <v>江苏凤凰文艺出版社</v>
      </c>
      <c r="E273" s="8" t="str">
        <f>"I313.65/93"</f>
        <v>I313.65/93</v>
      </c>
    </row>
    <row r="274" spans="1:5" ht="21.95" customHeight="1">
      <c r="A274" s="6" t="str">
        <f>"978-7-5108-5669-3"</f>
        <v>978-7-5108-5669-3</v>
      </c>
      <c r="B274" s="7" t="str">
        <f>"和纸之美：柳宗悦绘惜物者、匠人的生活美学态度"</f>
        <v>和纸之美：柳宗悦绘惜物者、匠人的生活美学态度</v>
      </c>
      <c r="C274" s="8" t="str">
        <f>"(日) 柳宗悦著"</f>
        <v>(日) 柳宗悦著</v>
      </c>
      <c r="D274" s="8" t="str">
        <f>"九州出版社"</f>
        <v>九州出版社</v>
      </c>
      <c r="E274" s="8" t="str">
        <f>"I313.65/94"</f>
        <v>I313.65/94</v>
      </c>
    </row>
    <row r="275" spans="1:5" ht="21.95" customHeight="1">
      <c r="A275" s="6" t="str">
        <f>"978-7-5356-8142-3"</f>
        <v>978-7-5356-8142-3</v>
      </c>
      <c r="B275" s="7" t="str">
        <f>"无名的道路"</f>
        <v>无名的道路</v>
      </c>
      <c r="C275" s="8" t="str">
        <f>"(日)赤木明登著"</f>
        <v>(日)赤木明登著</v>
      </c>
      <c r="D275" s="8" t="str">
        <f>"湖南美术出版社"</f>
        <v>湖南美术出版社</v>
      </c>
      <c r="E275" s="8" t="str">
        <f>"I313.65/95"</f>
        <v>I313.65/95</v>
      </c>
    </row>
    <row r="276" spans="1:5" ht="21.95" customHeight="1">
      <c r="A276" s="6" t="str">
        <f>"978-7-302-45930-9"</f>
        <v>978-7-302-45930-9</v>
      </c>
      <c r="B276" s="7" t="str">
        <f>"新月集"</f>
        <v>新月集</v>
      </c>
      <c r="C276" s="8" t="str">
        <f t="shared" ref="C276:C279" si="23">"(印度) 拉宾德拉纳特·泰戈尔著"</f>
        <v>(印度) 拉宾德拉纳特·泰戈尔著</v>
      </c>
      <c r="D276" s="8" t="str">
        <f t="shared" ref="D276:D279" si="24">"清华大学出版社"</f>
        <v>清华大学出版社</v>
      </c>
      <c r="E276" s="8" t="str">
        <f>"I351.25/338"</f>
        <v>I351.25/338</v>
      </c>
    </row>
    <row r="277" spans="1:5" ht="21.95" customHeight="1">
      <c r="A277" s="6" t="str">
        <f>"978-7-302-45840-1"</f>
        <v>978-7-302-45840-1</v>
      </c>
      <c r="B277" s="7" t="str">
        <f>"飞鸟集"</f>
        <v>飞鸟集</v>
      </c>
      <c r="C277" s="8" t="str">
        <f t="shared" si="23"/>
        <v>(印度) 拉宾德拉纳特·泰戈尔著</v>
      </c>
      <c r="D277" s="8" t="str">
        <f t="shared" si="24"/>
        <v>清华大学出版社</v>
      </c>
      <c r="E277" s="8" t="str">
        <f>"I351.25/339"</f>
        <v>I351.25/339</v>
      </c>
    </row>
    <row r="278" spans="1:5" ht="21.95" customHeight="1">
      <c r="A278" s="6" t="str">
        <f>"978-7-302-48226-0"</f>
        <v>978-7-302-48226-0</v>
      </c>
      <c r="B278" s="7" t="str">
        <f>"流萤集"</f>
        <v>流萤集</v>
      </c>
      <c r="C278" s="8" t="str">
        <f t="shared" si="23"/>
        <v>(印度) 拉宾德拉纳特·泰戈尔著</v>
      </c>
      <c r="D278" s="8" t="str">
        <f t="shared" si="24"/>
        <v>清华大学出版社</v>
      </c>
      <c r="E278" s="8" t="str">
        <f>"I351.25/340"</f>
        <v>I351.25/340</v>
      </c>
    </row>
    <row r="279" spans="1:5" ht="21.95" customHeight="1">
      <c r="A279" s="6" t="str">
        <f>"978-7-302-48273-4"</f>
        <v>978-7-302-48273-4</v>
      </c>
      <c r="B279" s="7" t="str">
        <f>"采果集"</f>
        <v>采果集</v>
      </c>
      <c r="C279" s="8" t="str">
        <f t="shared" si="23"/>
        <v>(印度) 拉宾德拉纳特·泰戈尔著</v>
      </c>
      <c r="D279" s="8" t="str">
        <f t="shared" si="24"/>
        <v>清华大学出版社</v>
      </c>
      <c r="E279" s="8" t="str">
        <f>"I351.25/341"</f>
        <v>I351.25/341</v>
      </c>
    </row>
    <row r="280" spans="1:5" ht="21.95" customHeight="1">
      <c r="A280" s="6" t="str">
        <f>"978-7-5086-6898-7"</f>
        <v>978-7-5086-6898-7</v>
      </c>
      <c r="B280" s="7" t="str">
        <f>"南瓜花：士兵的故事：a soldier's story"</f>
        <v>南瓜花：士兵的故事：a soldier's story</v>
      </c>
      <c r="C280" s="8" t="str">
        <f>"(以) 马蒂·弗里德曼著"</f>
        <v>(以) 马蒂·弗里德曼著</v>
      </c>
      <c r="D280" s="8" t="str">
        <f>"中信出版集团股份有限公司"</f>
        <v>中信出版集团股份有限公司</v>
      </c>
      <c r="E280" s="8" t="str">
        <f>"I382.55/1"</f>
        <v>I382.55/1</v>
      </c>
    </row>
    <row r="281" spans="1:5" ht="33.75" customHeight="1">
      <c r="A281" s="6" t="str">
        <f>"978-7-301-28486-5"</f>
        <v>978-7-301-28486-5</v>
      </c>
      <c r="B281" s="7" t="str">
        <f>"弱势民族文学在现代中国：以东欧文学为中心：focusing on east European literature"</f>
        <v>弱势民族文学在现代中国：以东欧文学为中心：focusing on east European literature</v>
      </c>
      <c r="C281" s="8" t="str">
        <f>"宋炳辉著"</f>
        <v>宋炳辉著</v>
      </c>
      <c r="D281" s="8" t="str">
        <f>"北京大学出版社"</f>
        <v>北京大学出版社</v>
      </c>
      <c r="E281" s="8" t="str">
        <f>"I510.09/2"</f>
        <v>I510.09/2</v>
      </c>
    </row>
    <row r="282" spans="1:5" ht="21.95" customHeight="1">
      <c r="A282" s="6" t="str">
        <f>"978-7-5495-9602-7"</f>
        <v>978-7-5495-9602-7</v>
      </c>
      <c r="B282" s="7" t="str">
        <f>"善与美书简：致青少年读者"</f>
        <v>善与美书简：致青少年读者</v>
      </c>
      <c r="C282" s="8" t="str">
        <f>"(俄) 德·谢·利哈乔夫著"</f>
        <v>(俄) 德·谢·利哈乔夫著</v>
      </c>
      <c r="D282" s="8" t="str">
        <f>"广西师范大学出版社"</f>
        <v>广西师范大学出版社</v>
      </c>
      <c r="E282" s="8" t="str">
        <f>"I512.65/16"</f>
        <v>I512.65/16</v>
      </c>
    </row>
    <row r="283" spans="1:5" ht="21.95" customHeight="1">
      <c r="A283" s="6" t="str">
        <f>"978-7-5086-7804-7"</f>
        <v>978-7-5086-7804-7</v>
      </c>
      <c r="B283" s="7" t="str">
        <f>"小小巴黎书店"</f>
        <v>小小巴黎书店</v>
      </c>
      <c r="C283" s="8" t="str">
        <f>"(德) 妮娜·乔治著"</f>
        <v>(德) 妮娜·乔治著</v>
      </c>
      <c r="D283" s="8" t="str">
        <f>"中信出版集团股份有限公司"</f>
        <v>中信出版集团股份有限公司</v>
      </c>
      <c r="E283" s="8" t="str">
        <f>"I516.45/153"</f>
        <v>I516.45/153</v>
      </c>
    </row>
    <row r="284" spans="1:5" ht="21.95" customHeight="1">
      <c r="A284" s="6" t="str">
        <f>"978-7-101-10844-6"</f>
        <v>978-7-101-10844-6</v>
      </c>
      <c r="B284" s="7" t="str">
        <f>"海豚湾"</f>
        <v>海豚湾</v>
      </c>
      <c r="C284" s="8" t="str">
        <f>"瑞察·欧贝瑞， 汉斯-佩特·罗德著"</f>
        <v>瑞察·欧贝瑞， 汉斯-佩特·罗德著</v>
      </c>
      <c r="D284" s="8" t="str">
        <f>"中华书局"</f>
        <v>中华书局</v>
      </c>
      <c r="E284" s="8" t="str">
        <f>"I522.55/1"</f>
        <v>I522.55/1</v>
      </c>
    </row>
    <row r="285" spans="1:5" ht="21.95" customHeight="1">
      <c r="A285" s="6" t="str">
        <f>"978-7-5086-7454-4"</f>
        <v>978-7-5086-7454-4</v>
      </c>
      <c r="B285" s="7" t="str">
        <f>"明镜之书"</f>
        <v>明镜之书</v>
      </c>
      <c r="C285" s="8" t="str">
        <f>"(罗) 尤金·欧·切洛维茨著"</f>
        <v>(罗) 尤金·欧·切洛维茨著</v>
      </c>
      <c r="D285" s="8" t="str">
        <f>"中信出版集团股份有限公司"</f>
        <v>中信出版集团股份有限公司</v>
      </c>
      <c r="E285" s="8" t="str">
        <f>"I542.45/2"</f>
        <v>I542.45/2</v>
      </c>
    </row>
    <row r="286" spans="1:5" ht="21.95" customHeight="1">
      <c r="A286" s="6" t="str">
        <f>"978-7-208-14981-6"</f>
        <v>978-7-208-14981-6</v>
      </c>
      <c r="B286" s="7" t="str">
        <f>"沉默的影子"</f>
        <v>沉默的影子</v>
      </c>
      <c r="C286" s="8" t="str">
        <f>"(希腊) 玛丽亚·卡拉吉娅尼著"</f>
        <v>(希腊) 玛丽亚·卡拉吉娅尼著</v>
      </c>
      <c r="D286" s="8" t="str">
        <f>"上海人民出版社"</f>
        <v>上海人民出版社</v>
      </c>
      <c r="E286" s="8" t="str">
        <f>"I545.45/6"</f>
        <v>I545.45/6</v>
      </c>
    </row>
    <row r="287" spans="1:5" ht="34.5" customHeight="1">
      <c r="A287" s="6" t="str">
        <f>"978-7-5086-6944-1"</f>
        <v>978-7-5086-6944-1</v>
      </c>
      <c r="B287" s="7" t="str">
        <f>"希腊罗马神话：永恒的诸神、英雄、爱情与冒险故事：timeless tales of gods and heroes"</f>
        <v>希腊罗马神话：永恒的诸神、英雄、爱情与冒险故事：timeless tales of gods and heroes</v>
      </c>
      <c r="C287" s="8" t="str">
        <f>"(美) 伊迪丝·汉密尔顿著"</f>
        <v>(美) 伊迪丝·汉密尔顿著</v>
      </c>
      <c r="D287" s="8" t="str">
        <f t="shared" ref="D287:D290" si="25">"中信出版集团股份有限公司"</f>
        <v>中信出版集团股份有限公司</v>
      </c>
      <c r="E287" s="8" t="str">
        <f>"I545.73/22"</f>
        <v>I545.73/22</v>
      </c>
    </row>
    <row r="288" spans="1:5" ht="21.95" customHeight="1">
      <c r="A288" s="6" t="str">
        <f>"978-7-5086-7305-9"</f>
        <v>978-7-5086-7305-9</v>
      </c>
      <c r="B288" s="7" t="str">
        <f>"扳手"</f>
        <v>扳手</v>
      </c>
      <c r="C288" s="8" t="str">
        <f>"(意) 普里莫·莱维著"</f>
        <v>(意) 普里莫·莱维著</v>
      </c>
      <c r="D288" s="8" t="str">
        <f t="shared" si="25"/>
        <v>中信出版集团股份有限公司</v>
      </c>
      <c r="E288" s="8" t="str">
        <f>"I546.45/36"</f>
        <v>I546.45/36</v>
      </c>
    </row>
    <row r="289" spans="1:5" ht="21.95" customHeight="1">
      <c r="A289" s="6" t="str">
        <f>"978-7-5086-7451-3"</f>
        <v>978-7-5086-7451-3</v>
      </c>
      <c r="B289" s="7" t="str">
        <f>"这就是奥斯维辛：1945-1986年的证据：testimonianze 1945-1986"</f>
        <v>这就是奥斯维辛：1945-1986年的证据：testimonianze 1945-1986</v>
      </c>
      <c r="C289" s="8" t="str">
        <f>"(意) 普里莫·莱维， 莱昂纳多·德·贝内代蒂著"</f>
        <v>(意) 普里莫·莱维， 莱昂纳多·德·贝内代蒂著</v>
      </c>
      <c r="D289" s="8" t="str">
        <f t="shared" si="25"/>
        <v>中信出版集团股份有限公司</v>
      </c>
      <c r="E289" s="8" t="str">
        <f>"I546.55/1"</f>
        <v>I546.55/1</v>
      </c>
    </row>
    <row r="290" spans="1:5" ht="21.95" customHeight="1">
      <c r="A290" s="6" t="str">
        <f>"978-7-5086-7360-8"</f>
        <v>978-7-5086-7360-8</v>
      </c>
      <c r="B290" s="7" t="str">
        <f>"他人的行当"</f>
        <v>他人的行当</v>
      </c>
      <c r="C290" s="8" t="str">
        <f>"(意) 普里莫·莱维著"</f>
        <v>(意) 普里莫·莱维著</v>
      </c>
      <c r="D290" s="8" t="str">
        <f t="shared" si="25"/>
        <v>中信出版集团股份有限公司</v>
      </c>
      <c r="E290" s="8" t="str">
        <f>"I546.65/7"</f>
        <v>I546.65/7</v>
      </c>
    </row>
    <row r="291" spans="1:5" ht="21.95" customHeight="1">
      <c r="A291" s="6" t="str">
        <f>"978-7-02-011230-2"</f>
        <v>978-7-02-011230-2</v>
      </c>
      <c r="B291" s="7" t="str">
        <f>"这是不是个人"</f>
        <v>这是不是个人</v>
      </c>
      <c r="C291" s="8" t="str">
        <f>"(意大利)普里莫·莱维著"</f>
        <v>(意大利)普里莫·莱维著</v>
      </c>
      <c r="D291" s="8" t="str">
        <f>"人民文学出版社"</f>
        <v>人民文学出版社</v>
      </c>
      <c r="E291" s="8" t="str">
        <f>"I546.65/8"</f>
        <v>I546.65/8</v>
      </c>
    </row>
    <row r="292" spans="1:5" ht="21.95" customHeight="1">
      <c r="A292" s="6" t="str">
        <f>"978-7-5349-8536-2"</f>
        <v>978-7-5349-8536-2</v>
      </c>
      <c r="B292" s="7" t="str">
        <f>"神奇的喷嚏"</f>
        <v>神奇的喷嚏</v>
      </c>
      <c r="C292" s="8" t="str">
        <f>"(意) 西尔维娅·塞雷利著"</f>
        <v>(意) 西尔维娅·塞雷利著</v>
      </c>
      <c r="D292" s="8" t="str">
        <f>"河南科学技术出版社"</f>
        <v>河南科学技术出版社</v>
      </c>
      <c r="E292" s="8" t="str">
        <f>"I546.85/31"</f>
        <v>I546.85/31</v>
      </c>
    </row>
    <row r="293" spans="1:5" ht="21.95" customHeight="1">
      <c r="A293" s="6" t="str">
        <f>"978-7-301-27997-7"</f>
        <v>978-7-301-27997-7</v>
      </c>
      <c r="B293" s="7" t="str">
        <f>"西班牙20世纪诗歌研究"</f>
        <v>西班牙20世纪诗歌研究</v>
      </c>
      <c r="C293" s="8" t="str">
        <f>"赵振江， 范晔， 程弋洋著"</f>
        <v>赵振江， 范晔， 程弋洋著</v>
      </c>
      <c r="D293" s="8" t="str">
        <f>"北京大学出版社"</f>
        <v>北京大学出版社</v>
      </c>
      <c r="E293" s="8" t="str">
        <f>"I551.072/1"</f>
        <v>I551.072/1</v>
      </c>
    </row>
    <row r="294" spans="1:5" ht="21.95" customHeight="1">
      <c r="A294" s="6" t="str">
        <f>"978-7-03-056938-7"</f>
        <v>978-7-03-056938-7</v>
      </c>
      <c r="B294" s="7" t="str">
        <f>"凯瑟琳·曼斯菲尔德小说叙述艺术论"</f>
        <v>凯瑟琳·曼斯菲尔德小说叙述艺术论</v>
      </c>
      <c r="C294" s="8" t="str">
        <f>"徐晗著"</f>
        <v>徐晗著</v>
      </c>
      <c r="D294" s="8" t="str">
        <f>"科学出版社"</f>
        <v>科学出版社</v>
      </c>
      <c r="E294" s="8" t="str">
        <f>"I561.074/50"</f>
        <v>I561.074/50</v>
      </c>
    </row>
    <row r="295" spans="1:5" ht="21.95" customHeight="1">
      <c r="A295" s="6" t="str">
        <f>"978-7-302-46049-7"</f>
        <v>978-7-302-46049-7</v>
      </c>
      <c r="B295" s="7" t="str">
        <f>"Word into image: cinematic elements in Caryl Phillips's fiction"</f>
        <v>Word into image: cinematic elements in Caryl Phillips's fiction</v>
      </c>
      <c r="C295" s="8" t="str">
        <f>"苏娉著"</f>
        <v>苏娉著</v>
      </c>
      <c r="D295" s="8" t="str">
        <f>"清华大学出版社"</f>
        <v>清华大学出版社</v>
      </c>
      <c r="E295" s="8" t="str">
        <f>"I561.074/51"</f>
        <v>I561.074/51</v>
      </c>
    </row>
    <row r="296" spans="1:5" ht="21.95" customHeight="1">
      <c r="A296" s="6" t="str">
        <f>"978-7-5426-5867-8"</f>
        <v>978-7-5426-5867-8</v>
      </c>
      <c r="B296" s="7" t="str">
        <f>"Mr. William Shakespeares comedies， histories， &amp; tragedies"</f>
        <v>Mr. William Shakespeares comedies， histories， &amp; tragedies</v>
      </c>
      <c r="C296" s="8" t="str">
        <f>"莎士比亚著"</f>
        <v>莎士比亚著</v>
      </c>
      <c r="D296" s="8" t="str">
        <f>"上海三联书店"</f>
        <v>上海三联书店</v>
      </c>
      <c r="E296" s="8" t="str">
        <f>"I561.13/4"</f>
        <v>I561.13/4</v>
      </c>
    </row>
    <row r="297" spans="1:5" ht="21.95" customHeight="1">
      <c r="A297" s="6" t="str">
        <f>"978-7-5447-6475-9"</f>
        <v>978-7-5447-6475-9</v>
      </c>
      <c r="B297" s="7" t="str">
        <f>"发条橙"</f>
        <v>发条橙</v>
      </c>
      <c r="C297" s="8" t="str">
        <f>"(英) 安东尼·伯吉斯著"</f>
        <v>(英) 安东尼·伯吉斯著</v>
      </c>
      <c r="D297" s="8" t="str">
        <f>"译林出版社"</f>
        <v>译林出版社</v>
      </c>
      <c r="E297" s="8" t="str">
        <f>"I561.45/622"</f>
        <v>I561.45/622</v>
      </c>
    </row>
    <row r="298" spans="1:5" ht="21.95" customHeight="1">
      <c r="A298" s="6" t="str">
        <f>"978-7-108-05680-1"</f>
        <v>978-7-108-05680-1</v>
      </c>
      <c r="B298" s="7" t="str">
        <f>"乡间夫人日记"</f>
        <v>乡间夫人日记</v>
      </c>
      <c r="C298" s="8" t="str">
        <f>"(英) E.M. 德拉菲尔德著"</f>
        <v>(英) E.M. 德拉菲尔德著</v>
      </c>
      <c r="D298" s="8" t="str">
        <f>"三联书店"</f>
        <v>三联书店</v>
      </c>
      <c r="E298" s="8" t="str">
        <f>"I561.45/623"</f>
        <v>I561.45/623</v>
      </c>
    </row>
    <row r="299" spans="1:5" ht="21.95" customHeight="1">
      <c r="A299" s="6" t="str">
        <f>"978-7-5086-8017-0"</f>
        <v>978-7-5086-8017-0</v>
      </c>
      <c r="B299" s="7" t="str">
        <f>"孤旅"</f>
        <v>孤旅</v>
      </c>
      <c r="C299" s="8" t="str">
        <f>"(英) 尼古拉斯·托马林， (英) 罗恩·霍尔著"</f>
        <v>(英) 尼古拉斯·托马林， (英) 罗恩·霍尔著</v>
      </c>
      <c r="D299" s="8" t="str">
        <f>"中信出版集团股份有限公司"</f>
        <v>中信出版集团股份有限公司</v>
      </c>
      <c r="E299" s="8" t="str">
        <f>"I561.45/624"</f>
        <v>I561.45/624</v>
      </c>
    </row>
    <row r="300" spans="1:5" ht="21.95" customHeight="1">
      <c r="A300" s="6" t="str">
        <f>"978-7-5327-7724-2"</f>
        <v>978-7-5327-7724-2</v>
      </c>
      <c r="B300" s="7" t="str">
        <f>"我辈孤雏"</f>
        <v>我辈孤雏</v>
      </c>
      <c r="C300" s="8" t="str">
        <f>"石黑一雄作品"</f>
        <v>石黑一雄作品</v>
      </c>
      <c r="D300" s="8" t="str">
        <f>"上海译文出版社"</f>
        <v>上海译文出版社</v>
      </c>
      <c r="E300" s="8" t="str">
        <f>"I561.45/625"</f>
        <v>I561.45/625</v>
      </c>
    </row>
    <row r="301" spans="1:5" ht="21.95" customHeight="1">
      <c r="A301" s="6" t="str">
        <f>"978-7-5500-1324-7"</f>
        <v>978-7-5500-1324-7</v>
      </c>
      <c r="B301" s="7" t="str">
        <f>"摆渡人"</f>
        <v>摆渡人</v>
      </c>
      <c r="C301" s="8" t="str">
        <f>"(英) 克莱儿·麦克福尔著"</f>
        <v>(英) 克莱儿·麦克福尔著</v>
      </c>
      <c r="D301" s="8" t="str">
        <f>"百花洲文艺出版社"</f>
        <v>百花洲文艺出版社</v>
      </c>
      <c r="E301" s="8" t="str">
        <f>"I561.45/626"</f>
        <v>I561.45/626</v>
      </c>
    </row>
    <row r="302" spans="1:5" ht="21.95" customHeight="1">
      <c r="A302" s="6" t="str">
        <f>"978-7-5404-8318-0"</f>
        <v>978-7-5404-8318-0</v>
      </c>
      <c r="B302" s="7" t="str">
        <f>"孤独梦想家"</f>
        <v>孤独梦想家</v>
      </c>
      <c r="C302" s="8" t="str">
        <f>"(英) 戴维·巴尼特著"</f>
        <v>(英) 戴维·巴尼特著</v>
      </c>
      <c r="D302" s="8" t="str">
        <f>"湖南文艺出版社"</f>
        <v>湖南文艺出版社</v>
      </c>
      <c r="E302" s="8" t="str">
        <f>"I561.45/627"</f>
        <v>I561.45/627</v>
      </c>
    </row>
    <row r="303" spans="1:5" ht="21.95" customHeight="1">
      <c r="A303" s="6" t="str">
        <f>"978-7-108-06010-5"</f>
        <v>978-7-108-06010-5</v>
      </c>
      <c r="B303" s="7" t="str">
        <f>"是， 大臣"</f>
        <v>是， 大臣</v>
      </c>
      <c r="C303" s="8" t="str">
        <f>"(英) 乔纳森·林恩， 安东尼·杰伊编著"</f>
        <v>(英) 乔纳森·林恩， 安东尼·杰伊编著</v>
      </c>
      <c r="D303" s="8" t="str">
        <f>"三联书店"</f>
        <v>三联书店</v>
      </c>
      <c r="E303" s="8" t="str">
        <f>"I561.45/628"</f>
        <v>I561.45/628</v>
      </c>
    </row>
    <row r="304" spans="1:5" ht="21.95" customHeight="1">
      <c r="A304" s="6" t="str">
        <f>"978-7-5086-8543-4"</f>
        <v>978-7-5086-8543-4</v>
      </c>
      <c r="B304" s="7" t="str">
        <f>"人不过如此"</f>
        <v>人不过如此</v>
      </c>
      <c r="C304" s="8" t="str">
        <f>"(英) 大卫·邵洛伊著"</f>
        <v>(英) 大卫·邵洛伊著</v>
      </c>
      <c r="D304" s="8" t="str">
        <f>"中信出版集团股份有限公司"</f>
        <v>中信出版集团股份有限公司</v>
      </c>
      <c r="E304" s="8" t="str">
        <f>"I561.45/629"</f>
        <v>I561.45/629</v>
      </c>
    </row>
    <row r="305" spans="1:5" ht="21.95" customHeight="1">
      <c r="A305" s="6" t="str">
        <f>"978-7-5426-5587-5"</f>
        <v>978-7-5426-5587-5</v>
      </c>
      <c r="B305" s="7" t="str">
        <f>"队列之末．Ⅰ：有的人没有"</f>
        <v>队列之末．Ⅰ：有的人没有</v>
      </c>
      <c r="C305" s="8" t="str">
        <f t="shared" ref="C305:C308" si="26">"(英国) 福特·马多克斯·福特著"</f>
        <v>(英国) 福特·马多克斯·福特著</v>
      </c>
      <c r="D305" s="8" t="str">
        <f t="shared" ref="D305:D308" si="27">"上海三联书店"</f>
        <v>上海三联书店</v>
      </c>
      <c r="E305" s="8" t="str">
        <f>"I561.45/630"</f>
        <v>I561.45/630</v>
      </c>
    </row>
    <row r="306" spans="1:5" ht="21.95" customHeight="1">
      <c r="A306" s="6" t="str">
        <f>"978-7-5426-5588-2"</f>
        <v>978-7-5426-5588-2</v>
      </c>
      <c r="B306" s="7" t="str">
        <f>"队列之末．Ⅱ：再无队列"</f>
        <v>队列之末．Ⅱ：再无队列</v>
      </c>
      <c r="C306" s="8" t="str">
        <f t="shared" si="26"/>
        <v>(英国) 福特·马多克斯·福特著</v>
      </c>
      <c r="D306" s="8" t="str">
        <f t="shared" si="27"/>
        <v>上海三联书店</v>
      </c>
      <c r="E306" s="8" t="str">
        <f>"I561.45/631"</f>
        <v>I561.45/631</v>
      </c>
    </row>
    <row r="307" spans="1:5" ht="21.95" customHeight="1">
      <c r="A307" s="6" t="str">
        <f>"978-7-5426-5589-9"</f>
        <v>978-7-5426-5589-9</v>
      </c>
      <c r="B307" s="7" t="str">
        <f>"队列之末．Ⅲ：挺身而立"</f>
        <v>队列之末．Ⅲ：挺身而立</v>
      </c>
      <c r="C307" s="8" t="str">
        <f t="shared" si="26"/>
        <v>(英国) 福特·马多克斯·福特著</v>
      </c>
      <c r="D307" s="8" t="str">
        <f t="shared" si="27"/>
        <v>上海三联书店</v>
      </c>
      <c r="E307" s="8" t="str">
        <f>"I561.45/632"</f>
        <v>I561.45/632</v>
      </c>
    </row>
    <row r="308" spans="1:5" ht="21.95" customHeight="1">
      <c r="A308" s="6" t="str">
        <f>"978-7-5426-5626-1"</f>
        <v>978-7-5426-5626-1</v>
      </c>
      <c r="B308" s="7" t="str">
        <f>"队列之末．IV：最后一岗"</f>
        <v>队列之末．IV：最后一岗</v>
      </c>
      <c r="C308" s="8" t="str">
        <f t="shared" si="26"/>
        <v>(英国) 福特·马多克斯·福特著</v>
      </c>
      <c r="D308" s="8" t="str">
        <f t="shared" si="27"/>
        <v>上海三联书店</v>
      </c>
      <c r="E308" s="8" t="str">
        <f>"I561.45/633"</f>
        <v>I561.45/633</v>
      </c>
    </row>
    <row r="309" spans="1:5" ht="21.95" customHeight="1">
      <c r="A309" s="6" t="str">
        <f>"978-7-5086-7077-5"</f>
        <v>978-7-5086-7077-5</v>
      </c>
      <c r="B309" s="7" t="str">
        <f>"别走出这一步"</f>
        <v>别走出这一步</v>
      </c>
      <c r="C309" s="8" t="str">
        <f>"(英) S.J. 沃森著"</f>
        <v>(英) S.J. 沃森著</v>
      </c>
      <c r="D309" s="8" t="str">
        <f>"中信出版集团股份有限公司"</f>
        <v>中信出版集团股份有限公司</v>
      </c>
      <c r="E309" s="8" t="str">
        <f>"I561.45/634"</f>
        <v>I561.45/634</v>
      </c>
    </row>
    <row r="310" spans="1:5" ht="21.95" customHeight="1">
      <c r="A310" s="6" t="str">
        <f>"978-7-5086-8591-5"</f>
        <v>978-7-5086-8591-5</v>
      </c>
      <c r="B310" s="7" t="str">
        <f>"别相信任何人"</f>
        <v>别相信任何人</v>
      </c>
      <c r="C310" s="8" t="str">
        <f>"(英) S.J.沃森著"</f>
        <v>(英) S.J.沃森著</v>
      </c>
      <c r="D310" s="8" t="str">
        <f>"中信出版集团股份有限公司"</f>
        <v>中信出版集团股份有限公司</v>
      </c>
      <c r="E310" s="8" t="str">
        <f>"I561.45/635=2D"</f>
        <v>I561.45/635=2D</v>
      </c>
    </row>
    <row r="311" spans="1:5" ht="21.95" customHeight="1">
      <c r="A311" s="6" t="str">
        <f>"978-7-201-11192-6"</f>
        <v>978-7-201-11192-6</v>
      </c>
      <c r="B311" s="7" t="str">
        <f>"练习告别：此生未完成， 但爱永不凋零"</f>
        <v>练习告别：此生未完成， 但爱永不凋零</v>
      </c>
      <c r="C311" s="8" t="str">
        <f>"(英) 玛丽安·库茨著"</f>
        <v>(英) 玛丽安·库茨著</v>
      </c>
      <c r="D311" s="8" t="str">
        <f>"天津人民出版社"</f>
        <v>天津人民出版社</v>
      </c>
      <c r="E311" s="8" t="str">
        <f>"I561.55/30"</f>
        <v>I561.55/30</v>
      </c>
    </row>
    <row r="312" spans="1:5" ht="21.95" customHeight="1">
      <c r="A312" s="6" t="str">
        <f>"978-7-205-08757-9"</f>
        <v>978-7-205-08757-9</v>
      </c>
      <c r="B312" s="7" t="str">
        <f>"奥威尔自述：通往威根码头之路"</f>
        <v>奥威尔自述：通往威根码头之路</v>
      </c>
      <c r="C312" s="8" t="str">
        <f>"(英) 乔治·奥威尔著"</f>
        <v>(英) 乔治·奥威尔著</v>
      </c>
      <c r="D312" s="8" t="str">
        <f>"辽宁人民出版社"</f>
        <v>辽宁人民出版社</v>
      </c>
      <c r="E312" s="8" t="str">
        <f>"I561.55/31"</f>
        <v>I561.55/31</v>
      </c>
    </row>
    <row r="313" spans="1:5" ht="21.95" customHeight="1">
      <c r="A313" s="6" t="str">
        <f>"978-7-5086-7965-5"</f>
        <v>978-7-5086-7965-5</v>
      </c>
      <c r="B313" s="7" t="str">
        <f>"我未尽的苦难"</f>
        <v>我未尽的苦难</v>
      </c>
      <c r="C313" s="8" t="str">
        <f>"(英) 帕特里克·金斯利著"</f>
        <v>(英) 帕特里克·金斯利著</v>
      </c>
      <c r="D313" s="8" t="str">
        <f>"中信出版集团股份有限公司"</f>
        <v>中信出版集团股份有限公司</v>
      </c>
      <c r="E313" s="8" t="str">
        <f>"I561.55/32"</f>
        <v>I561.55/32</v>
      </c>
    </row>
    <row r="314" spans="1:5" ht="21.95" customHeight="1">
      <c r="A314" s="6" t="str">
        <f>"978-7-5426-6206-4"</f>
        <v>978-7-5426-6206-4</v>
      </c>
      <c r="B314" s="7" t="str">
        <f>"人生的38个启示：陈美龄自传"</f>
        <v>人生的38个启示：陈美龄自传</v>
      </c>
      <c r="C314" s="8" t="str">
        <f>"陈美龄著"</f>
        <v>陈美龄著</v>
      </c>
      <c r="D314" s="8" t="str">
        <f>"上海三联书店"</f>
        <v>上海三联书店</v>
      </c>
      <c r="E314" s="8" t="str">
        <f>"I561.55/33"</f>
        <v>I561.55/33</v>
      </c>
    </row>
    <row r="315" spans="1:5" ht="21.95" customHeight="1">
      <c r="A315" s="6" t="str">
        <f>"978-7-5447-6878-8"</f>
        <v>978-7-5447-6878-8</v>
      </c>
      <c r="B315" s="7" t="str">
        <f>"培根随笔全集"</f>
        <v>培根随笔全集</v>
      </c>
      <c r="C315" s="8" t="str">
        <f>"(英国) 培根著"</f>
        <v>(英国) 培根著</v>
      </c>
      <c r="D315" s="8" t="str">
        <f>"译林出版社"</f>
        <v>译林出版社</v>
      </c>
      <c r="E315" s="8" t="str">
        <f>"I561.63/15"</f>
        <v>I561.63/15</v>
      </c>
    </row>
    <row r="316" spans="1:5" ht="21.95" customHeight="1">
      <c r="A316" s="6" t="str">
        <f>"978-7-5426-5710-7"</f>
        <v>978-7-5426-5710-7</v>
      </c>
      <c r="B316" s="7" t="str">
        <f>"美国手记"</f>
        <v>美国手记</v>
      </c>
      <c r="C316" s="8" t="str">
        <f>"(英) 查尔斯·狄更斯著"</f>
        <v>(英) 查尔斯·狄更斯著</v>
      </c>
      <c r="D316" s="8" t="str">
        <f>"上海三联书店"</f>
        <v>上海三联书店</v>
      </c>
      <c r="E316" s="8" t="str">
        <f>"I561.64/31"</f>
        <v>I561.64/31</v>
      </c>
    </row>
    <row r="317" spans="1:5" ht="21.95" customHeight="1">
      <c r="A317" s="6" t="str">
        <f>"978-7-5455-3310-1"</f>
        <v>978-7-5455-3310-1</v>
      </c>
      <c r="B317" s="7" t="str">
        <f>"追帽子的人：英国小品文经典三十篇"</f>
        <v>追帽子的人：英国小品文经典三十篇</v>
      </c>
      <c r="C317" s="8" t="str">
        <f>"(英) 查尔斯·兰姆等著"</f>
        <v>(英) 查尔斯·兰姆等著</v>
      </c>
      <c r="D317" s="8" t="str">
        <f>"天地出版社"</f>
        <v>天地出版社</v>
      </c>
      <c r="E317" s="8" t="str">
        <f>"I561.65/66"</f>
        <v>I561.65/66</v>
      </c>
    </row>
    <row r="318" spans="1:5" ht="21.95" customHeight="1">
      <c r="A318" s="6" t="str">
        <f>"978-7-5502-8829-4"</f>
        <v>978-7-5502-8829-4</v>
      </c>
      <c r="B318" s="7" t="str">
        <f>"我的星期天和星期一之间少了一天"</f>
        <v>我的星期天和星期一之间少了一天</v>
      </c>
      <c r="C318" s="8" t="str">
        <f>"(德) 卡特琳·鲍尔范德著"</f>
        <v>(德) 卡特琳·鲍尔范德著</v>
      </c>
      <c r="D318" s="8" t="str">
        <f>"北京联合出版公司"</f>
        <v>北京联合出版公司</v>
      </c>
      <c r="E318" s="8" t="str">
        <f>"I561.65/67"</f>
        <v>I561.65/67</v>
      </c>
    </row>
    <row r="319" spans="1:5" ht="21.95" customHeight="1">
      <c r="A319" s="6" t="str">
        <f>"978-7-5502-9457-8"</f>
        <v>978-7-5502-9457-8</v>
      </c>
      <c r="B319" s="7" t="str">
        <f>"阅读是一座随身携带的避难所"</f>
        <v>阅读是一座随身携带的避难所</v>
      </c>
      <c r="C319" s="8" t="str">
        <f>"(英) 毛姆著"</f>
        <v>(英) 毛姆著</v>
      </c>
      <c r="D319" s="8" t="str">
        <f>"北京联合出版公司"</f>
        <v>北京联合出版公司</v>
      </c>
      <c r="E319" s="8" t="str">
        <f>"I561.65/68"</f>
        <v>I561.65/68</v>
      </c>
    </row>
    <row r="320" spans="1:5" ht="21.95" customHeight="1">
      <c r="A320" s="6" t="str">
        <f>"978-7-108-05311-4"</f>
        <v>978-7-108-05311-4</v>
      </c>
      <c r="B320" s="7" t="str">
        <f>"歌之版图"</f>
        <v>歌之版图</v>
      </c>
      <c r="C320" s="8" t="str">
        <f>"(英) 布鲁斯·查特文著"</f>
        <v>(英) 布鲁斯·查特文著</v>
      </c>
      <c r="D320" s="8" t="str">
        <f>"三联书店"</f>
        <v>三联书店</v>
      </c>
      <c r="E320" s="8" t="str">
        <f>"I561.65/69"</f>
        <v>I561.65/69</v>
      </c>
    </row>
    <row r="321" spans="1:5" ht="21.95" customHeight="1">
      <c r="A321" s="6" t="str">
        <f>"978-7-5086-8150-4"</f>
        <v>978-7-5086-8150-4</v>
      </c>
      <c r="B321" s="7" t="str">
        <f>"我们所失去的， 我们所抛下的"</f>
        <v>我们所失去的， 我们所抛下的</v>
      </c>
      <c r="C321" s="8" t="str">
        <f>"(爱尔兰) 比利·奥卡拉汉著"</f>
        <v>(爱尔兰) 比利·奥卡拉汉著</v>
      </c>
      <c r="D321" s="8" t="str">
        <f>"中信出版集团股份有限公司"</f>
        <v>中信出版集团股份有限公司</v>
      </c>
      <c r="E321" s="8" t="str">
        <f>"I562.45/35"</f>
        <v>I562.45/35</v>
      </c>
    </row>
    <row r="322" spans="1:5" ht="21.95" customHeight="1">
      <c r="A322" s="6" t="str">
        <f>"978-7-5086-8624-0"</f>
        <v>978-7-5086-8624-0</v>
      </c>
      <c r="B322" s="7" t="str">
        <f>"蕾蒂西娅， 或人类的终结"</f>
        <v>蕾蒂西娅， 或人类的终结</v>
      </c>
      <c r="C322" s="8" t="str">
        <f>"(法) 伊凡·雅布隆卡著"</f>
        <v>(法) 伊凡·雅布隆卡著</v>
      </c>
      <c r="D322" s="8" t="str">
        <f>"中信出版集团股份有限公司"</f>
        <v>中信出版集团股份有限公司</v>
      </c>
      <c r="E322" s="8" t="str">
        <f>"I565.55/17"</f>
        <v>I565.55/17</v>
      </c>
    </row>
    <row r="323" spans="1:5" ht="21.95" customHeight="1">
      <c r="A323" s="6" t="str">
        <f>"978-7-5399-8964-8"</f>
        <v>978-7-5399-8964-8</v>
      </c>
      <c r="B323" s="7" t="str">
        <f>"生命的热情何在：高更的塔西提手记"</f>
        <v>生命的热情何在：高更的塔西提手记</v>
      </c>
      <c r="C323" s="8" t="str">
        <f>"(法) 保罗·高更著"</f>
        <v>(法) 保罗·高更著</v>
      </c>
      <c r="D323" s="8" t="str">
        <f>"江苏凤凰文艺出版社"</f>
        <v>江苏凤凰文艺出版社</v>
      </c>
      <c r="E323" s="8" t="str">
        <f>"I565.64/38"</f>
        <v>I565.64/38</v>
      </c>
    </row>
    <row r="324" spans="1:5" ht="21.95" customHeight="1">
      <c r="A324" s="6" t="str">
        <f>"978-7-101-11883-4"</f>
        <v>978-7-101-11883-4</v>
      </c>
      <c r="B324" s="7" t="str">
        <f>"1894中国纪行"</f>
        <v>1894中国纪行</v>
      </c>
      <c r="C324" s="8" t="str">
        <f>"(澳) 乔治·厄内斯特·莫理循著"</f>
        <v>(澳) 乔治·厄内斯特·莫理循著</v>
      </c>
      <c r="D324" s="8" t="str">
        <f>"中华书局"</f>
        <v>中华书局</v>
      </c>
      <c r="E324" s="8" t="str">
        <f>"I611.64/1"</f>
        <v>I611.64/1</v>
      </c>
    </row>
    <row r="325" spans="1:5" ht="21.95" customHeight="1">
      <c r="A325" s="6" t="str">
        <f>"978-7-5596-0014-1"</f>
        <v>978-7-5596-0014-1</v>
      </c>
      <c r="B325" s="7" t="str">
        <f>"呕吐袋之歌"</f>
        <v>呕吐袋之歌</v>
      </c>
      <c r="C325" s="8" t="str">
        <f>"(澳) 尼克·凯夫著"</f>
        <v>(澳) 尼克·凯夫著</v>
      </c>
      <c r="D325" s="8" t="str">
        <f>"北京联合出版公司"</f>
        <v>北京联合出版公司</v>
      </c>
      <c r="E325" s="8" t="str">
        <f>"I611.65/3"</f>
        <v>I611.65/3</v>
      </c>
    </row>
    <row r="326" spans="1:5" ht="21.95" customHeight="1">
      <c r="A326" s="6" t="str">
        <f>"978-7-03-051232-1"</f>
        <v>978-7-03-051232-1</v>
      </c>
      <c r="B326" s="7" t="str">
        <f>"全球化与新移民叙事：《美华文学》与北美新移民文学研究"</f>
        <v>全球化与新移民叙事：《美华文学》与北美新移民文学研究</v>
      </c>
      <c r="C326" s="8" t="str">
        <f>"程国君著"</f>
        <v>程国君著</v>
      </c>
      <c r="D326" s="8" t="str">
        <f>"科学出版社"</f>
        <v>科学出版社</v>
      </c>
      <c r="E326" s="8" t="str">
        <f>"I710.065/3"</f>
        <v>I710.065/3</v>
      </c>
    </row>
    <row r="327" spans="1:5" ht="45" customHeight="1">
      <c r="A327" s="6" t="str">
        <f>"978-7-301-28076-8"</f>
        <v>978-7-301-28076-8</v>
      </c>
      <c r="B327" s="7" t="str">
        <f>"我们何以成为后人类：文学、信息科学和控制论中的虚拟身体：virtual bodies in cybernetics， literature， and informatics"</f>
        <v>我们何以成为后人类：文学、信息科学和控制论中的虚拟身体：virtual bodies in cybernetics， literature， and informatics</v>
      </c>
      <c r="C327" s="8" t="str">
        <f>"(美) 凯瑟琳·海勒著"</f>
        <v>(美) 凯瑟琳·海勒著</v>
      </c>
      <c r="D327" s="8" t="str">
        <f>"北京大学出版社"</f>
        <v>北京大学出版社</v>
      </c>
      <c r="E327" s="8" t="str">
        <f>"I712.074/91"</f>
        <v>I712.074/91</v>
      </c>
    </row>
    <row r="328" spans="1:5" ht="21.95" customHeight="1">
      <c r="A328" s="6" t="str">
        <f>"978-7-02-012697-2"</f>
        <v>978-7-02-012697-2</v>
      </c>
      <c r="B328" s="7" t="str">
        <f>"失落的秘符"</f>
        <v>失落的秘符</v>
      </c>
      <c r="C328" s="8" t="str">
        <f t="shared" ref="C328:C331" si="28">"(美) 丹·布朗著"</f>
        <v>(美) 丹·布朗著</v>
      </c>
      <c r="D328" s="8" t="str">
        <f t="shared" ref="D328:D331" si="29">"人民文学出版社"</f>
        <v>人民文学出版社</v>
      </c>
      <c r="E328" s="8" t="str">
        <f>"I712.45/1025"</f>
        <v>I712.45/1025</v>
      </c>
    </row>
    <row r="329" spans="1:5" ht="21.95" customHeight="1">
      <c r="A329" s="6" t="str">
        <f>"978-7-02-013874-6"</f>
        <v>978-7-02-013874-6</v>
      </c>
      <c r="B329" s="7" t="str">
        <f>"本源"</f>
        <v>本源</v>
      </c>
      <c r="C329" s="8" t="str">
        <f t="shared" si="28"/>
        <v>(美) 丹·布朗著</v>
      </c>
      <c r="D329" s="8" t="str">
        <f t="shared" si="29"/>
        <v>人民文学出版社</v>
      </c>
      <c r="E329" s="8" t="str">
        <f>"I712.45/1026"</f>
        <v>I712.45/1026</v>
      </c>
    </row>
    <row r="330" spans="1:5" ht="21.95" customHeight="1">
      <c r="A330" s="6" t="str">
        <f>"978-7-02-012691-0"</f>
        <v>978-7-02-012691-0</v>
      </c>
      <c r="B330" s="7" t="str">
        <f>"地狱"</f>
        <v>地狱</v>
      </c>
      <c r="C330" s="8" t="str">
        <f t="shared" si="28"/>
        <v>(美) 丹·布朗著</v>
      </c>
      <c r="D330" s="8" t="str">
        <f t="shared" si="29"/>
        <v>人民文学出版社</v>
      </c>
      <c r="E330" s="8" t="str">
        <f>"I712.45/1027"</f>
        <v>I712.45/1027</v>
      </c>
    </row>
    <row r="331" spans="1:5" ht="21.95" customHeight="1">
      <c r="A331" s="6" t="str">
        <f>"978-7-02-012613-2"</f>
        <v>978-7-02-012613-2</v>
      </c>
      <c r="B331" s="7" t="str">
        <f>"达·芬奇密码"</f>
        <v>达·芬奇密码</v>
      </c>
      <c r="C331" s="8" t="str">
        <f t="shared" si="28"/>
        <v>(美) 丹·布朗著</v>
      </c>
      <c r="D331" s="8" t="str">
        <f t="shared" si="29"/>
        <v>人民文学出版社</v>
      </c>
      <c r="E331" s="8" t="str">
        <f>"I712.45/1028"</f>
        <v>I712.45/1028</v>
      </c>
    </row>
    <row r="332" spans="1:5" ht="21.95" customHeight="1">
      <c r="A332" s="6" t="str">
        <f>"978-7-201-13020-0"</f>
        <v>978-7-201-13020-0</v>
      </c>
      <c r="B332" s="7" t="str">
        <f>"蒲公英醇夏"</f>
        <v>蒲公英醇夏</v>
      </c>
      <c r="C332" s="8" t="str">
        <f>"(美) 雷·布拉德伯里著"</f>
        <v>(美) 雷·布拉德伯里著</v>
      </c>
      <c r="D332" s="8" t="str">
        <f>"天津人民出版社"</f>
        <v>天津人民出版社</v>
      </c>
      <c r="E332" s="8" t="str">
        <f>"I712.45/1029"</f>
        <v>I712.45/1029</v>
      </c>
    </row>
    <row r="333" spans="1:5" ht="21.95" customHeight="1">
      <c r="A333" s="6" t="str">
        <f>"978-7-5086-8249-5"</f>
        <v>978-7-5086-8249-5</v>
      </c>
      <c r="B333" s="7" t="str">
        <f>"十一月的此刻"</f>
        <v>十一月的此刻</v>
      </c>
      <c r="C333" s="8" t="str">
        <f>"(美) 约瑟芬·约翰逊著"</f>
        <v>(美) 约瑟芬·约翰逊著</v>
      </c>
      <c r="D333" s="8" t="str">
        <f t="shared" ref="D333:D336" si="30">"中信出版集团股份有限公司"</f>
        <v>中信出版集团股份有限公司</v>
      </c>
      <c r="E333" s="8" t="str">
        <f>"I712.45/1030"</f>
        <v>I712.45/1030</v>
      </c>
    </row>
    <row r="334" spans="1:5" ht="21.95" customHeight="1">
      <c r="A334" s="6" t="str">
        <f>"978-7-5086-8446-8"</f>
        <v>978-7-5086-8446-8</v>
      </c>
      <c r="B334" s="7" t="str">
        <f>"月光狂想曲"</f>
        <v>月光狂想曲</v>
      </c>
      <c r="C334" s="8" t="str">
        <f>"(美) 迈克尔·夏邦著"</f>
        <v>(美) 迈克尔·夏邦著</v>
      </c>
      <c r="D334" s="8" t="str">
        <f t="shared" si="30"/>
        <v>中信出版集团股份有限公司</v>
      </c>
      <c r="E334" s="8" t="str">
        <f>"I712.45/1031"</f>
        <v>I712.45/1031</v>
      </c>
    </row>
    <row r="335" spans="1:5" ht="21.95" customHeight="1">
      <c r="A335" s="6" t="str">
        <f>"978-7-5086-7938-9"</f>
        <v>978-7-5086-7938-9</v>
      </c>
      <c r="B335" s="7" t="str">
        <f>"另一个布鲁克林"</f>
        <v>另一个布鲁克林</v>
      </c>
      <c r="C335" s="8" t="str">
        <f>"(美) 杰奎琳·伍德森著"</f>
        <v>(美) 杰奎琳·伍德森著</v>
      </c>
      <c r="D335" s="8" t="str">
        <f t="shared" si="30"/>
        <v>中信出版集团股份有限公司</v>
      </c>
      <c r="E335" s="8" t="str">
        <f>"I712.45/1032"</f>
        <v>I712.45/1032</v>
      </c>
    </row>
    <row r="336" spans="1:5" ht="21.95" customHeight="1">
      <c r="A336" s="6" t="str">
        <f>"978-7-5086-6994-6"</f>
        <v>978-7-5086-6994-6</v>
      </c>
      <c r="B336" s="7" t="str">
        <f>"欢迎来到猴子馆"</f>
        <v>欢迎来到猴子馆</v>
      </c>
      <c r="C336" s="8" t="str">
        <f>"(美) 库尔特·冯内古特著"</f>
        <v>(美) 库尔特·冯内古特著</v>
      </c>
      <c r="D336" s="8" t="str">
        <f t="shared" si="30"/>
        <v>中信出版集团股份有限公司</v>
      </c>
      <c r="E336" s="8" t="str">
        <f>"I712.45/1033"</f>
        <v>I712.45/1033</v>
      </c>
    </row>
    <row r="337" spans="1:5" ht="21.95" customHeight="1">
      <c r="A337" s="6" t="str">
        <f>"978-7-5500-1980-5"</f>
        <v>978-7-5500-1980-5</v>
      </c>
      <c r="B337" s="7" t="str">
        <f>"星星上的人"</f>
        <v>星星上的人</v>
      </c>
      <c r="C337" s="8" t="str">
        <f>"(美) 卡罗琳·帕克丝特著"</f>
        <v>(美) 卡罗琳·帕克丝特著</v>
      </c>
      <c r="D337" s="8" t="str">
        <f>"百花洲文艺出版社"</f>
        <v>百花洲文艺出版社</v>
      </c>
      <c r="E337" s="8" t="str">
        <f>"I712.45/1034"</f>
        <v>I712.45/1034</v>
      </c>
    </row>
    <row r="338" spans="1:5" ht="21.95" customHeight="1">
      <c r="A338" s="6" t="str">
        <f>"978-7-02-013517-2"</f>
        <v>978-7-02-013517-2</v>
      </c>
      <c r="B338" s="7" t="str">
        <f>"不在犯罪现场"</f>
        <v>不在犯罪现场</v>
      </c>
      <c r="C338" s="8" t="str">
        <f>"(美) 桑德拉·布朗著"</f>
        <v>(美) 桑德拉·布朗著</v>
      </c>
      <c r="D338" s="8" t="str">
        <f>"人民文学出版社"</f>
        <v>人民文学出版社</v>
      </c>
      <c r="E338" s="8" t="str">
        <f>"I712.45/1035"</f>
        <v>I712.45/1035</v>
      </c>
    </row>
    <row r="339" spans="1:5" ht="21.95" customHeight="1">
      <c r="A339" s="6" t="str">
        <f>"978-7-5086-8270-9"</f>
        <v>978-7-5086-8270-9</v>
      </c>
      <c r="B339" s="7" t="str">
        <f>"光与暗的故事"</f>
        <v>光与暗的故事</v>
      </c>
      <c r="C339" s="8" t="str">
        <f>"(美) 劳伦斯·布洛克编著"</f>
        <v>(美) 劳伦斯·布洛克编著</v>
      </c>
      <c r="D339" s="8" t="str">
        <f>"中信出版集团股份有限公司"</f>
        <v>中信出版集团股份有限公司</v>
      </c>
      <c r="E339" s="8" t="str">
        <f>"I712.45/1036"</f>
        <v>I712.45/1036</v>
      </c>
    </row>
    <row r="340" spans="1:5" ht="21.95" customHeight="1">
      <c r="A340" s="6" t="str">
        <f>"978-7-5447-6650-0"</f>
        <v>978-7-5447-6650-0</v>
      </c>
      <c r="B340" s="7" t="str">
        <f>"杀死一只知更鸟"</f>
        <v>杀死一只知更鸟</v>
      </c>
      <c r="C340" s="8" t="str">
        <f>"(美国) 哈珀·李著"</f>
        <v>(美国) 哈珀·李著</v>
      </c>
      <c r="D340" s="8" t="str">
        <f>"译林出版社"</f>
        <v>译林出版社</v>
      </c>
      <c r="E340" s="8" t="str">
        <f>"I712.45/1037"</f>
        <v>I712.45/1037</v>
      </c>
    </row>
    <row r="341" spans="1:5" ht="35.25" customHeight="1">
      <c r="A341" s="6" t="str">
        <f>"978-7-5086-7347-9"</f>
        <v>978-7-5086-7347-9</v>
      </c>
      <c r="B341" s="7" t="str">
        <f>"魔法坏女巫：西方坏女巫的一生：the life and times of the wicked with of the west"</f>
        <v>魔法坏女巫：西方坏女巫的一生：the life and times of the wicked with of the west</v>
      </c>
      <c r="C341" s="8" t="str">
        <f>"(美) 格雷戈里·马奎尔著"</f>
        <v>(美) 格雷戈里·马奎尔著</v>
      </c>
      <c r="D341" s="8" t="str">
        <f>"中信出版集团股份有限公司"</f>
        <v>中信出版集团股份有限公司</v>
      </c>
      <c r="E341" s="8" t="str">
        <f>"I712.45/1038"</f>
        <v>I712.45/1038</v>
      </c>
    </row>
    <row r="342" spans="1:5" ht="21.95" customHeight="1">
      <c r="A342" s="6" t="str">
        <f>"978-7-5411-4804-0"</f>
        <v>978-7-5411-4804-0</v>
      </c>
      <c r="B342" s="7" t="str">
        <f>"你是我一切的一切"</f>
        <v>你是我一切的一切</v>
      </c>
      <c r="C342" s="8" t="str">
        <f>"(美) 妮古拉·尹著"</f>
        <v>(美) 妮古拉·尹著</v>
      </c>
      <c r="D342" s="8" t="str">
        <f>"四川文艺出版社"</f>
        <v>四川文艺出版社</v>
      </c>
      <c r="E342" s="8" t="str">
        <f>"I712.45/1039"</f>
        <v>I712.45/1039</v>
      </c>
    </row>
    <row r="343" spans="1:5" ht="21.95" customHeight="1">
      <c r="A343" s="6" t="str">
        <f>"978-7-02-012689-7"</f>
        <v>978-7-02-012689-7</v>
      </c>
      <c r="B343" s="7" t="str">
        <f>"天使与魔鬼"</f>
        <v>天使与魔鬼</v>
      </c>
      <c r="C343" s="8" t="str">
        <f>"(美) 丹·布朗著"</f>
        <v>(美) 丹·布朗著</v>
      </c>
      <c r="D343" s="8" t="str">
        <f>"人民文学出版社"</f>
        <v>人民文学出版社</v>
      </c>
      <c r="E343" s="8" t="str">
        <f>"I712.45/1040"</f>
        <v>I712.45/1040</v>
      </c>
    </row>
    <row r="344" spans="1:5" ht="21.95" customHeight="1">
      <c r="A344" s="6" t="str">
        <f>"978-7-5086-6239-8"</f>
        <v>978-7-5086-6239-8</v>
      </c>
      <c r="B344" s="7" t="str">
        <f>"恶童安伦"</f>
        <v>恶童安伦</v>
      </c>
      <c r="C344" s="8" t="str">
        <f>"(美) 吉姆·谢泼德著"</f>
        <v>(美) 吉姆·谢泼德著</v>
      </c>
      <c r="D344" s="8" t="str">
        <f>"中信出版集团股份有限公司"</f>
        <v>中信出版集团股份有限公司</v>
      </c>
      <c r="E344" s="8" t="str">
        <f>"I712.45/1041"</f>
        <v>I712.45/1041</v>
      </c>
    </row>
    <row r="345" spans="1:5" ht="21.95" customHeight="1">
      <c r="A345" s="6" t="str">
        <f>"978-7-5086-8182-5"</f>
        <v>978-7-5086-8182-5</v>
      </c>
      <c r="B345" s="7" t="str">
        <f>"四十个房间"</f>
        <v>四十个房间</v>
      </c>
      <c r="C345" s="8" t="str">
        <f>"(美) 奥尔加·格鲁申著"</f>
        <v>(美) 奥尔加·格鲁申著</v>
      </c>
      <c r="D345" s="8" t="str">
        <f>"中信出版社"</f>
        <v>中信出版社</v>
      </c>
      <c r="E345" s="8" t="str">
        <f>"I712.45/1042"</f>
        <v>I712.45/1042</v>
      </c>
    </row>
    <row r="346" spans="1:5" ht="21.95" customHeight="1">
      <c r="A346" s="6" t="str">
        <f>"978-7-5086-6853-6"</f>
        <v>978-7-5086-6853-6</v>
      </c>
      <c r="B346" s="7" t="str">
        <f>"几乎没有记忆"</f>
        <v>几乎没有记忆</v>
      </c>
      <c r="C346" s="8" t="str">
        <f>"(美) 莉迪亚·戴维斯著"</f>
        <v>(美) 莉迪亚·戴维斯著</v>
      </c>
      <c r="D346" s="8" t="str">
        <f>"中信出版集团股份有限公司"</f>
        <v>中信出版集团股份有限公司</v>
      </c>
      <c r="E346" s="8" t="str">
        <f>"I712.45/1043"</f>
        <v>I712.45/1043</v>
      </c>
    </row>
    <row r="347" spans="1:5" ht="21.95" customHeight="1">
      <c r="A347" s="6" t="str">
        <f>"978-7-5086-5625-0"</f>
        <v>978-7-5086-5625-0</v>
      </c>
      <c r="B347" s="7" t="str">
        <f>"暗处"</f>
        <v>暗处</v>
      </c>
      <c r="C347" s="8" t="str">
        <f>"(美) 吉莉安·弗琳著"</f>
        <v>(美) 吉莉安·弗琳著</v>
      </c>
      <c r="D347" s="8" t="str">
        <f>"中信出版集团股份有限公司"</f>
        <v>中信出版集团股份有限公司</v>
      </c>
      <c r="E347" s="8" t="str">
        <f>"I712.45/1044"</f>
        <v>I712.45/1044</v>
      </c>
    </row>
    <row r="348" spans="1:5" ht="21.95" customHeight="1">
      <c r="A348" s="6" t="str">
        <f>"978-7-5594-2082-4"</f>
        <v>978-7-5594-2082-4</v>
      </c>
      <c r="B348" s="7" t="str">
        <f>"失踪的总统"</f>
        <v>失踪的总统</v>
      </c>
      <c r="C348" s="8" t="str">
        <f>"(美) 比尔·克林顿， 詹姆斯·帕特森著"</f>
        <v>(美) 比尔·克林顿， 詹姆斯·帕特森著</v>
      </c>
      <c r="D348" s="8" t="str">
        <f>"江苏凤凰文艺出版社"</f>
        <v>江苏凤凰文艺出版社</v>
      </c>
      <c r="E348" s="8" t="str">
        <f>"I712.45/1045"</f>
        <v>I712.45/1045</v>
      </c>
    </row>
    <row r="349" spans="1:5" ht="21.95" customHeight="1">
      <c r="A349" s="6" t="str">
        <f>"978-7-5086-7271-7"</f>
        <v>978-7-5086-7271-7</v>
      </c>
      <c r="B349" s="7" t="str">
        <f>"人生复本"</f>
        <v>人生复本</v>
      </c>
      <c r="C349" s="8" t="str">
        <f>"(美) 布莱克·克劳奇著"</f>
        <v>(美) 布莱克·克劳奇著</v>
      </c>
      <c r="D349" s="8" t="str">
        <f>"中信出版社"</f>
        <v>中信出版社</v>
      </c>
      <c r="E349" s="8" t="str">
        <f>"I712.45/1046"</f>
        <v>I712.45/1046</v>
      </c>
    </row>
    <row r="350" spans="1:5" ht="21.95" customHeight="1">
      <c r="A350" s="6" t="str">
        <f>"978-7-5086-7372-1"</f>
        <v>978-7-5086-7372-1</v>
      </c>
      <c r="B350" s="7" t="str">
        <f>"逃离2147"</f>
        <v>逃离2147</v>
      </c>
      <c r="C350" s="8" t="str">
        <f>"(美) A.G. 里德尔著"</f>
        <v>(美) A.G. 里德尔著</v>
      </c>
      <c r="D350" s="8" t="str">
        <f>"中信出版社"</f>
        <v>中信出版社</v>
      </c>
      <c r="E350" s="8" t="str">
        <f>"I712.45/1047"</f>
        <v>I712.45/1047</v>
      </c>
    </row>
    <row r="351" spans="1:5" ht="21.95" customHeight="1">
      <c r="A351" s="6" t="str">
        <f>"978-7-02-011176-3"</f>
        <v>978-7-02-011176-3</v>
      </c>
      <c r="B351" s="7" t="str">
        <f>"金翅雀"</f>
        <v>金翅雀</v>
      </c>
      <c r="C351" s="8" t="str">
        <f>"(美)唐娜·塔特著"</f>
        <v>(美)唐娜·塔特著</v>
      </c>
      <c r="D351" s="8" t="str">
        <f>"人民文学出版社"</f>
        <v>人民文学出版社</v>
      </c>
      <c r="E351" s="8" t="str">
        <f>"I712.45/1048"</f>
        <v>I712.45/1048</v>
      </c>
    </row>
    <row r="352" spans="1:5" ht="21.95" customHeight="1">
      <c r="A352" s="6" t="str">
        <f>"978-7-5426-5553-0"</f>
        <v>978-7-5426-5553-0</v>
      </c>
      <c r="B352" s="7" t="str">
        <f>"野孩子"</f>
        <v>野孩子</v>
      </c>
      <c r="C352" s="8" t="str">
        <f>"(美) 威廉·巴勒斯著"</f>
        <v>(美) 威廉·巴勒斯著</v>
      </c>
      <c r="D352" s="8" t="str">
        <f>"上海三联书店"</f>
        <v>上海三联书店</v>
      </c>
      <c r="E352" s="8" t="str">
        <f>"I712.45/1049"</f>
        <v>I712.45/1049</v>
      </c>
    </row>
    <row r="353" spans="1:5" ht="21.95" customHeight="1">
      <c r="A353" s="6" t="str">
        <f>"978-7-02-012687-3"</f>
        <v>978-7-02-012687-3</v>
      </c>
      <c r="B353" s="7" t="str">
        <f>"数字城堡"</f>
        <v>数字城堡</v>
      </c>
      <c r="C353" s="8" t="str">
        <f>"(美) 丹·布朗著"</f>
        <v>(美) 丹·布朗著</v>
      </c>
      <c r="D353" s="8" t="str">
        <f>"人民文学出版社"</f>
        <v>人民文学出版社</v>
      </c>
      <c r="E353" s="8" t="str">
        <f>"I712.45/143=2D"</f>
        <v>I712.45/143=2D</v>
      </c>
    </row>
    <row r="354" spans="1:5" ht="21.95" customHeight="1">
      <c r="A354" s="6" t="str">
        <f>"978-7-5426-6221-7"</f>
        <v>978-7-5426-6221-7</v>
      </c>
      <c r="B354" s="7" t="str">
        <f>"图书馆里的喵星人"</f>
        <v>图书馆里的喵星人</v>
      </c>
      <c r="C354" s="8" t="str">
        <f>"(美) 简·劳奇， 丽萨·罗格克著"</f>
        <v>(美) 简·劳奇， 丽萨·罗格克著</v>
      </c>
      <c r="D354" s="8" t="str">
        <f>"上海三联书店"</f>
        <v>上海三联书店</v>
      </c>
      <c r="E354" s="8" t="str">
        <f>"I712.55/136"</f>
        <v>I712.55/136</v>
      </c>
    </row>
    <row r="355" spans="1:5" ht="21.95" customHeight="1">
      <c r="A355" s="6" t="str">
        <f>"978-7-02-011613-3"</f>
        <v>978-7-02-011613-3</v>
      </c>
      <c r="B355" s="7" t="str">
        <f>"红星照耀中国"</f>
        <v>红星照耀中国</v>
      </c>
      <c r="C355" s="8" t="str">
        <f>"(美) 埃德加·斯诺著"</f>
        <v>(美) 埃德加·斯诺著</v>
      </c>
      <c r="D355" s="8" t="str">
        <f>"人民文学出版社"</f>
        <v>人民文学出版社</v>
      </c>
      <c r="E355" s="8" t="str">
        <f>"I712.55/137"</f>
        <v>I712.55/137</v>
      </c>
    </row>
    <row r="356" spans="1:5" ht="21.95" customHeight="1">
      <c r="A356" s="6" t="str">
        <f>"978-7-213-07692-3"</f>
        <v>978-7-213-07692-3</v>
      </c>
      <c r="B356" s="7" t="str">
        <f>"为你，耶路撒冷"</f>
        <v>为你，耶路撒冷</v>
      </c>
      <c r="C356" s="8" t="str">
        <f>"(美)拉莱·科林斯， (法)多米尼克·拉皮埃尔著"</f>
        <v>(美)拉莱·科林斯， (法)多米尼克·拉皮埃尔著</v>
      </c>
      <c r="D356" s="8" t="str">
        <f>"浙江人民出版社"</f>
        <v>浙江人民出版社</v>
      </c>
      <c r="E356" s="8" t="str">
        <f>"I712.55/138"</f>
        <v>I712.55/138</v>
      </c>
    </row>
    <row r="357" spans="1:5" ht="21.95" customHeight="1">
      <c r="A357" s="6" t="str">
        <f>"978-7-5484-3737-6"</f>
        <v>978-7-5484-3737-6</v>
      </c>
      <c r="B357" s="7" t="str">
        <f>"一个人的远行"</f>
        <v>一个人的远行</v>
      </c>
      <c r="C357" s="8" t="str">
        <f>"(美) 亨利·戴维·梭罗著"</f>
        <v>(美) 亨利·戴维·梭罗著</v>
      </c>
      <c r="D357" s="8" t="str">
        <f>"哈尔滨出版社"</f>
        <v>哈尔滨出版社</v>
      </c>
      <c r="E357" s="8" t="str">
        <f>"I712.64/43"</f>
        <v>I712.64/43</v>
      </c>
    </row>
    <row r="358" spans="1:5" ht="21.95" customHeight="1">
      <c r="A358" s="6" t="str">
        <f>"978-7-5484-3738-3"</f>
        <v>978-7-5484-3738-3</v>
      </c>
      <c r="B358" s="7" t="str">
        <f>"河上一周"</f>
        <v>河上一周</v>
      </c>
      <c r="C358" s="8" t="str">
        <f>"(美) 亨利·戴维·梭罗著"</f>
        <v>(美) 亨利·戴维·梭罗著</v>
      </c>
      <c r="D358" s="8" t="str">
        <f>"哈尔滨出版社"</f>
        <v>哈尔滨出版社</v>
      </c>
      <c r="E358" s="8" t="str">
        <f>"I712.64/44"</f>
        <v>I712.64/44</v>
      </c>
    </row>
    <row r="359" spans="1:5" ht="21.95" customHeight="1">
      <c r="A359" s="6" t="str">
        <f>"978-7-5442-7761-7"</f>
        <v>978-7-5442-7761-7</v>
      </c>
      <c r="B359" s="7" t="str">
        <f>"霍乱时期的爱情"</f>
        <v>霍乱时期的爱情</v>
      </c>
      <c r="C359" s="8" t="str">
        <f>"加西亚·马尔克斯著"</f>
        <v>加西亚·马尔克斯著</v>
      </c>
      <c r="D359" s="8" t="str">
        <f>"南海出版公司"</f>
        <v>南海出版公司</v>
      </c>
      <c r="E359" s="8" t="str">
        <f>"I775.45/6=2D"</f>
        <v>I775.45/6=2D</v>
      </c>
    </row>
  </sheetData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E254"/>
  <sheetViews>
    <sheetView topLeftCell="A253" workbookViewId="0">
      <selection activeCell="B281" sqref="B281"/>
    </sheetView>
  </sheetViews>
  <sheetFormatPr defaultRowHeight="13.5"/>
  <cols>
    <col min="1" max="1" width="18.25" customWidth="1"/>
    <col min="2" max="2" width="56" customWidth="1"/>
    <col min="3" max="3" width="27.125" customWidth="1"/>
    <col min="4" max="4" width="26.625" customWidth="1"/>
    <col min="5" max="5" width="21.5" customWidth="1"/>
  </cols>
  <sheetData>
    <row r="1" spans="1:5" ht="27.75" customHeight="1">
      <c r="A1" s="4" t="str">
        <f>"ISBN"</f>
        <v>ISBN</v>
      </c>
      <c r="B1" s="5" t="str">
        <f>"题名"</f>
        <v>题名</v>
      </c>
      <c r="C1" s="4" t="str">
        <f>"责任者"</f>
        <v>责任者</v>
      </c>
      <c r="D1" s="4" t="str">
        <f>"出版社"</f>
        <v>出版社</v>
      </c>
      <c r="E1" s="4" t="str">
        <f>"索书号"</f>
        <v>索书号</v>
      </c>
    </row>
    <row r="2" spans="1:5" ht="21.95" customHeight="1">
      <c r="A2" s="6" t="str">
        <f>"978-7-5442-8778-4"</f>
        <v>978-7-5442-8778-4</v>
      </c>
      <c r="B2" s="7" t="str">
        <f>"我在秘密生长"</f>
        <v>我在秘密生长</v>
      </c>
      <c r="C2" s="8" t="str">
        <f>"(哥伦比亚) 艾玛·雷耶斯著"</f>
        <v>(哥伦比亚) 艾玛·雷耶斯著</v>
      </c>
      <c r="D2" s="8" t="str">
        <f>"南海出版公司"</f>
        <v>南海出版公司</v>
      </c>
      <c r="E2" s="8" t="str">
        <f>"I775.65/2"</f>
        <v>I775.65/2</v>
      </c>
    </row>
    <row r="3" spans="1:5" ht="21.95" customHeight="1">
      <c r="A3" s="6" t="str">
        <f>"978-7-302-48760-9"</f>
        <v>978-7-302-48760-9</v>
      </c>
      <c r="B3" s="7" t="str">
        <f>"动画创作与民间美术"</f>
        <v>动画创作与民间美术</v>
      </c>
      <c r="C3" s="8" t="str">
        <f>"姚桂萍著"</f>
        <v>姚桂萍著</v>
      </c>
      <c r="D3" s="8" t="str">
        <f>"清华大学出版社"</f>
        <v>清华大学出版社</v>
      </c>
      <c r="E3" s="8" t="str">
        <f>"J218.7/325"</f>
        <v>J218.7/325</v>
      </c>
    </row>
    <row r="4" spans="1:5" ht="21.95" customHeight="1">
      <c r="A4" s="6" t="str">
        <f>"978-7-5692-1294-5"</f>
        <v>978-7-5692-1294-5</v>
      </c>
      <c r="B4" s="7" t="str">
        <f>"古琴与诗词：中国传统音乐文化中一对“组合”的研究"</f>
        <v>古琴与诗词：中国传统音乐文化中一对“组合”的研究</v>
      </c>
      <c r="C4" s="8" t="str">
        <f>"刘白维著"</f>
        <v>刘白维著</v>
      </c>
      <c r="D4" s="8" t="str">
        <f>"吉林大学出版社"</f>
        <v>吉林大学出版社</v>
      </c>
      <c r="E4" s="8" t="str">
        <f>"J632.31/5"</f>
        <v>J632.31/5</v>
      </c>
    </row>
    <row r="5" spans="1:5" ht="21.95" customHeight="1">
      <c r="A5" s="6" t="str">
        <f>"978-7-115-47158-1"</f>
        <v>978-7-115-47158-1</v>
      </c>
      <c r="B5" s="7" t="str">
        <f>"寄柳诗"</f>
        <v>寄柳诗</v>
      </c>
      <c r="C5" s="8" t="str">
        <f>"柳青瑶编著"</f>
        <v>柳青瑶编著</v>
      </c>
      <c r="D5" s="8" t="str">
        <f>"人民邮电出版社"</f>
        <v>人民邮电出版社</v>
      </c>
      <c r="E5" s="8" t="str">
        <f>"J648.33/6"</f>
        <v>J648.33/6</v>
      </c>
    </row>
    <row r="6" spans="1:5" ht="21.95" customHeight="1">
      <c r="A6" s="6" t="str">
        <f>"978-7-5124-1422-8"</f>
        <v>978-7-5124-1422-8</v>
      </c>
      <c r="B6" s="7" t="str">
        <f>"听格莱美超级巨星流行歌曲：英文歌想唱就唱"</f>
        <v>听格莱美超级巨星流行歌曲：英文歌想唱就唱</v>
      </c>
      <c r="C6" s="8" t="str">
        <f>"主编吴瑞"</f>
        <v>主编吴瑞</v>
      </c>
      <c r="D6" s="8" t="str">
        <f>"北京航空航天大学出版社"</f>
        <v>北京航空航天大学出版社</v>
      </c>
      <c r="E6" s="8" t="str">
        <f>"J652.1/21"</f>
        <v>J652.1/21</v>
      </c>
    </row>
    <row r="7" spans="1:5" ht="21.95" customHeight="1">
      <c r="A7" s="6" t="str">
        <f>"978-7-5124-1446-4"</f>
        <v>978-7-5124-1446-4</v>
      </c>
      <c r="B7" s="7" t="str">
        <f>"听格莱美超级经典歌曲：英文歌想唱就唱"</f>
        <v>听格莱美超级经典歌曲：英文歌想唱就唱</v>
      </c>
      <c r="C7" s="8" t="str">
        <f>"主编吴瑞"</f>
        <v>主编吴瑞</v>
      </c>
      <c r="D7" s="8" t="str">
        <f>"北京航空航天大学出版社"</f>
        <v>北京航空航天大学出版社</v>
      </c>
      <c r="E7" s="8" t="str">
        <f>"J652/58"</f>
        <v>J652/58</v>
      </c>
    </row>
    <row r="8" spans="1:5" ht="21.95" customHeight="1">
      <c r="A8" s="6" t="str">
        <f>"978-7-5426-6074-9"</f>
        <v>978-7-5426-6074-9</v>
      </c>
      <c r="B8" s="7" t="str">
        <f>"自我与历史的戏剧"</f>
        <v>自我与历史的戏剧</v>
      </c>
      <c r="C8" s="8" t="str">
        <f>"(美) 莱因霍尔德·尼布尔著"</f>
        <v>(美) 莱因霍尔德·尼布尔著</v>
      </c>
      <c r="D8" s="8" t="str">
        <f>"上海三联书店"</f>
        <v>上海三联书店</v>
      </c>
      <c r="E8" s="8" t="str">
        <f>"K01/32"</f>
        <v>K01/32</v>
      </c>
    </row>
    <row r="9" spans="1:5" ht="21.95" customHeight="1">
      <c r="A9" s="6" t="str">
        <f>"978-7-5086-6075-2"</f>
        <v>978-7-5086-6075-2</v>
      </c>
      <c r="B9" s="7" t="str">
        <f>"人类简史：从动物到上帝：a brief history of humankind"</f>
        <v>人类简史：从动物到上帝：a brief history of humankind</v>
      </c>
      <c r="C9" s="8" t="str">
        <f>"(以色列) 尤瓦尔·赫拉利著"</f>
        <v>(以色列) 尤瓦尔·赫拉利著</v>
      </c>
      <c r="D9" s="8" t="str">
        <f>"中信出版集团股份有限公司"</f>
        <v>中信出版集团股份有限公司</v>
      </c>
      <c r="E9" s="8" t="str">
        <f>"K02-49/6/1"</f>
        <v>K02-49/6/1</v>
      </c>
    </row>
    <row r="10" spans="1:5" ht="21.95" customHeight="1">
      <c r="A10" s="6" t="str">
        <f>"978-7-5086-7206-9"</f>
        <v>978-7-5086-7206-9</v>
      </c>
      <c r="B10" s="7" t="str">
        <f>"未来简史：从智人到神人"</f>
        <v>未来简史：从智人到神人</v>
      </c>
      <c r="C10" s="8" t="str">
        <f>"(以色列) 尤瓦尔·赫拉利著"</f>
        <v>(以色列) 尤瓦尔·赫拉利著</v>
      </c>
      <c r="D10" s="8" t="str">
        <f>"中信出版社"</f>
        <v>中信出版社</v>
      </c>
      <c r="E10" s="8" t="str">
        <f>"K02-49/6/2"</f>
        <v>K02-49/6/2</v>
      </c>
    </row>
    <row r="11" spans="1:5" ht="33.75" customHeight="1">
      <c r="A11" s="6" t="str">
        <f>"978-7-5086-6292-3"</f>
        <v>978-7-5086-6292-3</v>
      </c>
      <c r="B11" s="7" t="str">
        <f>"给世界的答案：发现现代科学：the discovery of modern science"</f>
        <v>给世界的答案：发现现代科学：the discovery of modern science</v>
      </c>
      <c r="C11" s="8" t="str">
        <f>"(美) 斯蒂芬·温伯格著"</f>
        <v>(美) 斯蒂芬·温伯格著</v>
      </c>
      <c r="D11" s="8" t="str">
        <f>"中信出版集团股份有限公司"</f>
        <v>中信出版集团股份有限公司</v>
      </c>
      <c r="E11" s="8" t="str">
        <f>"K02-49/8"</f>
        <v>K02-49/8</v>
      </c>
    </row>
    <row r="12" spans="1:5" ht="21.95" customHeight="1">
      <c r="A12" s="6" t="str">
        <f>"978-7-108-05661-0"</f>
        <v>978-7-108-05661-0</v>
      </c>
      <c r="B12" s="7" t="str">
        <f>"走出乡土：对话费孝通《乡土中国》"</f>
        <v>走出乡土：对话费孝通《乡土中国》</v>
      </c>
      <c r="C12" s="8" t="str">
        <f>"陈心想著"</f>
        <v>陈心想著</v>
      </c>
      <c r="D12" s="8" t="str">
        <f>"三联书店"</f>
        <v>三联书店</v>
      </c>
      <c r="E12" s="8" t="str">
        <f>"K02-53/3"</f>
        <v>K02-53/3</v>
      </c>
    </row>
    <row r="13" spans="1:5" ht="21.95" customHeight="1">
      <c r="A13" s="6" t="str">
        <f>"978-7-5143-5739-4"</f>
        <v>978-7-5143-5739-4</v>
      </c>
      <c r="B13" s="7" t="str">
        <f>"超图解人类简史：人类如何从动物到文明"</f>
        <v>超图解人类简史：人类如何从动物到文明</v>
      </c>
      <c r="C13" s="8" t="str">
        <f>"王宇琨， 董志道编著"</f>
        <v>王宇琨， 董志道编著</v>
      </c>
      <c r="D13" s="8" t="str">
        <f>"现代出版社"</f>
        <v>现代出版社</v>
      </c>
      <c r="E13" s="8" t="str">
        <f>"K02-64/1"</f>
        <v>K02-64/1</v>
      </c>
    </row>
    <row r="14" spans="1:5" ht="21.95" customHeight="1">
      <c r="A14" s="6" t="str">
        <f>"978-7-201-12957-0"</f>
        <v>978-7-201-12957-0</v>
      </c>
      <c r="B14" s="7" t="str">
        <f>"超图解未来简史"</f>
        <v>超图解未来简史</v>
      </c>
      <c r="C14" s="8" t="str">
        <f>"王宇琨，董志道编著"</f>
        <v>王宇琨，董志道编著</v>
      </c>
      <c r="D14" s="8" t="str">
        <f>"天津人民出版社"</f>
        <v>天津人民出版社</v>
      </c>
      <c r="E14" s="8" t="str">
        <f>"K02-64/2"</f>
        <v>K02-64/2</v>
      </c>
    </row>
    <row r="15" spans="1:5" ht="21.95" customHeight="1">
      <c r="A15" s="6" t="str">
        <f>"978-7-5004-2418-5"</f>
        <v>978-7-5004-2418-5</v>
      </c>
      <c r="B15" s="7" t="str">
        <f>"历史主义贫困论"</f>
        <v>历史主义贫困论</v>
      </c>
      <c r="C15" s="8" t="str">
        <f>"(英) 卡尔·波普尔著"</f>
        <v>(英) 卡尔·波普尔著</v>
      </c>
      <c r="D15" s="8" t="str">
        <f>"中国社会科学出版社"</f>
        <v>中国社会科学出版社</v>
      </c>
      <c r="E15" s="8" t="str">
        <f>"K03/8"</f>
        <v>K03/8</v>
      </c>
    </row>
    <row r="16" spans="1:5" ht="21.95" customHeight="1">
      <c r="A16" s="6" t="str">
        <f>"978-7-5426-6159-3"</f>
        <v>978-7-5426-6159-3</v>
      </c>
      <c r="B16" s="7" t="str">
        <f>"文艺复兴时期的历史意识"</f>
        <v>文艺复兴时期的历史意识</v>
      </c>
      <c r="C16" s="8" t="str">
        <f>"(英) 彼得·伯克著"</f>
        <v>(英) 彼得·伯克著</v>
      </c>
      <c r="D16" s="8" t="str">
        <f>"上海三联书店"</f>
        <v>上海三联书店</v>
      </c>
      <c r="E16" s="8" t="str">
        <f>"K091/20"</f>
        <v>K091/20</v>
      </c>
    </row>
    <row r="17" spans="1:5" ht="21.95" customHeight="1">
      <c r="A17" s="6" t="str">
        <f>"978-7-301-28470-4"</f>
        <v>978-7-301-28470-4</v>
      </c>
      <c r="B17" s="7" t="str">
        <f>"叙事的转向：当代西方史学理论的考察"</f>
        <v>叙事的转向：当代西方史学理论的考察</v>
      </c>
      <c r="C17" s="8" t="str">
        <f>"彭刚著"</f>
        <v>彭刚著</v>
      </c>
      <c r="D17" s="8" t="str">
        <f>"北京大学出版社"</f>
        <v>北京大学出版社</v>
      </c>
      <c r="E17" s="8" t="str">
        <f>"K095/4=2D"</f>
        <v>K095/4=2D</v>
      </c>
    </row>
    <row r="18" spans="1:5" ht="21.95" customHeight="1">
      <c r="A18" s="6" t="str">
        <f>"978-7-5426-5430-4"</f>
        <v>978-7-5426-5430-4</v>
      </c>
      <c r="B18" s="7" t="str">
        <f>"牛津历史著作史：从开端到公元600年．第一卷"</f>
        <v>牛津历史著作史：从开端到公元600年．第一卷</v>
      </c>
      <c r="C18" s="8" t="str">
        <f>"安德鲁·菲尔德， 格兰特·哈代主编"</f>
        <v>安德鲁·菲尔德， 格兰特·哈代主编</v>
      </c>
      <c r="D18" s="8" t="str">
        <f>"上海三联书店"</f>
        <v>上海三联书店</v>
      </c>
      <c r="E18" s="8" t="str">
        <f>"K1/15/2"</f>
        <v>K1/15/2</v>
      </c>
    </row>
    <row r="19" spans="1:5" ht="21.95" customHeight="1">
      <c r="A19" s="6" t="str">
        <f>"978-7-5086-6488-0"</f>
        <v>978-7-5086-6488-0</v>
      </c>
      <c r="B19" s="7" t="str">
        <f>"新世界史．第2卷"</f>
        <v>新世界史．第2卷</v>
      </c>
      <c r="C19" s="8" t="str">
        <f>"孙隆基著"</f>
        <v>孙隆基著</v>
      </c>
      <c r="D19" s="8" t="str">
        <f>"中信出版集团股份有限公司"</f>
        <v>中信出版集团股份有限公司</v>
      </c>
      <c r="E19" s="8" t="str">
        <f>"K10/36"</f>
        <v>K10/36</v>
      </c>
    </row>
    <row r="20" spans="1:5" ht="21.95" customHeight="1">
      <c r="A20" s="6" t="str">
        <f>"978-7-5086-4117-1"</f>
        <v>978-7-5086-4117-1</v>
      </c>
      <c r="B20" s="7" t="str">
        <f>"新世界史．第一卷"</f>
        <v>新世界史．第一卷</v>
      </c>
      <c r="C20" s="8" t="str">
        <f>"孙隆基著"</f>
        <v>孙隆基著</v>
      </c>
      <c r="D20" s="8" t="str">
        <f>"中信出版社"</f>
        <v>中信出版社</v>
      </c>
      <c r="E20" s="8" t="str">
        <f>"K10/37/1"</f>
        <v>K10/37/1</v>
      </c>
    </row>
    <row r="21" spans="1:5" ht="45" customHeight="1">
      <c r="A21" s="6" t="str">
        <f>"978-7-5086-5395-2"</f>
        <v>978-7-5086-5395-2</v>
      </c>
      <c r="B21" s="7" t="str">
        <f>"文明的解析：人类的艺术与科学成就: 公元前800-1950年：the pursuit of excellence in the arts and sciences， 800 B. C. to 1950．上"</f>
        <v>文明的解析：人类的艺术与科学成就: 公元前800-1950年：the pursuit of excellence in the arts and sciences， 800 B. C. to 1950．上</v>
      </c>
      <c r="C21" s="8" t="str">
        <f>"(美) 查尔斯·默里著"</f>
        <v>(美) 查尔斯·默里著</v>
      </c>
      <c r="D21" s="8" t="str">
        <f t="shared" ref="D21:D24" si="0">"中信出版集团股份有限公司"</f>
        <v>中信出版集团股份有限公司</v>
      </c>
      <c r="E21" s="8" t="str">
        <f>"K103/147/1"</f>
        <v>K103/147/1</v>
      </c>
    </row>
    <row r="22" spans="1:5" ht="41.25" customHeight="1">
      <c r="A22" s="6" t="str">
        <f>"978-7-5086-5395-2"</f>
        <v>978-7-5086-5395-2</v>
      </c>
      <c r="B22" s="7" t="str">
        <f>"文明的解析：人类的艺术与科学成就: 公元前800-1950年：the pursuit of excellence in the arts and sciences， 800 B. C. to 1950．下"</f>
        <v>文明的解析：人类的艺术与科学成就: 公元前800-1950年：the pursuit of excellence in the arts and sciences， 800 B. C. to 1950．下</v>
      </c>
      <c r="C22" s="8" t="str">
        <f>"(美) 查尔斯·默里著"</f>
        <v>(美) 查尔斯·默里著</v>
      </c>
      <c r="D22" s="8" t="str">
        <f t="shared" si="0"/>
        <v>中信出版集团股份有限公司</v>
      </c>
      <c r="E22" s="8" t="str">
        <f>"K103/147/2"</f>
        <v>K103/147/2</v>
      </c>
    </row>
    <row r="23" spans="1:5" ht="21.95" customHeight="1">
      <c r="A23" s="6" t="str">
        <f>"978-7-5086-7724-8"</f>
        <v>978-7-5086-7724-8</v>
      </c>
      <c r="B23" s="7" t="str">
        <f>"文明史：人类五千年文明的传承与交流"</f>
        <v>文明史：人类五千年文明的传承与交流</v>
      </c>
      <c r="C23" s="8" t="str">
        <f>"(法)费尔南·布罗代尔著"</f>
        <v>(法)费尔南·布罗代尔著</v>
      </c>
      <c r="D23" s="8" t="str">
        <f t="shared" si="0"/>
        <v>中信出版集团股份有限公司</v>
      </c>
      <c r="E23" s="8" t="str">
        <f>"K103/148=2D"</f>
        <v>K103/148=2D</v>
      </c>
    </row>
    <row r="24" spans="1:5" ht="21.95" customHeight="1">
      <c r="A24" s="6" t="str">
        <f>"978-7-5086-6215-2"</f>
        <v>978-7-5086-6215-2</v>
      </c>
      <c r="B24" s="7" t="str">
        <f>"一条改变世界的鱼：鳕鱼往事"</f>
        <v>一条改变世界的鱼：鳕鱼往事</v>
      </c>
      <c r="C24" s="8" t="str">
        <f>"(美) 马克·科尔兰斯基著"</f>
        <v>(美) 马克·科尔兰斯基著</v>
      </c>
      <c r="D24" s="8" t="str">
        <f t="shared" si="0"/>
        <v>中信出版集团股份有限公司</v>
      </c>
      <c r="E24" s="8" t="str">
        <f>"K105/54"</f>
        <v>K105/54</v>
      </c>
    </row>
    <row r="25" spans="1:5" ht="21.95" customHeight="1">
      <c r="A25" s="6" t="str">
        <f>"978-7-5086-4857-6"</f>
        <v>978-7-5086-4857-6</v>
      </c>
      <c r="B25" s="7" t="str">
        <f>"论历史"</f>
        <v>论历史</v>
      </c>
      <c r="C25" s="8" t="str">
        <f>"(英)艾瑞克·霍布斯鲍姆著"</f>
        <v>(英)艾瑞克·霍布斯鲍姆著</v>
      </c>
      <c r="D25" s="8" t="str">
        <f>"中信出版社"</f>
        <v>中信出版社</v>
      </c>
      <c r="E25" s="8" t="str">
        <f>"K107/37"</f>
        <v>K107/37</v>
      </c>
    </row>
    <row r="26" spans="1:5" ht="33.75" customHeight="1">
      <c r="A26" s="6" t="str">
        <f>"978-7-5086-7511-4"</f>
        <v>978-7-5086-7511-4</v>
      </c>
      <c r="B26" s="7" t="str">
        <f>"守夜人的钟声：我们时代的危机和出路：thinking our way out of extinction"</f>
        <v>守夜人的钟声：我们时代的危机和出路：thinking our way out of extinction</v>
      </c>
      <c r="C26" s="8" t="str">
        <f>"(美) 丽贝卡·D·科斯塔著"</f>
        <v>(美) 丽贝卡·D·科斯塔著</v>
      </c>
      <c r="D26" s="8" t="str">
        <f>"中信出版集团股份有限公司"</f>
        <v>中信出版集团股份有限公司</v>
      </c>
      <c r="E26" s="8" t="str">
        <f>"K107/38"</f>
        <v>K107/38</v>
      </c>
    </row>
    <row r="27" spans="1:5" ht="35.25" customHeight="1">
      <c r="A27" s="6" t="str">
        <f>"978-7-301-28368-4"</f>
        <v>978-7-301-28368-4</v>
      </c>
      <c r="B27" s="7" t="str">
        <f>"世界人民的历史：从石器时代到新千年．下：from the stone age to the new millennium"</f>
        <v>世界人民的历史：从石器时代到新千年．下：from the stone age to the new millennium</v>
      </c>
      <c r="C27" s="8" t="str">
        <f>"(英)克里斯·哈曼著"</f>
        <v>(英)克里斯·哈曼著</v>
      </c>
      <c r="D27" s="8" t="str">
        <f>"北京大学出版社"</f>
        <v>北京大学出版社</v>
      </c>
      <c r="E27" s="8" t="str">
        <f>"K107/39/2"</f>
        <v>K107/39/2</v>
      </c>
    </row>
    <row r="28" spans="1:5" ht="21.95" customHeight="1">
      <c r="A28" s="6" t="str">
        <f>"978-7-213-07331-1"</f>
        <v>978-7-213-07331-1</v>
      </c>
      <c r="B28" s="7" t="str">
        <f>"十二幅地图中的世界史"</f>
        <v>十二幅地图中的世界史</v>
      </c>
      <c r="C28" s="8" t="str">
        <f>"(英) 杰里·布罗顿著"</f>
        <v>(英) 杰里·布罗顿著</v>
      </c>
      <c r="D28" s="8" t="str">
        <f>"浙江人民出版社"</f>
        <v>浙江人民出版社</v>
      </c>
      <c r="E28" s="8" t="str">
        <f>"K109/218"</f>
        <v>K109/218</v>
      </c>
    </row>
    <row r="29" spans="1:5" ht="35.25" customHeight="1">
      <c r="A29" s="6" t="str">
        <f>"978-7-5086-7051-5"</f>
        <v>978-7-5086-7051-5</v>
      </c>
      <c r="B29" s="7" t="str">
        <f>"极简海洋文明史：航海与世界历史5000年：maritime perspetives on world history"</f>
        <v>极简海洋文明史：航海与世界历史5000年：maritime perspetives on world history</v>
      </c>
      <c r="C29" s="8" t="str">
        <f>"(英) 菲利普·德·索萨著"</f>
        <v>(英) 菲利普·德·索萨著</v>
      </c>
      <c r="D29" s="8" t="str">
        <f t="shared" ref="D29:D33" si="1">"中信出版集团股份有限公司"</f>
        <v>中信出版集团股份有限公司</v>
      </c>
      <c r="E29" s="8" t="str">
        <f>"K109/219"</f>
        <v>K109/219</v>
      </c>
    </row>
    <row r="30" spans="1:5" ht="21.95" customHeight="1">
      <c r="A30" s="6" t="str">
        <f>"978-7-5086-5987-9"</f>
        <v>978-7-5086-5987-9</v>
      </c>
      <c r="B30" s="7" t="str">
        <f>"尼赫鲁世界史"</f>
        <v>尼赫鲁世界史</v>
      </c>
      <c r="C30" s="8" t="str">
        <f>"(印度) 贾瓦哈拉尔·尼赫鲁著"</f>
        <v>(印度) 贾瓦哈拉尔·尼赫鲁著</v>
      </c>
      <c r="D30" s="8" t="str">
        <f t="shared" si="1"/>
        <v>中信出版集团股份有限公司</v>
      </c>
      <c r="E30" s="8" t="str">
        <f>"K109/220"</f>
        <v>K109/220</v>
      </c>
    </row>
    <row r="31" spans="1:5" ht="21.95" customHeight="1">
      <c r="A31" s="6" t="str">
        <f>"978-7-5086-6007-3"</f>
        <v>978-7-5086-6007-3</v>
      </c>
      <c r="B31" s="7" t="str">
        <f>"爸爸尼赫鲁写给我的世界史．上"</f>
        <v>爸爸尼赫鲁写给我的世界史．上</v>
      </c>
      <c r="C31" s="8" t="str">
        <f>"(印度) 贾瓦哈拉尔·尼赫鲁著"</f>
        <v>(印度) 贾瓦哈拉尔·尼赫鲁著</v>
      </c>
      <c r="D31" s="8" t="str">
        <f t="shared" si="1"/>
        <v>中信出版集团股份有限公司</v>
      </c>
      <c r="E31" s="8" t="str">
        <f>"K109/221/1"</f>
        <v>K109/221/1</v>
      </c>
    </row>
    <row r="32" spans="1:5" ht="21.95" customHeight="1">
      <c r="A32" s="6" t="str">
        <f>"978-7-5086-6007-3"</f>
        <v>978-7-5086-6007-3</v>
      </c>
      <c r="B32" s="7" t="str">
        <f>"爸爸尼赫鲁写给我的世界史．中"</f>
        <v>爸爸尼赫鲁写给我的世界史．中</v>
      </c>
      <c r="C32" s="8" t="str">
        <f>"(印度) 贾瓦哈拉尔·尼赫鲁著"</f>
        <v>(印度) 贾瓦哈拉尔·尼赫鲁著</v>
      </c>
      <c r="D32" s="8" t="str">
        <f t="shared" si="1"/>
        <v>中信出版集团股份有限公司</v>
      </c>
      <c r="E32" s="8" t="str">
        <f>"K109/221/2"</f>
        <v>K109/221/2</v>
      </c>
    </row>
    <row r="33" spans="1:5" ht="21.95" customHeight="1">
      <c r="A33" s="6" t="str">
        <f>"978-7-5086-6007-3"</f>
        <v>978-7-5086-6007-3</v>
      </c>
      <c r="B33" s="7" t="str">
        <f>"爸爸尼赫鲁写给我的世界史．下"</f>
        <v>爸爸尼赫鲁写给我的世界史．下</v>
      </c>
      <c r="C33" s="8" t="str">
        <f>"(印度) 贾瓦哈拉尔·尼赫鲁著"</f>
        <v>(印度) 贾瓦哈拉尔·尼赫鲁著</v>
      </c>
      <c r="D33" s="8" t="str">
        <f t="shared" si="1"/>
        <v>中信出版集团股份有限公司</v>
      </c>
      <c r="E33" s="8" t="str">
        <f>"K109/221/3"</f>
        <v>K109/221/3</v>
      </c>
    </row>
    <row r="34" spans="1:5" ht="21.95" customHeight="1">
      <c r="A34" s="6" t="str">
        <f>"978-7-108-05698-6"</f>
        <v>978-7-108-05698-6</v>
      </c>
      <c r="B34" s="7" t="str">
        <f>"创造历史的一百只猫"</f>
        <v>创造历史的一百只猫</v>
      </c>
      <c r="C34" s="8" t="str">
        <f>"(法) 多利卡·卢卡奇著"</f>
        <v>(法) 多利卡·卢卡奇著</v>
      </c>
      <c r="D34" s="8" t="str">
        <f>"三联书店"</f>
        <v>三联书店</v>
      </c>
      <c r="E34" s="8" t="str">
        <f>"K109/222"</f>
        <v>K109/222</v>
      </c>
    </row>
    <row r="35" spans="1:5" ht="21.95" customHeight="1">
      <c r="A35" s="6" t="str">
        <f>"978-7-5086-6216-9"</f>
        <v>978-7-5086-6216-9</v>
      </c>
      <c r="B35" s="7" t="str">
        <f>"黑石头的爱与恨：煤的故事"</f>
        <v>黑石头的爱与恨：煤的故事</v>
      </c>
      <c r="C35" s="8" t="str">
        <f>"(美)巴巴拉·弗里兹著"</f>
        <v>(美)巴巴拉·弗里兹著</v>
      </c>
      <c r="D35" s="8" t="str">
        <f>"中信出版集团股份有限公司"</f>
        <v>中信出版集团股份有限公司</v>
      </c>
      <c r="E35" s="8" t="str">
        <f>"K109/223"</f>
        <v>K109/223</v>
      </c>
    </row>
    <row r="36" spans="1:5" ht="21.95" customHeight="1">
      <c r="A36" s="6" t="str">
        <f>"978-7-301-26863-6"</f>
        <v>978-7-301-26863-6</v>
      </c>
      <c r="B36" s="7" t="str">
        <f>"人类的历史"</f>
        <v>人类的历史</v>
      </c>
      <c r="C36" s="8" t="str">
        <f>"(印)尼赫鲁著"</f>
        <v>(印)尼赫鲁著</v>
      </c>
      <c r="D36" s="8" t="str">
        <f>"北京大学出版社"</f>
        <v>北京大学出版社</v>
      </c>
      <c r="E36" s="8" t="str">
        <f>"K109/224"</f>
        <v>K109/224</v>
      </c>
    </row>
    <row r="37" spans="1:5" ht="24" customHeight="1">
      <c r="A37" s="6" t="str">
        <f>"978-7-5086-8748-3"</f>
        <v>978-7-5086-8748-3</v>
      </c>
      <c r="B37" s="7" t="str">
        <f>"大历史，小世界：从大爆炸到你：from the big bang to you"</f>
        <v>大历史，小世界：从大爆炸到你：from the big bang to you</v>
      </c>
      <c r="C37" s="8" t="str">
        <f>"(美) 辛西娅·斯托克斯·布朗著"</f>
        <v>(美) 辛西娅·斯托克斯·布朗著</v>
      </c>
      <c r="D37" s="8" t="str">
        <f>"中信出版集团股份有限公司"</f>
        <v>中信出版集团股份有限公司</v>
      </c>
      <c r="E37" s="8" t="str">
        <f>"K109/225"</f>
        <v>K109/225</v>
      </c>
    </row>
    <row r="38" spans="1:5" ht="21.95" customHeight="1">
      <c r="A38" s="6" t="str">
        <f>"978-7-5502-8846-1"</f>
        <v>978-7-5502-8846-1</v>
      </c>
      <c r="B38" s="7" t="str">
        <f>"你能破解吗?：掩盖在历史中的100个秘密"</f>
        <v>你能破解吗?：掩盖在历史中的100个秘密</v>
      </c>
      <c r="C38" s="8" t="str">
        <f>"(英)丹尼尔·史密斯著"</f>
        <v>(英)丹尼尔·史密斯著</v>
      </c>
      <c r="D38" s="8" t="str">
        <f>"北京联合出版公司"</f>
        <v>北京联合出版公司</v>
      </c>
      <c r="E38" s="8" t="str">
        <f>"K109/226"</f>
        <v>K109/226</v>
      </c>
    </row>
    <row r="39" spans="1:5" ht="34.5" customHeight="1">
      <c r="A39" s="6" t="str">
        <f>"978-7-5201-1546-9"</f>
        <v>978-7-5201-1546-9</v>
      </c>
      <c r="B39" s="7" t="str">
        <f>"古代世界：追寻西方文明之源：the search for the origins of western civilization"</f>
        <v>古代世界：追寻西方文明之源：the search for the origins of western civilization</v>
      </c>
      <c r="C39" s="8" t="str">
        <f>"(英)理查德·迈尔斯著"</f>
        <v>(英)理查德·迈尔斯著</v>
      </c>
      <c r="D39" s="8" t="str">
        <f>"社会科学文献出版社"</f>
        <v>社会科学文献出版社</v>
      </c>
      <c r="E39" s="8" t="str">
        <f>"K12/10"</f>
        <v>K12/10</v>
      </c>
    </row>
    <row r="40" spans="1:5" ht="21.95" customHeight="1">
      <c r="A40" s="6" t="str">
        <f>"978-7-5434-9857-0"</f>
        <v>978-7-5434-9857-0</v>
      </c>
      <c r="B40" s="7" t="str">
        <f>"希腊——众神的殿堂"</f>
        <v>希腊——众神的殿堂</v>
      </c>
      <c r="C40" s="8" t="str">
        <f>"(意)斯特凡诺·马吉编著"</f>
        <v>(意)斯特凡诺·马吉编著</v>
      </c>
      <c r="D40" s="8" t="str">
        <f>"河北教育出版社"</f>
        <v>河北教育出版社</v>
      </c>
      <c r="E40" s="8" t="str">
        <f>"K125/37"</f>
        <v>K125/37</v>
      </c>
    </row>
    <row r="41" spans="1:5" ht="21.95" customHeight="1">
      <c r="A41" s="6" t="str">
        <f>"978-7-302-49160-6"</f>
        <v>978-7-302-49160-6</v>
      </c>
      <c r="B41" s="7" t="str">
        <f>"生活在古希腊"</f>
        <v>生活在古希腊</v>
      </c>
      <c r="C41" s="8" t="str">
        <f>"(美)约翰·格林图"</f>
        <v>(美)约翰·格林图</v>
      </c>
      <c r="D41" s="8" t="str">
        <f>"清华大学出版社"</f>
        <v>清华大学出版社</v>
      </c>
      <c r="E41" s="8" t="str">
        <f>"K125-49/12"</f>
        <v>K125-49/12</v>
      </c>
    </row>
    <row r="42" spans="1:5" ht="21.95" customHeight="1">
      <c r="A42" s="6" t="str">
        <f>"978-7-5434-9855-6"</f>
        <v>978-7-5434-9855-6</v>
      </c>
      <c r="B42" s="7" t="str">
        <f>"罗马——世界的帝国"</f>
        <v>罗马——世界的帝国</v>
      </c>
      <c r="C42" s="8" t="str">
        <f>"(意) 玛丽亚·特里萨·瓜伊托利编著"</f>
        <v>(意) 玛丽亚·特里萨·瓜伊托利编著</v>
      </c>
      <c r="D42" s="8" t="str">
        <f>"河北教育出版社"</f>
        <v>河北教育出版社</v>
      </c>
      <c r="E42" s="8" t="str">
        <f>"K126/44"</f>
        <v>K126/44</v>
      </c>
    </row>
    <row r="43" spans="1:5" ht="21.95" customHeight="1">
      <c r="A43" s="6" t="str">
        <f>"978-7-5086-6055-4"</f>
        <v>978-7-5086-6055-4</v>
      </c>
      <c r="B43" s="7" t="str">
        <f>"新罗马帝国衰亡史"</f>
        <v>新罗马帝国衰亡史</v>
      </c>
      <c r="C43" s="8" t="str">
        <f>"(美) 詹姆斯·奥唐奈著"</f>
        <v>(美) 詹姆斯·奥唐奈著</v>
      </c>
      <c r="D43" s="8" t="str">
        <f>"中信出版集团股份有限公司"</f>
        <v>中信出版集团股份有限公司</v>
      </c>
      <c r="E43" s="8" t="str">
        <f>"K126/45"</f>
        <v>K126/45</v>
      </c>
    </row>
    <row r="44" spans="1:5" ht="31.5" customHeight="1">
      <c r="A44" s="6" t="str">
        <f>"978-7-5086-5311-2"</f>
        <v>978-7-5086-5311-2</v>
      </c>
      <c r="B44" s="7" t="str">
        <f>"卢比孔河：罗马共和国的衰亡：the last years of the Roman repubic"</f>
        <v>卢比孔河：罗马共和国的衰亡：the last years of the Roman repubic</v>
      </c>
      <c r="C44" s="8" t="str">
        <f>"(英) 汤姆·霍兰著"</f>
        <v>(英) 汤姆·霍兰著</v>
      </c>
      <c r="D44" s="8" t="str">
        <f>"中信出版集团股份有限公司"</f>
        <v>中信出版集团股份有限公司</v>
      </c>
      <c r="E44" s="8" t="str">
        <f>"K126/46"</f>
        <v>K126/46</v>
      </c>
    </row>
    <row r="45" spans="1:5" ht="21.95" customHeight="1">
      <c r="A45" s="6" t="str">
        <f>"978-7-302-49134-7"</f>
        <v>978-7-302-49134-7</v>
      </c>
      <c r="B45" s="7" t="str">
        <f>"生活在古罗马"</f>
        <v>生活在古罗马</v>
      </c>
      <c r="C45" s="8" t="str">
        <f>"(美) 约翰·格林图"</f>
        <v>(美) 约翰·格林图</v>
      </c>
      <c r="D45" s="8" t="str">
        <f>"清华大学出版社"</f>
        <v>清华大学出版社</v>
      </c>
      <c r="E45" s="8" t="str">
        <f>"K126-49/6"</f>
        <v>K126-49/6</v>
      </c>
    </row>
    <row r="46" spans="1:5" ht="21.95" customHeight="1">
      <c r="A46" s="6" t="str">
        <f>"978-7-5086-6255-8"</f>
        <v>978-7-5086-6255-8</v>
      </c>
      <c r="B46" s="7" t="str">
        <f>"1493物种大交换开创的世界史"</f>
        <v>1493物种大交换开创的世界史</v>
      </c>
      <c r="C46" s="8" t="str">
        <f>"(美)查尔斯·曼恩著"</f>
        <v>(美)查尔斯·曼恩著</v>
      </c>
      <c r="D46" s="8" t="str">
        <f t="shared" ref="D46:D50" si="2">"中信出版集团股份有限公司"</f>
        <v>中信出版集团股份有限公司</v>
      </c>
      <c r="E46" s="8" t="str">
        <f>"K13-49/5"</f>
        <v>K13-49/5</v>
      </c>
    </row>
    <row r="47" spans="1:5" ht="21.95" customHeight="1">
      <c r="A47" s="6" t="str">
        <f>"978-7-5086-7461-2"</f>
        <v>978-7-5086-7461-2</v>
      </c>
      <c r="B47" s="7" t="str">
        <f>"革命的年代：1789-1848：1789-1848"</f>
        <v>革命的年代：1789-1848：1789-1848</v>
      </c>
      <c r="C47" s="8" t="str">
        <f>"(英) 艾瑞克·霍布斯鲍姆著"</f>
        <v>(英) 艾瑞克·霍布斯鲍姆著</v>
      </c>
      <c r="D47" s="8" t="str">
        <f t="shared" si="2"/>
        <v>中信出版集团股份有限公司</v>
      </c>
      <c r="E47" s="8" t="str">
        <f>"K141/4"</f>
        <v>K141/4</v>
      </c>
    </row>
    <row r="48" spans="1:5" ht="21.95" customHeight="1">
      <c r="A48" s="6" t="str">
        <f>"978-7-5086-7463-6"</f>
        <v>978-7-5086-7463-6</v>
      </c>
      <c r="B48" s="7" t="str">
        <f>"资本的年代：1848-1875：1848-1875"</f>
        <v>资本的年代：1848-1875：1848-1875</v>
      </c>
      <c r="C48" s="8" t="str">
        <f>"(英)艾瑞克·霍布斯鲍姆著"</f>
        <v>(英)艾瑞克·霍布斯鲍姆著</v>
      </c>
      <c r="D48" s="8" t="str">
        <f t="shared" si="2"/>
        <v>中信出版集团股份有限公司</v>
      </c>
      <c r="E48" s="8" t="str">
        <f>"K141/5=2D"</f>
        <v>K141/5=2D</v>
      </c>
    </row>
    <row r="49" spans="1:5" ht="21.95" customHeight="1">
      <c r="A49" s="6" t="str">
        <f>"978-7-5086-7460-5"</f>
        <v>978-7-5086-7460-5</v>
      </c>
      <c r="B49" s="7" t="str">
        <f>"帝国的年代：1875-1914：1875-1914"</f>
        <v>帝国的年代：1875-1914：1875-1914</v>
      </c>
      <c r="C49" s="8" t="str">
        <f>"(英) 艾瑞克·霍布斯鲍姆著"</f>
        <v>(英) 艾瑞克·霍布斯鲍姆著</v>
      </c>
      <c r="D49" s="8" t="str">
        <f t="shared" si="2"/>
        <v>中信出版集团股份有限公司</v>
      </c>
      <c r="E49" s="8" t="str">
        <f>"K142/2=2D"</f>
        <v>K142/2=2D</v>
      </c>
    </row>
    <row r="50" spans="1:5" ht="21.95" customHeight="1">
      <c r="A50" s="6" t="str">
        <f>"978-7-5086-6821-5"</f>
        <v>978-7-5086-6821-5</v>
      </c>
      <c r="B50" s="7" t="str">
        <f>"美丽与哀愁：第一次世界大战个人史"</f>
        <v>美丽与哀愁：第一次世界大战个人史</v>
      </c>
      <c r="C50" s="8" t="str">
        <f>"(瑞典)皮特·恩格伦著"</f>
        <v>(瑞典)皮特·恩格伦著</v>
      </c>
      <c r="D50" s="8" t="str">
        <f t="shared" si="2"/>
        <v>中信出版集团股份有限公司</v>
      </c>
      <c r="E50" s="8" t="str">
        <f>"K143/6"</f>
        <v>K143/6</v>
      </c>
    </row>
    <row r="51" spans="1:5" ht="21.95" customHeight="1">
      <c r="A51" s="6" t="str">
        <f>"978-7-5426-6241-5"</f>
        <v>978-7-5426-6241-5</v>
      </c>
      <c r="B51" s="7" t="str">
        <f>"现代简史：从机器到机器人"</f>
        <v>现代简史：从机器到机器人</v>
      </c>
      <c r="C51" s="8" t="str">
        <f>"杜君立著"</f>
        <v>杜君立著</v>
      </c>
      <c r="D51" s="8" t="str">
        <f>"上海三联书店"</f>
        <v>上海三联书店</v>
      </c>
      <c r="E51" s="8" t="str">
        <f>"K15/14"</f>
        <v>K15/14</v>
      </c>
    </row>
    <row r="52" spans="1:5" ht="21.95" customHeight="1">
      <c r="A52" s="6" t="str">
        <f>"978-7-5086-7462-9"</f>
        <v>978-7-5086-7462-9</v>
      </c>
      <c r="B52" s="7" t="str">
        <f>"极端的年代：1914-1991：1914-1991"</f>
        <v>极端的年代：1914-1991：1914-1991</v>
      </c>
      <c r="C52" s="8" t="str">
        <f>"(英)艾瑞克·霍布斯鲍姆著"</f>
        <v>(英)艾瑞克·霍布斯鲍姆著</v>
      </c>
      <c r="D52" s="8" t="str">
        <f>"中信出版集团股份有限公司"</f>
        <v>中信出版集团股份有限公司</v>
      </c>
      <c r="E52" s="8" t="str">
        <f>"K15/15=2D"</f>
        <v>K15/15=2D</v>
      </c>
    </row>
    <row r="53" spans="1:5" ht="41.25" customHeight="1">
      <c r="A53" s="6" t="str">
        <f>"978-7-5201-0646-7"</f>
        <v>978-7-5201-0646-7</v>
      </c>
      <c r="B53" s="7" t="str">
        <f>"天生幸存者：集中营里三位年轻母亲与命运的抗争：three young mothers and their extraordinary story of courage， defiance and survival"</f>
        <v>天生幸存者：集中营里三位年轻母亲与命运的抗争：three young mothers and their extraordinary story of courage， defiance and survival</v>
      </c>
      <c r="C53" s="8" t="str">
        <f>"(英) 温迪·霍尔登著"</f>
        <v>(英) 温迪·霍尔登著</v>
      </c>
      <c r="D53" s="8" t="str">
        <f>"社会科学文献出版社"</f>
        <v>社会科学文献出版社</v>
      </c>
      <c r="E53" s="8" t="str">
        <f>"K152/104"</f>
        <v>K152/104</v>
      </c>
    </row>
    <row r="54" spans="1:5" ht="48" customHeight="1">
      <c r="A54" s="6" t="str">
        <f>"978-7-5086-8433-8"</f>
        <v>978-7-5086-8433-8</v>
      </c>
      <c r="B54" s="7" t="str">
        <f>"审问欧洲：二战时期的合作、抵抗与报复：the story of collaboration， resistance， and retribution during world war Ⅱ"</f>
        <v>审问欧洲：二战时期的合作、抵抗与报复：the story of collaboration， resistance， and retribution during world war Ⅱ</v>
      </c>
      <c r="C54" s="8" t="str">
        <f>"(美)伊斯特万·迪克著"</f>
        <v>(美)伊斯特万·迪克著</v>
      </c>
      <c r="D54" s="8" t="str">
        <f>"中信出版集团股份有限公司"</f>
        <v>中信出版集团股份有限公司</v>
      </c>
      <c r="E54" s="8" t="str">
        <f>"K152/105"</f>
        <v>K152/105</v>
      </c>
    </row>
    <row r="55" spans="1:5" ht="21.95" customHeight="1">
      <c r="A55" s="6" t="str">
        <f>"978-7-5086-6578-8"</f>
        <v>978-7-5086-6578-8</v>
      </c>
      <c r="B55" s="7" t="str">
        <f>"虚构的犹太民族"</f>
        <v>虚构的犹太民族</v>
      </c>
      <c r="C55" s="8" t="str">
        <f>"(以色列)施罗默·桑德著"</f>
        <v>(以色列)施罗默·桑德著</v>
      </c>
      <c r="D55" s="8" t="str">
        <f>"中信出版集团股份有限公司"</f>
        <v>中信出版集团股份有限公司</v>
      </c>
      <c r="E55" s="8" t="str">
        <f>"K18/37"</f>
        <v>K18/37</v>
      </c>
    </row>
    <row r="56" spans="1:5" ht="34.5" customHeight="1">
      <c r="A56" s="6" t="str">
        <f>"978-7-122-26269-1"</f>
        <v>978-7-122-26269-1</v>
      </c>
      <c r="B56" s="7" t="str">
        <f>"犹太人的故事：寻找失落的字符(公元前1000年 —— 公元1492年)：finding the words 1000 BC —— 1492 CE"</f>
        <v>犹太人的故事：寻找失落的字符(公元前1000年 —— 公元1492年)：finding the words 1000 BC —— 1492 CE</v>
      </c>
      <c r="C56" s="8" t="str">
        <f>"(英) 西门·沙马著"</f>
        <v>(英) 西门·沙马著</v>
      </c>
      <c r="D56" s="8" t="str">
        <f>"化学工业出版社"</f>
        <v>化学工业出版社</v>
      </c>
      <c r="E56" s="8" t="str">
        <f>"K18/38"</f>
        <v>K18/38</v>
      </c>
    </row>
    <row r="57" spans="1:5" ht="21.95" customHeight="1">
      <c r="A57" s="6" t="str">
        <f>"978-7-5086-6896-3"</f>
        <v>978-7-5086-6896-3</v>
      </c>
      <c r="B57" s="7" t="str">
        <f>"穿越丝路"</f>
        <v>穿越丝路</v>
      </c>
      <c r="C57" s="8" t="str">
        <f>"李伟主编"</f>
        <v>李伟主编</v>
      </c>
      <c r="D57" s="8" t="str">
        <f>"中信出版集团股份有限公司"</f>
        <v>中信出版集团股份有限公司</v>
      </c>
      <c r="E57" s="8" t="str">
        <f>"K203/329"</f>
        <v>K203/329</v>
      </c>
    </row>
    <row r="58" spans="1:5" ht="48" customHeight="1">
      <c r="A58" s="6" t="str">
        <f>"978-7-5096-5228-2"</f>
        <v>978-7-5096-5228-2</v>
      </c>
      <c r="B58" s="7" t="str">
        <f>"中国传统文化在现代生活中的应用：“一带一路”文化先行倡议：in modern life one belt and one road culture leading strategy"</f>
        <v>中国传统文化在现代生活中的应用：“一带一路”文化先行倡议：in modern life one belt and one road culture leading strategy</v>
      </c>
      <c r="C58" s="8" t="str">
        <f>"侯金广编著"</f>
        <v>侯金广编著</v>
      </c>
      <c r="D58" s="8" t="str">
        <f>"经济管理出版社"</f>
        <v>经济管理出版社</v>
      </c>
      <c r="E58" s="8" t="str">
        <f>"K203/330"</f>
        <v>K203/330</v>
      </c>
    </row>
    <row r="59" spans="1:5" ht="21.95" customHeight="1">
      <c r="A59" s="6" t="str">
        <f>"978-7-302-47885-0"</f>
        <v>978-7-302-47885-0</v>
      </c>
      <c r="B59" s="7" t="str">
        <f>"中华文明与人类共同价值"</f>
        <v>中华文明与人类共同价值</v>
      </c>
      <c r="C59" s="8" t="str">
        <f>"王志民，马啸主编"</f>
        <v>王志民，马啸主编</v>
      </c>
      <c r="D59" s="8" t="str">
        <f>"清华大学出版社"</f>
        <v>清华大学出版社</v>
      </c>
      <c r="E59" s="8" t="str">
        <f>"K203/331"</f>
        <v>K203/331</v>
      </c>
    </row>
    <row r="60" spans="1:5" ht="21.95" customHeight="1">
      <c r="A60" s="6" t="str">
        <f>"978-7-101-12117-9"</f>
        <v>978-7-101-12117-9</v>
      </c>
      <c r="B60" s="7" t="str">
        <f>"中国文化的发展过程"</f>
        <v>中国文化的发展过程</v>
      </c>
      <c r="C60" s="8" t="str">
        <f>"许倬云著"</f>
        <v>许倬云著</v>
      </c>
      <c r="D60" s="8" t="str">
        <f>"中华书局"</f>
        <v>中华书局</v>
      </c>
      <c r="E60" s="8" t="str">
        <f>"K203/332"</f>
        <v>K203/332</v>
      </c>
    </row>
    <row r="61" spans="1:5" ht="21.95" customHeight="1">
      <c r="A61" s="6" t="str">
        <f>"978-7-5086-7842-9"</f>
        <v>978-7-5086-7842-9</v>
      </c>
      <c r="B61" s="7" t="str">
        <f>"知中．010：以侠之名．010：In a knight-errant's name：特集"</f>
        <v>知中．010：以侠之名．010：In a knight-errant's name：特集</v>
      </c>
      <c r="C61" s="8" t="str">
        <f t="shared" ref="C61:C63" si="3">"罗威尔主编"</f>
        <v>罗威尔主编</v>
      </c>
      <c r="D61" s="8" t="str">
        <f t="shared" ref="D61:D63" si="4">"中信出版集团股份有限公司"</f>
        <v>中信出版集团股份有限公司</v>
      </c>
      <c r="E61" s="8" t="str">
        <f>"K203/333"</f>
        <v>K203/333</v>
      </c>
    </row>
    <row r="62" spans="1:5" ht="21.95" customHeight="1">
      <c r="A62" s="6" t="str">
        <f>"978-7-5086-5605-2"</f>
        <v>978-7-5086-5605-2</v>
      </c>
      <c r="B62" s="7" t="str">
        <f>"知中．006：一本读懂! 山海经：特集"</f>
        <v>知中．006：一本读懂! 山海经：特集</v>
      </c>
      <c r="C62" s="8" t="str">
        <f t="shared" si="3"/>
        <v>罗威尔主编</v>
      </c>
      <c r="D62" s="8" t="str">
        <f t="shared" si="4"/>
        <v>中信出版集团股份有限公司</v>
      </c>
      <c r="E62" s="8" t="str">
        <f>"K203/334"</f>
        <v>K203/334</v>
      </c>
    </row>
    <row r="63" spans="1:5" ht="32.25" customHeight="1">
      <c r="A63" s="6" t="str">
        <f>"978-7-5086-7587-9"</f>
        <v>978-7-5086-7587-9</v>
      </c>
      <c r="B63" s="7" t="str">
        <f>"知中．007：幸会! 苏东坡．006：Nice to meet you Su Dong Po：特集"</f>
        <v>知中．007：幸会! 苏东坡．006：Nice to meet you Su Dong Po：特集</v>
      </c>
      <c r="C63" s="8" t="str">
        <f t="shared" si="3"/>
        <v>罗威尔主编</v>
      </c>
      <c r="D63" s="8" t="str">
        <f t="shared" si="4"/>
        <v>中信出版集团股份有限公司</v>
      </c>
      <c r="E63" s="8" t="str">
        <f>"K203/335"</f>
        <v>K203/335</v>
      </c>
    </row>
    <row r="64" spans="1:5" ht="21.95" customHeight="1">
      <c r="A64" s="6" t="str">
        <f>"978-7-108-05777-8"</f>
        <v>978-7-108-05777-8</v>
      </c>
      <c r="B64" s="7" t="str">
        <f>"托尔斯泰和中国古典文化思想"</f>
        <v>托尔斯泰和中国古典文化思想</v>
      </c>
      <c r="C64" s="8" t="str">
        <f>"吴泽霖著"</f>
        <v>吴泽霖著</v>
      </c>
      <c r="D64" s="8" t="str">
        <f>"生活·读书·新知三联书店"</f>
        <v>生活·读书·新知三联书店</v>
      </c>
      <c r="E64" s="8" t="str">
        <f>"K203/336"</f>
        <v>K203/336</v>
      </c>
    </row>
    <row r="65" spans="1:5" ht="21.95" customHeight="1">
      <c r="A65" s="6" t="str">
        <f>"978-7-301-28341-7"</f>
        <v>978-7-301-28341-7</v>
      </c>
      <c r="B65" s="7" t="str">
        <f>"格物致知"</f>
        <v>格物致知</v>
      </c>
      <c r="C65" s="8" t="str">
        <f>"郭晓霞编著"</f>
        <v>郭晓霞编著</v>
      </c>
      <c r="D65" s="8" t="str">
        <f>"北京大学出版社"</f>
        <v>北京大学出版社</v>
      </c>
      <c r="E65" s="8" t="str">
        <f>"K203-49/43"</f>
        <v>K203-49/43</v>
      </c>
    </row>
    <row r="66" spans="1:5" ht="21.95" customHeight="1">
      <c r="A66" s="6" t="str">
        <f>"978-7-301-28449-0"</f>
        <v>978-7-301-28449-0</v>
      </c>
      <c r="B66" s="7" t="str">
        <f>"人文之始"</f>
        <v>人文之始</v>
      </c>
      <c r="C66" s="8" t="str">
        <f>"孙建新编著"</f>
        <v>孙建新编著</v>
      </c>
      <c r="D66" s="8" t="str">
        <f>"北京大学出版社"</f>
        <v>北京大学出版社</v>
      </c>
      <c r="E66" s="8" t="str">
        <f>"K203-49/44"</f>
        <v>K203-49/44</v>
      </c>
    </row>
    <row r="67" spans="1:5" ht="21.95" customHeight="1">
      <c r="A67" s="6" t="str">
        <f>"978-7-301-28498-8"</f>
        <v>978-7-301-28498-8</v>
      </c>
      <c r="B67" s="7" t="str">
        <f>"神话与民间文学：李福清汉学论集"</f>
        <v>神话与民间文学：李福清汉学论集</v>
      </c>
      <c r="C67" s="8" t="str">
        <f>"(俄罗斯) 李福清著"</f>
        <v>(俄罗斯) 李福清著</v>
      </c>
      <c r="D67" s="8" t="str">
        <f>"北京大学出版社"</f>
        <v>北京大学出版社</v>
      </c>
      <c r="E67" s="8" t="str">
        <f>"K207.8-53/6"</f>
        <v>K207.8-53/6</v>
      </c>
    </row>
    <row r="68" spans="1:5" ht="21.95" customHeight="1">
      <c r="A68" s="6" t="str">
        <f>"978-7-5086-7051-5"</f>
        <v>978-7-5086-7051-5</v>
      </c>
      <c r="B68" s="7" t="str">
        <f>"哈佛极简中国史：从文明起源到20世纪"</f>
        <v>哈佛极简中国史：从文明起源到20世纪</v>
      </c>
      <c r="C68" s="8" t="str">
        <f>"(美) 阿尔伯特·克雷格著"</f>
        <v>(美) 阿尔伯特·克雷格著</v>
      </c>
      <c r="D68" s="8" t="str">
        <f>"中信出版集团股份有限公司"</f>
        <v>中信出版集团股份有限公司</v>
      </c>
      <c r="E68" s="8" t="str">
        <f>"K207/81"</f>
        <v>K207/81</v>
      </c>
    </row>
    <row r="69" spans="1:5" ht="21.95" customHeight="1">
      <c r="A69" s="6" t="str">
        <f>"978-7-101-12522-1"</f>
        <v>978-7-101-12522-1</v>
      </c>
      <c r="B69" s="7" t="str">
        <f>"中华文化年表"</f>
        <v>中华文化年表</v>
      </c>
      <c r="C69" s="8" t="str">
        <f>"赵玉敏， 岳思聪， 陈虎编"</f>
        <v>赵玉敏， 岳思聪， 陈虎编</v>
      </c>
      <c r="D69" s="8" t="str">
        <f>"中华书局"</f>
        <v>中华书局</v>
      </c>
      <c r="E69" s="8" t="str">
        <f>"K208/10"</f>
        <v>K208/10</v>
      </c>
    </row>
    <row r="70" spans="1:5" ht="21.95" customHeight="1">
      <c r="A70" s="6" t="str">
        <f>"978-7-5443-8204-5"</f>
        <v>978-7-5443-8204-5</v>
      </c>
      <c r="B70" s="7" t="str">
        <f>"半小时漫画中国史．2"</f>
        <v>半小时漫画中国史．2</v>
      </c>
      <c r="C70" s="8" t="str">
        <f>"陈磊著"</f>
        <v>陈磊著</v>
      </c>
      <c r="D70" s="8" t="str">
        <f>"海南出版社"</f>
        <v>海南出版社</v>
      </c>
      <c r="E70" s="8" t="str">
        <f>"K209/424"</f>
        <v>K209/424</v>
      </c>
    </row>
    <row r="71" spans="1:5" ht="21.95" customHeight="1">
      <c r="A71" s="6" t="str">
        <f>"978-7-5399-9988-3"</f>
        <v>978-7-5399-9988-3</v>
      </c>
      <c r="B71" s="7" t="str">
        <f>"半小时漫画中国史：其实是一本严谨的极简中国史"</f>
        <v>半小时漫画中国史：其实是一本严谨的极简中国史</v>
      </c>
      <c r="C71" s="8" t="str">
        <f>"二混子著"</f>
        <v>二混子著</v>
      </c>
      <c r="D71" s="8" t="str">
        <f>"江苏凤凰文艺出版社"</f>
        <v>江苏凤凰文艺出版社</v>
      </c>
      <c r="E71" s="8" t="str">
        <f>"K209/425"</f>
        <v>K209/425</v>
      </c>
    </row>
    <row r="72" spans="1:5" ht="21.95" customHeight="1">
      <c r="A72" s="6" t="str">
        <f>"978-7-5426-5690-2"</f>
        <v>978-7-5426-5690-2</v>
      </c>
      <c r="B72" s="7" t="str">
        <f>"民族与古代中国史"</f>
        <v>民族与古代中国史</v>
      </c>
      <c r="C72" s="8" t="str">
        <f>"傅斯年著"</f>
        <v>傅斯年著</v>
      </c>
      <c r="D72" s="8" t="str">
        <f>"上海三联书店"</f>
        <v>上海三联书店</v>
      </c>
      <c r="E72" s="8" t="str">
        <f>"K220.7/59"</f>
        <v>K220.7/59</v>
      </c>
    </row>
    <row r="73" spans="1:5" ht="21.95" customHeight="1">
      <c r="A73" s="6" t="str">
        <f>"978-7-5426-5936-1"</f>
        <v>978-7-5426-5936-1</v>
      </c>
      <c r="B73" s="7" t="str">
        <f>"燕文化研究"</f>
        <v>燕文化研究</v>
      </c>
      <c r="C73" s="8" t="str">
        <f>"冯石岗， 许文婷著"</f>
        <v>冯石岗， 许文婷著</v>
      </c>
      <c r="D73" s="8" t="str">
        <f>"上海三联书店"</f>
        <v>上海三联书店</v>
      </c>
      <c r="E73" s="8" t="str">
        <f>"K231.03/1"</f>
        <v>K231.03/1</v>
      </c>
    </row>
    <row r="74" spans="1:5" ht="21.95" customHeight="1">
      <c r="A74" s="6" t="str">
        <f>"978-7-5086-8728-5"</f>
        <v>978-7-5086-8728-5</v>
      </c>
      <c r="B74" s="7" t="str">
        <f>"魏晋南北朝史：分裂与融合的时代"</f>
        <v>魏晋南北朝史：分裂与融合的时代</v>
      </c>
      <c r="C74" s="8" t="str">
        <f>"张鹤泉著"</f>
        <v>张鹤泉著</v>
      </c>
      <c r="D74" s="8" t="str">
        <f>"中信出版集团股份有限公司"</f>
        <v>中信出版集团股份有限公司</v>
      </c>
      <c r="E74" s="8" t="str">
        <f>"K235.07/10"</f>
        <v>K235.07/10</v>
      </c>
    </row>
    <row r="75" spans="1:5" ht="21.95" customHeight="1">
      <c r="A75" s="6" t="str">
        <f>"978-7-101-12472-9"</f>
        <v>978-7-101-12472-9</v>
      </c>
      <c r="B75" s="7" t="str">
        <f>"文体新变与南朝学术文化"</f>
        <v>文体新变与南朝学术文化</v>
      </c>
      <c r="C75" s="8" t="str">
        <f>"李晓红著"</f>
        <v>李晓红著</v>
      </c>
      <c r="D75" s="8" t="str">
        <f>"中华书局"</f>
        <v>中华书局</v>
      </c>
      <c r="E75" s="8" t="str">
        <f>"K239.103/1"</f>
        <v>K239.103/1</v>
      </c>
    </row>
    <row r="76" spans="1:5" ht="21.95" customHeight="1">
      <c r="A76" s="6" t="str">
        <f t="shared" ref="A76:A78" si="5">"978-7-5086-8728-5"</f>
        <v>978-7-5086-8728-5</v>
      </c>
      <c r="B76" s="7" t="str">
        <f>"宋史：文治昌盛 武功弱势"</f>
        <v>宋史：文治昌盛 武功弱势</v>
      </c>
      <c r="C76" s="8" t="str">
        <f>"游彪著"</f>
        <v>游彪著</v>
      </c>
      <c r="D76" s="8" t="str">
        <f t="shared" ref="D76:D78" si="6">"中信出版集团股份有限公司"</f>
        <v>中信出版集团股份有限公司</v>
      </c>
      <c r="E76" s="8" t="str">
        <f>"K244.09/39"</f>
        <v>K244.09/39</v>
      </c>
    </row>
    <row r="77" spans="1:5" ht="21.95" customHeight="1">
      <c r="A77" s="6" t="str">
        <f t="shared" si="5"/>
        <v>978-7-5086-8728-5</v>
      </c>
      <c r="B77" s="7" t="str">
        <f>"明史：多重性格的时代"</f>
        <v>明史：多重性格的时代</v>
      </c>
      <c r="C77" s="8" t="str">
        <f>"王天有， 高寿仙著"</f>
        <v>王天有， 高寿仙著</v>
      </c>
      <c r="D77" s="8" t="str">
        <f t="shared" si="6"/>
        <v>中信出版集团股份有限公司</v>
      </c>
      <c r="E77" s="8" t="str">
        <f>"K248/9"</f>
        <v>K248/9</v>
      </c>
    </row>
    <row r="78" spans="1:5" ht="21.95" customHeight="1">
      <c r="A78" s="6" t="str">
        <f t="shared" si="5"/>
        <v>978-7-5086-8728-5</v>
      </c>
      <c r="B78" s="7" t="str">
        <f>"中国近代史：危局与变革"</f>
        <v>中国近代史：危局与变革</v>
      </c>
      <c r="C78" s="8" t="str">
        <f>"李喜所， 李来容著"</f>
        <v>李喜所， 李来容著</v>
      </c>
      <c r="D78" s="8" t="str">
        <f t="shared" si="6"/>
        <v>中信出版集团股份有限公司</v>
      </c>
      <c r="E78" s="8" t="str">
        <f>"K25/48"</f>
        <v>K25/48</v>
      </c>
    </row>
    <row r="79" spans="1:5" ht="21.95" customHeight="1">
      <c r="A79" s="6" t="str">
        <f>"978-7-03-037615-2"</f>
        <v>978-7-03-037615-2</v>
      </c>
      <c r="B79" s="7" t="str">
        <f>"沉沦与复兴：中国近现代史基本问题"</f>
        <v>沉沦与复兴：中国近现代史基本问题</v>
      </c>
      <c r="C79" s="8" t="str">
        <f>"陈士军著"</f>
        <v>陈士军著</v>
      </c>
      <c r="D79" s="8" t="str">
        <f>"科学出版社"</f>
        <v>科学出版社</v>
      </c>
      <c r="E79" s="8" t="str">
        <f>"K250.7/53"</f>
        <v>K250.7/53</v>
      </c>
    </row>
    <row r="80" spans="1:5" ht="21.95" customHeight="1">
      <c r="A80" s="6" t="str">
        <f>"978-7-108-05896-6"</f>
        <v>978-7-108-05896-6</v>
      </c>
      <c r="B80" s="7" t="str">
        <f>"天朝的崩溃：鸦片战争再研究"</f>
        <v>天朝的崩溃：鸦片战争再研究</v>
      </c>
      <c r="C80" s="8" t="str">
        <f>"茅海建著"</f>
        <v>茅海建著</v>
      </c>
      <c r="D80" s="8" t="str">
        <f>"三联书店"</f>
        <v>三联书店</v>
      </c>
      <c r="E80" s="8" t="str">
        <f>"K253.07/5"</f>
        <v>K253.07/5</v>
      </c>
    </row>
    <row r="81" spans="1:5" ht="21.95" customHeight="1">
      <c r="A81" s="6" t="str">
        <f>"978-7-108-05697-9"</f>
        <v>978-7-108-05697-9</v>
      </c>
      <c r="B81" s="7" t="str">
        <f>"与民国相遇"</f>
        <v>与民国相遇</v>
      </c>
      <c r="C81" s="8" t="str">
        <f>"唐小兵著"</f>
        <v>唐小兵著</v>
      </c>
      <c r="D81" s="8" t="str">
        <f>"三联书店"</f>
        <v>三联书店</v>
      </c>
      <c r="E81" s="8" t="str">
        <f>"K258.06/5"</f>
        <v>K258.06/5</v>
      </c>
    </row>
    <row r="82" spans="1:5" ht="21.95" customHeight="1">
      <c r="A82" s="6" t="str">
        <f>"978-7-5474-2168-0"</f>
        <v>978-7-5474-2168-0</v>
      </c>
      <c r="B82" s="7" t="str">
        <f>"重回现场"</f>
        <v>重回现场</v>
      </c>
      <c r="C82" s="8" t="str">
        <f>"《老照片》编辑部编"</f>
        <v>《老照片》编辑部编</v>
      </c>
      <c r="D82" s="8" t="str">
        <f>"山东画报出版社"</f>
        <v>山东画报出版社</v>
      </c>
      <c r="E82" s="8" t="str">
        <f>"K260.6/12"</f>
        <v>K260.6/12</v>
      </c>
    </row>
    <row r="83" spans="1:5" ht="21.95" customHeight="1">
      <c r="A83" s="6" t="str">
        <f>"978-7-5474-2169-7"</f>
        <v>978-7-5474-2169-7</v>
      </c>
      <c r="B83" s="7" t="str">
        <f>"风物流变"</f>
        <v>风物流变</v>
      </c>
      <c r="C83" s="8" t="str">
        <f>"《老照片》编辑部编"</f>
        <v>《老照片》编辑部编</v>
      </c>
      <c r="D83" s="8" t="str">
        <f>"山东画报出版社"</f>
        <v>山东画报出版社</v>
      </c>
      <c r="E83" s="8" t="str">
        <f>"K260.6/13"</f>
        <v>K260.6/13</v>
      </c>
    </row>
    <row r="84" spans="1:5" ht="21.95" customHeight="1">
      <c r="A84" s="6" t="str">
        <f>"978-7-108-05776-1"</f>
        <v>978-7-108-05776-1</v>
      </c>
      <c r="B84" s="7" t="str">
        <f>"沙盘上的命运"</f>
        <v>沙盘上的命运</v>
      </c>
      <c r="C84" s="8" t="str">
        <f>"李菁著"</f>
        <v>李菁著</v>
      </c>
      <c r="D84" s="8" t="str">
        <f>"生活·读书·新知三联书店"</f>
        <v>生活·读书·新知三联书店</v>
      </c>
      <c r="E84" s="8" t="str">
        <f>"K260.7-53/2"</f>
        <v>K260.7-53/2</v>
      </c>
    </row>
    <row r="85" spans="1:5" ht="21.95" customHeight="1">
      <c r="A85" s="6" t="str">
        <f>"978-7-80199-388-5"</f>
        <v>978-7-80199-388-5</v>
      </c>
      <c r="B85" s="7" t="str">
        <f>"红军长征史"</f>
        <v>红军长征史</v>
      </c>
      <c r="C85" s="8" t="str">
        <f>"中共中央党史研究室第一研究所编著"</f>
        <v>中共中央党史研究室第一研究所编著</v>
      </c>
      <c r="D85" s="8" t="str">
        <f>"中共党史出版社"</f>
        <v>中共党史出版社</v>
      </c>
      <c r="E85" s="8" t="str">
        <f>"K264.406/27=2D"</f>
        <v>K264.406/27=2D</v>
      </c>
    </row>
    <row r="86" spans="1:5" ht="21.95" customHeight="1">
      <c r="A86" s="6" t="str">
        <f>"978-7-108-06084-6"</f>
        <v>978-7-108-06084-6</v>
      </c>
      <c r="B86" s="7" t="str">
        <f>"1944:腾冲之围"</f>
        <v>1944:腾冲之围</v>
      </c>
      <c r="C86" s="8" t="str">
        <f>"余戈著"</f>
        <v>余戈著</v>
      </c>
      <c r="D86" s="8" t="str">
        <f>"三联书店"</f>
        <v>三联书店</v>
      </c>
      <c r="E86" s="8" t="str">
        <f>"K265.06/65"</f>
        <v>K265.06/65</v>
      </c>
    </row>
    <row r="87" spans="1:5" ht="21.95" customHeight="1">
      <c r="A87" s="6" t="str">
        <f>"978-7-108-06084-6"</f>
        <v>978-7-108-06084-6</v>
      </c>
      <c r="B87" s="7" t="str">
        <f>"1944: 松山战役笔记"</f>
        <v>1944: 松山战役笔记</v>
      </c>
      <c r="C87" s="8" t="str">
        <f>"余戈著"</f>
        <v>余戈著</v>
      </c>
      <c r="D87" s="8" t="str">
        <f>"三联书店"</f>
        <v>三联书店</v>
      </c>
      <c r="E87" s="8" t="str">
        <f>"K265.210.6/25"</f>
        <v>K265.210.6/25</v>
      </c>
    </row>
    <row r="88" spans="1:5" ht="21.95" customHeight="1">
      <c r="A88" s="6" t="str">
        <f>"978-7-5201-1026-6"</f>
        <v>978-7-5201-1026-6</v>
      </c>
      <c r="B88" s="7" t="str">
        <f>"南京1937：血战危城：beattle for a doomed city"</f>
        <v>南京1937：血战危城：beattle for a doomed city</v>
      </c>
      <c r="C88" s="8" t="str">
        <f>"(丹)何铭生著"</f>
        <v>(丹)何铭生著</v>
      </c>
      <c r="D88" s="8" t="str">
        <f>"社会科学文献出版社"</f>
        <v>社会科学文献出版社</v>
      </c>
      <c r="E88" s="8" t="str">
        <f>"K265.606/38"</f>
        <v>K265.606/38</v>
      </c>
    </row>
    <row r="89" spans="1:5" ht="21.95" customHeight="1">
      <c r="A89" s="6" t="str">
        <f>"978-7-5063-7923-6"</f>
        <v>978-7-5063-7923-6</v>
      </c>
      <c r="B89" s="7" t="str">
        <f>"苦难辉煌"</f>
        <v>苦难辉煌</v>
      </c>
      <c r="C89" s="8" t="str">
        <f>"金一南著"</f>
        <v>金一南著</v>
      </c>
      <c r="D89" s="8" t="str">
        <f>"作家出版社"</f>
        <v>作家出版社</v>
      </c>
      <c r="E89" s="8" t="str">
        <f>"K270.9/4"</f>
        <v>K270.9/4</v>
      </c>
    </row>
    <row r="90" spans="1:5" ht="21.95" customHeight="1">
      <c r="A90" s="6" t="str">
        <f>"978-7-108-06279-6"</f>
        <v>978-7-108-06279-6</v>
      </c>
      <c r="B90" s="7" t="str">
        <f>"森林帝国"</f>
        <v>森林帝国</v>
      </c>
      <c r="C90" s="8" t="str">
        <f>"阎崇年著"</f>
        <v>阎崇年著</v>
      </c>
      <c r="D90" s="8" t="str">
        <f>"三联书店"</f>
        <v>三联书店</v>
      </c>
      <c r="E90" s="8" t="str">
        <f>"K282.1/6"</f>
        <v>K282.1/6</v>
      </c>
    </row>
    <row r="91" spans="1:5" ht="21.95" customHeight="1">
      <c r="A91" s="6" t="str">
        <f>"978-7-5201-0931-4"</f>
        <v>978-7-5201-0931-4</v>
      </c>
      <c r="B91" s="7" t="str">
        <f>"北京的隐秘角落"</f>
        <v>北京的隐秘角落</v>
      </c>
      <c r="C91" s="8" t="str">
        <f>"陆波著"</f>
        <v>陆波著</v>
      </c>
      <c r="D91" s="8" t="str">
        <f>"社会科学文献出版社"</f>
        <v>社会科学文献出版社</v>
      </c>
      <c r="E91" s="8" t="str">
        <f>"K291/87"</f>
        <v>K291/87</v>
      </c>
    </row>
    <row r="92" spans="1:5" ht="21.95" customHeight="1">
      <c r="A92" s="6" t="str">
        <f>"978-7-5426-5937-8"</f>
        <v>978-7-5426-5937-8</v>
      </c>
      <c r="B92" s="7" t="str">
        <f>"衡水文化印象"</f>
        <v>衡水文化印象</v>
      </c>
      <c r="C92" s="8" t="str">
        <f>"冯石岗， 贾建梅主编"</f>
        <v>冯石岗， 贾建梅主编</v>
      </c>
      <c r="D92" s="8" t="str">
        <f>"上海三联书店"</f>
        <v>上海三联书店</v>
      </c>
      <c r="E92" s="8" t="str">
        <f>"K292.23/3"</f>
        <v>K292.23/3</v>
      </c>
    </row>
    <row r="93" spans="1:5" ht="21.95" customHeight="1">
      <c r="A93" s="6" t="str">
        <f>"978-7-5426-5691-9"</f>
        <v>978-7-5426-5691-9</v>
      </c>
      <c r="B93" s="7" t="str">
        <f>"东北史纲"</f>
        <v>东北史纲</v>
      </c>
      <c r="C93" s="8" t="str">
        <f>"傅斯年著"</f>
        <v>傅斯年著</v>
      </c>
      <c r="D93" s="8" t="str">
        <f>"上海三联书店"</f>
        <v>上海三联书店</v>
      </c>
      <c r="E93" s="8" t="str">
        <f>"K293/6"</f>
        <v>K293/6</v>
      </c>
    </row>
    <row r="94" spans="1:5" ht="21.95" customHeight="1">
      <c r="A94" s="6" t="str">
        <f>"978-7-108-05813-3"</f>
        <v>978-7-108-05813-3</v>
      </c>
      <c r="B94" s="7" t="str">
        <f>"上海故事"</f>
        <v>上海故事</v>
      </c>
      <c r="C94" s="8" t="str">
        <f>"(美)朗格等著"</f>
        <v>(美)朗格等著</v>
      </c>
      <c r="D94" s="8" t="str">
        <f>"生活·读书·新知三联书店"</f>
        <v>生活·读书·新知三联书店</v>
      </c>
      <c r="E94" s="8" t="str">
        <f>"K295.1/281"</f>
        <v>K295.1/281</v>
      </c>
    </row>
    <row r="95" spans="1:5" ht="21.95" customHeight="1">
      <c r="A95" s="6" t="str">
        <f>"978-7-5426-6152-4"</f>
        <v>978-7-5426-6152-4</v>
      </c>
      <c r="B95" s="7" t="str">
        <f>"书写城市史"</f>
        <v>书写城市史</v>
      </c>
      <c r="C95" s="8" t="str">
        <f>"主编苏智良， 陈恒"</f>
        <v>主编苏智良， 陈恒</v>
      </c>
      <c r="D95" s="8" t="str">
        <f t="shared" ref="D95:D97" si="7">"上海三联书店"</f>
        <v>上海三联书店</v>
      </c>
      <c r="E95" s="8" t="str">
        <f>"K295.1/282"</f>
        <v>K295.1/282</v>
      </c>
    </row>
    <row r="96" spans="1:5" ht="21.95" customHeight="1">
      <c r="A96" s="6" t="str">
        <f>"978-7-5426-6076-3"</f>
        <v>978-7-5426-6076-3</v>
      </c>
      <c r="B96" s="7" t="str">
        <f>"上海档案史料研究．第二十二辑"</f>
        <v>上海档案史料研究．第二十二辑</v>
      </c>
      <c r="C96" s="8" t="str">
        <f>"上海市档案馆编"</f>
        <v>上海市档案馆编</v>
      </c>
      <c r="D96" s="8" t="str">
        <f t="shared" si="7"/>
        <v>上海三联书店</v>
      </c>
      <c r="E96" s="8" t="str">
        <f>"K295.1-55/1"</f>
        <v>K295.1-55/1</v>
      </c>
    </row>
    <row r="97" spans="1:5" ht="21.95" customHeight="1">
      <c r="A97" s="6" t="str">
        <f>"978-7-5426-6082-4"</f>
        <v>978-7-5426-6082-4</v>
      </c>
      <c r="B97" s="7" t="str">
        <f>"江浙文化．第二辑"</f>
        <v>江浙文化．第二辑</v>
      </c>
      <c r="C97" s="8" t="str">
        <f>"邱高兴主编"</f>
        <v>邱高兴主编</v>
      </c>
      <c r="D97" s="8" t="str">
        <f t="shared" si="7"/>
        <v>上海三联书店</v>
      </c>
      <c r="E97" s="8" t="str">
        <f>"K295.3/1"</f>
        <v>K295.3/1</v>
      </c>
    </row>
    <row r="98" spans="1:5" ht="21.95" customHeight="1">
      <c r="A98" s="6" t="str">
        <f>"978-7-108-06055-6"</f>
        <v>978-7-108-06055-6</v>
      </c>
      <c r="B98" s="7" t="str">
        <f>"在台湾发现历史：岛屿的另一种凝视"</f>
        <v>在台湾发现历史：岛屿的另一种凝视</v>
      </c>
      <c r="C98" s="8" t="str">
        <f>"杨渡著"</f>
        <v>杨渡著</v>
      </c>
      <c r="D98" s="8" t="str">
        <f>"三联书店"</f>
        <v>三联书店</v>
      </c>
      <c r="E98" s="8" t="str">
        <f>"K295.8/18"</f>
        <v>K295.8/18</v>
      </c>
    </row>
    <row r="99" spans="1:5" ht="21.95" customHeight="1">
      <c r="A99" s="6" t="str">
        <f>"978-7-5361-4723-2"</f>
        <v>978-7-5361-4723-2</v>
      </c>
      <c r="B99" s="7" t="str">
        <f>"广东通史．现代．上册"</f>
        <v>广东通史．现代．上册</v>
      </c>
      <c r="C99" s="8" t="str">
        <f>"方志钦， 蒋祖缘主编"</f>
        <v>方志钦， 蒋祖缘主编</v>
      </c>
      <c r="D99" s="8" t="str">
        <f>"广东高等教育出版社"</f>
        <v>广东高等教育出版社</v>
      </c>
      <c r="E99" s="8" t="str">
        <f>"K296.5/34"</f>
        <v>K296.5/34</v>
      </c>
    </row>
    <row r="100" spans="1:5" ht="21.95" customHeight="1">
      <c r="A100" s="6" t="str">
        <f>"978-7-108-06093-8"</f>
        <v>978-7-108-06093-8</v>
      </c>
      <c r="B100" s="7" t="str">
        <f>"中国与重洋：潮汕简史"</f>
        <v>中国与重洋：潮汕简史</v>
      </c>
      <c r="C100" s="8" t="str">
        <f>"黄挺著"</f>
        <v>黄挺著</v>
      </c>
      <c r="D100" s="8" t="str">
        <f>"三联书店"</f>
        <v>三联书店</v>
      </c>
      <c r="E100" s="8" t="str">
        <f>"K296.52/1"</f>
        <v>K296.52/1</v>
      </c>
    </row>
    <row r="101" spans="1:5" ht="21.95" customHeight="1">
      <c r="A101" s="6" t="str">
        <f>"978-7-108-06020-4"</f>
        <v>978-7-108-06020-4</v>
      </c>
      <c r="B101" s="7" t="str">
        <f>"处境与视野：潮汕中外交流的光影记忆"</f>
        <v>处境与视野：潮汕中外交流的光影记忆</v>
      </c>
      <c r="C101" s="8" t="str">
        <f>"李榭熙，周翠珊编著"</f>
        <v>李榭熙，周翠珊编著</v>
      </c>
      <c r="D101" s="8" t="str">
        <f>"三联书店"</f>
        <v>三联书店</v>
      </c>
      <c r="E101" s="8" t="str">
        <f>"K296.53-64/1"</f>
        <v>K296.53-64/1</v>
      </c>
    </row>
    <row r="102" spans="1:5" ht="21.95" customHeight="1">
      <c r="A102" s="6" t="str">
        <f>"978-7-5339-4551-0"</f>
        <v>978-7-5339-4551-0</v>
      </c>
      <c r="B102" s="7" t="str">
        <f>"菊与刀"</f>
        <v>菊与刀</v>
      </c>
      <c r="C102" s="8" t="str">
        <f>"(美) 鲁思·本尼迪克特著"</f>
        <v>(美) 鲁思·本尼迪克特著</v>
      </c>
      <c r="D102" s="8" t="str">
        <f>"浙江文艺出版社"</f>
        <v>浙江文艺出版社</v>
      </c>
      <c r="E102" s="8" t="str">
        <f>"K313.03/24"</f>
        <v>K313.03/24</v>
      </c>
    </row>
    <row r="103" spans="1:5" ht="21.95" customHeight="1">
      <c r="A103" s="6" t="str">
        <f>"978-7-302-49132-3"</f>
        <v>978-7-302-49132-3</v>
      </c>
      <c r="B103" s="7" t="str">
        <f>"生活在古代日本"</f>
        <v>生活在古代日本</v>
      </c>
      <c r="C103" s="8" t="str">
        <f>"(美) 约翰·格林图"</f>
        <v>(美) 约翰·格林图</v>
      </c>
      <c r="D103" s="8" t="str">
        <f>"清华大学出版社"</f>
        <v>清华大学出版社</v>
      </c>
      <c r="E103" s="8" t="str">
        <f>"K313.2/1"</f>
        <v>K313.2/1</v>
      </c>
    </row>
    <row r="104" spans="1:5" ht="33" customHeight="1">
      <c r="A104" s="6" t="str">
        <f>"978-7-5086-6820-8"</f>
        <v>978-7-5086-6820-8</v>
      </c>
      <c r="B104" s="7" t="str">
        <f>"现代日本史：从德川时代到21世纪：from Tokugawa times to the present"</f>
        <v>现代日本史：从德川时代到21世纪：from Tokugawa times to the present</v>
      </c>
      <c r="C104" s="8" t="str">
        <f>"(美)安德鲁·戈登著"</f>
        <v>(美)安德鲁·戈登著</v>
      </c>
      <c r="D104" s="8" t="str">
        <f>"中信出版集团股份有限公司"</f>
        <v>中信出版集团股份有限公司</v>
      </c>
      <c r="E104" s="8" t="str">
        <f>"K313.5/1"</f>
        <v>K313.5/1</v>
      </c>
    </row>
    <row r="105" spans="1:5" ht="21.95" customHeight="1">
      <c r="A105" s="6" t="str">
        <f>"978-7-5112-4437-6"</f>
        <v>978-7-5112-4437-6</v>
      </c>
      <c r="B105" s="7" t="str">
        <f>"印度：神秘的圣境"</f>
        <v>印度：神秘的圣境</v>
      </c>
      <c r="C105" s="8" t="str">
        <f>"(意) 玛丽亚·安杰利洛编著"</f>
        <v>(意) 玛丽亚·安杰利洛编著</v>
      </c>
      <c r="D105" s="8" t="str">
        <f>"光明日报出版社"</f>
        <v>光明日报出版社</v>
      </c>
      <c r="E105" s="8" t="str">
        <f>"K351.2/6"</f>
        <v>K351.2/6</v>
      </c>
    </row>
    <row r="106" spans="1:5" ht="31.5" customHeight="1">
      <c r="A106" s="6" t="str">
        <f>"978-7-5434-9856-3"</f>
        <v>978-7-5434-9856-3</v>
      </c>
      <c r="B106" s="7" t="str">
        <f>"伊斯兰：阿拉伯文明之光：history and treasures of an ancient civilization"</f>
        <v>伊斯兰：阿拉伯文明之光：history and treasures of an ancient civilization</v>
      </c>
      <c r="C106" s="8" t="str">
        <f>"(意)弗兰切斯卡·罗曼娜·罗马尼著"</f>
        <v>(意)弗兰切斯卡·罗曼娜·罗马尼著</v>
      </c>
      <c r="D106" s="8" t="str">
        <f>"河北教育出版社"</f>
        <v>河北教育出版社</v>
      </c>
      <c r="E106" s="8" t="str">
        <f>"K370.3/1"</f>
        <v>K370.3/1</v>
      </c>
    </row>
    <row r="107" spans="1:5" ht="33.75" customHeight="1">
      <c r="A107" s="6" t="str">
        <f>"978-7-5097-9565-1"</f>
        <v>978-7-5097-9565-1</v>
      </c>
      <c r="B107" s="7" t="str">
        <f>"佩拉宫的午夜：现代伊斯坦布尔的诞生：the birth of modern istanbul"</f>
        <v>佩拉宫的午夜：现代伊斯坦布尔的诞生：the birth of modern istanbul</v>
      </c>
      <c r="C107" s="8" t="str">
        <f>"(美) 查尔斯·金著"</f>
        <v>(美) 查尔斯·金著</v>
      </c>
      <c r="D107" s="8" t="str">
        <f>"社会科学文献出版社"</f>
        <v>社会科学文献出版社</v>
      </c>
      <c r="E107" s="8" t="str">
        <f>"K374.9/1"</f>
        <v>K374.9/1</v>
      </c>
    </row>
    <row r="108" spans="1:5" ht="21.95" customHeight="1">
      <c r="A108" s="6" t="str">
        <f>"978-7-5112-4436-9"</f>
        <v>978-7-5112-4436-9</v>
      </c>
      <c r="B108" s="7" t="str">
        <f>"法老守护的埃及"</f>
        <v>法老守护的埃及</v>
      </c>
      <c r="C108" s="8" t="str">
        <f>"(意)乔治·费雷罗编著"</f>
        <v>(意)乔治·费雷罗编著</v>
      </c>
      <c r="D108" s="8" t="str">
        <f>"光明日报出版社"</f>
        <v>光明日报出版社</v>
      </c>
      <c r="E108" s="8" t="str">
        <f>"K411.2/24"</f>
        <v>K411.2/24</v>
      </c>
    </row>
    <row r="109" spans="1:5" ht="21.95" customHeight="1">
      <c r="A109" s="6" t="str">
        <f>"978-7-302-49161-3"</f>
        <v>978-7-302-49161-3</v>
      </c>
      <c r="B109" s="7" t="str">
        <f>"生活在古埃及"</f>
        <v>生活在古埃及</v>
      </c>
      <c r="C109" s="8" t="str">
        <f>"(美) 约翰·格林图"</f>
        <v>(美) 约翰·格林图</v>
      </c>
      <c r="D109" s="8" t="str">
        <f>"清华大学出版社"</f>
        <v>清华大学出版社</v>
      </c>
      <c r="E109" s="8" t="str">
        <f>"K411.2/25"</f>
        <v>K411.2/25</v>
      </c>
    </row>
    <row r="110" spans="1:5" ht="35.25" customHeight="1">
      <c r="A110" s="6" t="str">
        <f>"978-7-5086-6843-7"</f>
        <v>978-7-5086-6843-7</v>
      </c>
      <c r="B110" s="7" t="str">
        <f>"现代社会的形成：1500年以来的社会变迁：the making of the modern world"</f>
        <v>现代社会的形成：1500年以来的社会变迁：the making of the modern world</v>
      </c>
      <c r="C110" s="8" t="str">
        <f>"(英) 玛丽·伊万丝著"</f>
        <v>(英) 玛丽·伊万丝著</v>
      </c>
      <c r="D110" s="8" t="str">
        <f>"中信出版集团股份有限公司"</f>
        <v>中信出版集团股份有限公司</v>
      </c>
      <c r="E110" s="8" t="str">
        <f>"K5/6"</f>
        <v>K5/6</v>
      </c>
    </row>
    <row r="111" spans="1:5" ht="21.95" customHeight="1">
      <c r="A111" s="6" t="str">
        <f>"978-7-5086-4695-4"</f>
        <v>978-7-5086-4695-4</v>
      </c>
      <c r="B111" s="7" t="str">
        <f>"重返文艺复兴：你不知道的天才之争"</f>
        <v>重返文艺复兴：你不知道的天才之争</v>
      </c>
      <c r="C111" s="8" t="str">
        <f>"谢哲青著"</f>
        <v>谢哲青著</v>
      </c>
      <c r="D111" s="8" t="str">
        <f>"中信出版社"</f>
        <v>中信出版社</v>
      </c>
      <c r="E111" s="8" t="str">
        <f>"K503/27"</f>
        <v>K503/27</v>
      </c>
    </row>
    <row r="112" spans="1:5" ht="21.95" customHeight="1">
      <c r="A112" s="6" t="str">
        <f>"978-7-5086-6916-8"</f>
        <v>978-7-5086-6916-8</v>
      </c>
      <c r="B112" s="7" t="str">
        <f>"神的代理人"</f>
        <v>神的代理人</v>
      </c>
      <c r="C112" s="8" t="str">
        <f>"(日)盐野七生著"</f>
        <v>(日)盐野七生著</v>
      </c>
      <c r="D112" s="8" t="str">
        <f t="shared" ref="D112:D114" si="8">"中信出版集团股份有限公司"</f>
        <v>中信出版集团股份有限公司</v>
      </c>
      <c r="E112" s="8" t="str">
        <f>"K503/28"</f>
        <v>K503/28</v>
      </c>
    </row>
    <row r="113" spans="1:5" ht="21.95" customHeight="1">
      <c r="A113" s="6" t="str">
        <f>"978-7-5086-6494-1"</f>
        <v>978-7-5086-6494-1</v>
      </c>
      <c r="B113" s="7" t="str">
        <f>"黑暗大陆：20世纪的欧洲：Europe's twentieth century"</f>
        <v>黑暗大陆：20世纪的欧洲：Europe's twentieth century</v>
      </c>
      <c r="C113" s="8" t="str">
        <f>"(英)马克·马佐尔著"</f>
        <v>(英)马克·马佐尔著</v>
      </c>
      <c r="D113" s="8" t="str">
        <f t="shared" si="8"/>
        <v>中信出版集团股份有限公司</v>
      </c>
      <c r="E113" s="8" t="str">
        <f>"K505/5"</f>
        <v>K505/5</v>
      </c>
    </row>
    <row r="114" spans="1:5" ht="32.25" customHeight="1">
      <c r="A114" s="6" t="str">
        <f>"978-7-5086-7018-8"</f>
        <v>978-7-5086-7018-8</v>
      </c>
      <c r="B114" s="7" t="str">
        <f>"巴尔干五百年：从拜占庭帝国灭亡到21世纪：from the end of Byzantium to the present day"</f>
        <v>巴尔干五百年：从拜占庭帝国灭亡到21世纪：from the end of Byzantium to the present day</v>
      </c>
      <c r="C114" s="8" t="str">
        <f>"(英) 马克·马佐尔著"</f>
        <v>(英) 马克·马佐尔著</v>
      </c>
      <c r="D114" s="8" t="str">
        <f t="shared" si="8"/>
        <v>中信出版集团股份有限公司</v>
      </c>
      <c r="E114" s="8" t="str">
        <f>"K54/3"</f>
        <v>K54/3</v>
      </c>
    </row>
    <row r="115" spans="1:5" ht="21.95" customHeight="1">
      <c r="A115" s="6" t="str">
        <f>"978-7-5086-5596-3"</f>
        <v>978-7-5086-5596-3</v>
      </c>
      <c r="B115" s="7" t="str">
        <f>"我的朋友马基雅维利：佛罗伦萨的兴亡"</f>
        <v>我的朋友马基雅维利：佛罗伦萨的兴亡</v>
      </c>
      <c r="C115" s="8" t="str">
        <f>"(日)盐野七生著"</f>
        <v>(日)盐野七生著</v>
      </c>
      <c r="D115" s="8" t="str">
        <f>"中信出版社"</f>
        <v>中信出版社</v>
      </c>
      <c r="E115" s="8" t="str">
        <f>"K546.3/2"</f>
        <v>K546.3/2</v>
      </c>
    </row>
    <row r="116" spans="1:5" ht="21.95" customHeight="1">
      <c r="A116" s="6" t="str">
        <f>"978-7-5086-6083-7"</f>
        <v>978-7-5086-6083-7</v>
      </c>
      <c r="B116" s="7" t="str">
        <f>"海都物语：威尼斯一千年"</f>
        <v>海都物语：威尼斯一千年</v>
      </c>
      <c r="C116" s="8" t="str">
        <f>"(日)盐野七生著"</f>
        <v>(日)盐野七生著</v>
      </c>
      <c r="D116" s="8" t="str">
        <f>"中信出版集团股份有限公司"</f>
        <v>中信出版集团股份有限公司</v>
      </c>
      <c r="E116" s="8" t="str">
        <f>"K546.3/3/1"</f>
        <v>K546.3/3/1</v>
      </c>
    </row>
    <row r="117" spans="1:5" ht="21.95" customHeight="1">
      <c r="A117" s="6" t="str">
        <f>"978-7-5426-6067-1"</f>
        <v>978-7-5426-6067-1</v>
      </c>
      <c r="B117" s="7" t="str">
        <f>"丘吉尔论民主国家：大国演义：the great democracies"</f>
        <v>丘吉尔论民主国家：大国演义：the great democracies</v>
      </c>
      <c r="C117" s="8" t="str">
        <f>"(英国) 温斯顿·丘吉尔著"</f>
        <v>(英国) 温斯顿·丘吉尔著</v>
      </c>
      <c r="D117" s="8" t="str">
        <f t="shared" ref="D117:D121" si="9">"上海三联书店"</f>
        <v>上海三联书店</v>
      </c>
      <c r="E117" s="8" t="str">
        <f>"K561.09/10"</f>
        <v>K561.09/10</v>
      </c>
    </row>
    <row r="118" spans="1:5" ht="21.95" customHeight="1">
      <c r="A118" s="6" t="str">
        <f>"978-7-5426-5859-3"</f>
        <v>978-7-5426-5859-3</v>
      </c>
      <c r="B118" s="7" t="str">
        <f>"丘吉尔论民主国家：发现美洲新大陆：the new world"</f>
        <v>丘吉尔论民主国家：发现美洲新大陆：the new world</v>
      </c>
      <c r="C118" s="8" t="str">
        <f>"(英) 温斯顿·丘吉尔著"</f>
        <v>(英) 温斯顿·丘吉尔著</v>
      </c>
      <c r="D118" s="8" t="str">
        <f t="shared" si="9"/>
        <v>上海三联书店</v>
      </c>
      <c r="E118" s="8" t="str">
        <f>"K561.09/11"</f>
        <v>K561.09/11</v>
      </c>
    </row>
    <row r="119" spans="1:5" ht="21.95" customHeight="1">
      <c r="A119" s="6" t="str">
        <f>"978-7-5426-5709-1"</f>
        <v>978-7-5426-5709-1</v>
      </c>
      <c r="B119" s="7" t="str">
        <f>"丘吉尔论民主国家：大不列颠的诞生：the birth of Britain"</f>
        <v>丘吉尔论民主国家：大不列颠的诞生：the birth of Britain</v>
      </c>
      <c r="C119" s="8" t="str">
        <f>"(英国) 温斯顿·丘吉尔著"</f>
        <v>(英国) 温斯顿·丘吉尔著</v>
      </c>
      <c r="D119" s="8" t="str">
        <f t="shared" si="9"/>
        <v>上海三联书店</v>
      </c>
      <c r="E119" s="8" t="str">
        <f>"K561.09/8"</f>
        <v>K561.09/8</v>
      </c>
    </row>
    <row r="120" spans="1:5" ht="21.95" customHeight="1">
      <c r="A120" s="6" t="str">
        <f>"978-7-5426-5910-1"</f>
        <v>978-7-5426-5910-1</v>
      </c>
      <c r="B120" s="7" t="str">
        <f>"丘吉尔论民主国家：革命的年代：the age of revoluttion"</f>
        <v>丘吉尔论民主国家：革命的年代：the age of revoluttion</v>
      </c>
      <c r="C120" s="8" t="str">
        <f>"(英国) 温斯顿·丘吉尔著"</f>
        <v>(英国) 温斯顿·丘吉尔著</v>
      </c>
      <c r="D120" s="8" t="str">
        <f t="shared" si="9"/>
        <v>上海三联书店</v>
      </c>
      <c r="E120" s="8" t="str">
        <f>"K561.09/9"</f>
        <v>K561.09/9</v>
      </c>
    </row>
    <row r="121" spans="1:5" ht="21.95" customHeight="1">
      <c r="A121" s="6" t="str">
        <f>"978-7-5426-5920-0"</f>
        <v>978-7-5426-5920-0</v>
      </c>
      <c r="B121" s="7" t="str">
        <f>"启蒙时期苏格兰历史学派"</f>
        <v>启蒙时期苏格兰历史学派</v>
      </c>
      <c r="C121" s="8" t="str">
        <f>"李勇主著"</f>
        <v>李勇主著</v>
      </c>
      <c r="D121" s="8" t="str">
        <f t="shared" si="9"/>
        <v>上海三联书店</v>
      </c>
      <c r="E121" s="8" t="str">
        <f>"K561.4/4"</f>
        <v>K561.4/4</v>
      </c>
    </row>
    <row r="122" spans="1:5" ht="21.95" customHeight="1">
      <c r="A122" s="6" t="str">
        <f>"978-7-5086-5849-0"</f>
        <v>978-7-5086-5849-0</v>
      </c>
      <c r="B122" s="7" t="str">
        <f>"1491前哥伦布时代美洲启示录"</f>
        <v>1491前哥伦布时代美洲启示录</v>
      </c>
      <c r="C122" s="8" t="str">
        <f>"(美) 查尔斯·曼恩著"</f>
        <v>(美) 查尔斯·曼恩著</v>
      </c>
      <c r="D122" s="8" t="str">
        <f>"中信出版集团股份有限公司"</f>
        <v>中信出版集团股份有限公司</v>
      </c>
      <c r="E122" s="8" t="str">
        <f>"K702/3"</f>
        <v>K702/3</v>
      </c>
    </row>
    <row r="123" spans="1:5" ht="21.95" customHeight="1">
      <c r="A123" s="6" t="str">
        <f>"978-7-5060-7711-8"</f>
        <v>978-7-5060-7711-8</v>
      </c>
      <c r="B123" s="7" t="str">
        <f>"自由的阶梯：美国文明札记：notes on American civilization"</f>
        <v>自由的阶梯：美国文明札记：notes on American civilization</v>
      </c>
      <c r="C123" s="8" t="str">
        <f>"钱满素著"</f>
        <v>钱满素著</v>
      </c>
      <c r="D123" s="8" t="str">
        <f>"东方出版社"</f>
        <v>东方出版社</v>
      </c>
      <c r="E123" s="8" t="str">
        <f>"K712.03-53/2"</f>
        <v>K712.03-53/2</v>
      </c>
    </row>
    <row r="124" spans="1:5" ht="21.95" customHeight="1">
      <c r="A124" s="6" t="str">
        <f>"978-7-5060-9281-4"</f>
        <v>978-7-5060-9281-4</v>
      </c>
      <c r="B124" s="7" t="str">
        <f>"自由的刻度：缔造美国文明的40篇经典文献"</f>
        <v>自由的刻度：缔造美国文明的40篇经典文献</v>
      </c>
      <c r="C124" s="8" t="str">
        <f>"钱满素主编"</f>
        <v>钱满素主编</v>
      </c>
      <c r="D124" s="8" t="str">
        <f>"东方出版社"</f>
        <v>东方出版社</v>
      </c>
      <c r="E124" s="8" t="str">
        <f>"K712.03-53/3"</f>
        <v>K712.03-53/3</v>
      </c>
    </row>
    <row r="125" spans="1:5" ht="42.75" customHeight="1">
      <c r="A125" s="6" t="str">
        <f>"978-7-5086-8015-6"</f>
        <v>978-7-5086-8015-6</v>
      </c>
      <c r="B125" s="7" t="str">
        <f>"美国创世记：建国历程的胜利与悲剧：1775-1803：triumplhs and tnagedies at the founding of the republic：1775-1803"</f>
        <v>美国创世记：建国历程的胜利与悲剧：1775-1803：triumplhs and tnagedies at the founding of the republic：1775-1803</v>
      </c>
      <c r="C125" s="8" t="str">
        <f>"(美) 约瑟夫·J.埃利斯著"</f>
        <v>(美) 约瑟夫·J.埃利斯著</v>
      </c>
      <c r="D125" s="8" t="str">
        <f t="shared" ref="D125:D127" si="10">"中信出版集团股份有限公司"</f>
        <v>中信出版集团股份有限公司</v>
      </c>
      <c r="E125" s="8" t="str">
        <f>"K712.4/3"</f>
        <v>K712.4/3</v>
      </c>
    </row>
    <row r="126" spans="1:5" ht="21.95" customHeight="1">
      <c r="A126" s="6" t="str">
        <f>"978-7-5086-7334-9"</f>
        <v>978-7-5086-7334-9</v>
      </c>
      <c r="B126" s="7" t="str">
        <f>"美国革命：美利坚合众国的缔造史"</f>
        <v>美国革命：美利坚合众国的缔造史</v>
      </c>
      <c r="C126" s="8" t="str">
        <f>"(美) 戈登·S.伍德著"</f>
        <v>(美) 戈登·S.伍德著</v>
      </c>
      <c r="D126" s="8" t="str">
        <f t="shared" si="10"/>
        <v>中信出版集团股份有限公司</v>
      </c>
      <c r="E126" s="8" t="str">
        <f>"K712.41/5"</f>
        <v>K712.41/5</v>
      </c>
    </row>
    <row r="127" spans="1:5" ht="36.75" customHeight="1">
      <c r="A127" s="6" t="str">
        <f>"978-7-5086-8128-3"</f>
        <v>978-7-5086-8128-3</v>
      </c>
      <c r="B127" s="7" t="str">
        <f>"缔造共和：美利坚合众国的诞生， 1783-1789：orchestrating the second american revolution， 1783-1789"</f>
        <v>缔造共和：美利坚合众国的诞生， 1783-1789：orchestrating the second american revolution， 1783-1789</v>
      </c>
      <c r="C127" s="8" t="str">
        <f>"(美) 约瑟夫·J.埃利斯著"</f>
        <v>(美) 约瑟夫·J.埃利斯著</v>
      </c>
      <c r="D127" s="8" t="str">
        <f t="shared" si="10"/>
        <v>中信出版集团股份有限公司</v>
      </c>
      <c r="E127" s="8" t="str">
        <f>"K712.42/1"</f>
        <v>K712.42/1</v>
      </c>
    </row>
    <row r="128" spans="1:5" ht="21.95" customHeight="1">
      <c r="A128" s="6" t="str">
        <f>"978-7-5434-9854-9"</f>
        <v>978-7-5434-9854-9</v>
      </c>
      <c r="B128" s="7" t="str">
        <f>"玛雅——太阳的神殿"</f>
        <v>玛雅——太阳的神殿</v>
      </c>
      <c r="C128" s="8" t="str">
        <f>"(意) 达威德·多梅尼西编著"</f>
        <v>(意) 达威德·多梅尼西编著</v>
      </c>
      <c r="D128" s="8" t="str">
        <f>"河北教育出版社"</f>
        <v>河北教育出版社</v>
      </c>
      <c r="E128" s="8" t="str">
        <f>"K731.2/11"</f>
        <v>K731.2/11</v>
      </c>
    </row>
    <row r="129" spans="1:5" ht="21.95" customHeight="1">
      <c r="A129" s="6" t="str">
        <f>"978-7-302-49133-0"</f>
        <v>978-7-302-49133-0</v>
      </c>
      <c r="B129" s="7" t="str">
        <f>"生活在古墨西哥"</f>
        <v>生活在古墨西哥</v>
      </c>
      <c r="C129" s="8" t="str">
        <f>"(美)约翰·格林图"</f>
        <v>(美)约翰·格林图</v>
      </c>
      <c r="D129" s="8" t="str">
        <f>"清华大学出版社"</f>
        <v>清华大学出版社</v>
      </c>
      <c r="E129" s="8" t="str">
        <f>"K731.2-49/1"</f>
        <v>K731.2-49/1</v>
      </c>
    </row>
    <row r="130" spans="1:5" ht="21.95" customHeight="1">
      <c r="A130" s="6" t="str">
        <f>"978-7-5561-0755-1"</f>
        <v>978-7-5561-0755-1</v>
      </c>
      <c r="B130" s="7" t="str">
        <f>"大人物的世界史"</f>
        <v>大人物的世界史</v>
      </c>
      <c r="C130" s="8" t="str">
        <f>"(英) 西蒙·蒙蒂菲奥里著"</f>
        <v>(英) 西蒙·蒙蒂菲奥里著</v>
      </c>
      <c r="D130" s="8" t="str">
        <f>"湖南人民出版社"</f>
        <v>湖南人民出版社</v>
      </c>
      <c r="E130" s="8" t="str">
        <f>"K811/238"</f>
        <v>K811/238</v>
      </c>
    </row>
    <row r="131" spans="1:5" ht="21.95" customHeight="1">
      <c r="A131" s="6" t="str">
        <f>"978-7-108-05926-0"</f>
        <v>978-7-108-05926-0</v>
      </c>
      <c r="B131" s="7" t="str">
        <f>"人类的群星闪耀时：十四篇历史特写"</f>
        <v>人类的群星闪耀时：十四篇历史特写</v>
      </c>
      <c r="C131" s="8" t="str">
        <f>"斯蒂芬·茨威格著"</f>
        <v>斯蒂芬·茨威格著</v>
      </c>
      <c r="D131" s="8" t="str">
        <f>"三联书店"</f>
        <v>三联书店</v>
      </c>
      <c r="E131" s="8" t="str">
        <f>"K811/239"</f>
        <v>K811/239</v>
      </c>
    </row>
    <row r="132" spans="1:5" ht="21.95" customHeight="1">
      <c r="A132" s="6" t="str">
        <f>"978-7-108-05852-2"</f>
        <v>978-7-108-05852-2</v>
      </c>
      <c r="B132" s="7" t="str">
        <f>"隐疾：名人与人格障碍"</f>
        <v>隐疾：名人与人格障碍</v>
      </c>
      <c r="C132" s="8" t="str">
        <f>"(德) 博尔温·班德洛著"</f>
        <v>(德) 博尔温·班德洛著</v>
      </c>
      <c r="D132" s="8" t="str">
        <f>"三联书店"</f>
        <v>三联书店</v>
      </c>
      <c r="E132" s="8" t="str">
        <f>"K811/240=2D"</f>
        <v>K811/240=2D</v>
      </c>
    </row>
    <row r="133" spans="1:5" ht="37.5" customHeight="1">
      <c r="A133" s="6" t="str">
        <f>"978-7-301-28355-4"</f>
        <v>978-7-301-28355-4</v>
      </c>
      <c r="B133" s="7" t="str">
        <f>"国际思想大师：20世纪主要理论家与世界危机：major twentieth-century theorists and the world crisis"</f>
        <v>国际思想大师：20世纪主要理论家与世界危机：major twentieth-century theorists and the world crisis</v>
      </c>
      <c r="C133" s="8" t="str">
        <f>"(美) 肯尼思·汤普森著"</f>
        <v>(美) 肯尼思·汤普森著</v>
      </c>
      <c r="D133" s="8" t="str">
        <f>"北京大学出版社"</f>
        <v>北京大学出版社</v>
      </c>
      <c r="E133" s="8" t="str">
        <f>"K815.1/20=2D"</f>
        <v>K815.1/20=2D</v>
      </c>
    </row>
    <row r="134" spans="1:5" ht="21.95" customHeight="1">
      <c r="A134" s="6" t="str">
        <f>"978-7-111-54184-4"</f>
        <v>978-7-111-54184-4</v>
      </c>
      <c r="B134" s="7" t="str">
        <f>"一本读通10位经济学大师"</f>
        <v>一本读通10位经济学大师</v>
      </c>
      <c r="C134" s="8" t="str">
        <f>"(英) 菲尔·桑顿著"</f>
        <v>(英) 菲尔·桑顿著</v>
      </c>
      <c r="D134" s="8" t="str">
        <f>"机械工业出版社"</f>
        <v>机械工业出版社</v>
      </c>
      <c r="E134" s="8" t="str">
        <f>"K815.31/16"</f>
        <v>K815.31/16</v>
      </c>
    </row>
    <row r="135" spans="1:5" ht="21.95" customHeight="1">
      <c r="A135" s="6" t="str">
        <f>"978-7-5001-5448-8"</f>
        <v>978-7-5001-5448-8</v>
      </c>
      <c r="B135" s="7" t="str">
        <f>"历史上的译者"</f>
        <v>历史上的译者</v>
      </c>
      <c r="C135" s="8" t="str">
        <f>"(加)让·德利尔，朱迪斯·伍兹沃斯主编"</f>
        <v>(加)让·德利尔，朱迪斯·伍兹沃斯主编</v>
      </c>
      <c r="D135" s="8" t="str">
        <f>"中译出版社"</f>
        <v>中译出版社</v>
      </c>
      <c r="E135" s="8" t="str">
        <f>"K815.55/1"</f>
        <v>K815.55/1</v>
      </c>
    </row>
    <row r="136" spans="1:5" ht="34.5" customHeight="1">
      <c r="A136" s="6" t="str">
        <f>"978-7-03-051847-7"</f>
        <v>978-7-03-051847-7</v>
      </c>
      <c r="B136" s="7" t="str">
        <f>"杰出科学家的创造力特性：基于科学计量学的研究：based on study of scientometrics"</f>
        <v>杰出科学家的创造力特性：基于科学计量学的研究：based on study of scientometrics</v>
      </c>
      <c r="C136" s="8" t="str">
        <f>"(1978-)刘俊婉，著"</f>
        <v>(1978-)刘俊婉，著</v>
      </c>
      <c r="D136" s="8" t="str">
        <f>"科学出版社"</f>
        <v>科学出版社</v>
      </c>
      <c r="E136" s="8" t="str">
        <f>"K816.1/67"</f>
        <v>K816.1/67</v>
      </c>
    </row>
    <row r="137" spans="1:5" ht="21.95" customHeight="1">
      <c r="A137" s="6" t="str">
        <f>"978-7-5426-5932-3"</f>
        <v>978-7-5426-5932-3</v>
      </c>
      <c r="B137" s="7" t="str">
        <f>"民国人物小传．第十九册"</f>
        <v>民国人物小传．第十九册</v>
      </c>
      <c r="C137" s="8" t="str">
        <f t="shared" ref="C137:C139" si="11">"刘绍唐主编"</f>
        <v>刘绍唐主编</v>
      </c>
      <c r="D137" s="8" t="str">
        <f t="shared" ref="D137:D140" si="12">"上海三联书店"</f>
        <v>上海三联书店</v>
      </c>
      <c r="E137" s="8" t="str">
        <f>"K820.6/64"</f>
        <v>K820.6/64</v>
      </c>
    </row>
    <row r="138" spans="1:5" ht="21.95" customHeight="1">
      <c r="A138" s="6" t="str">
        <f>"978-7-5426-5931-6"</f>
        <v>978-7-5426-5931-6</v>
      </c>
      <c r="B138" s="7" t="str">
        <f>"民国人物小传．第十六册"</f>
        <v>民国人物小传．第十六册</v>
      </c>
      <c r="C138" s="8" t="str">
        <f t="shared" si="11"/>
        <v>刘绍唐主编</v>
      </c>
      <c r="D138" s="8" t="str">
        <f t="shared" si="12"/>
        <v>上海三联书店</v>
      </c>
      <c r="E138" s="8" t="str">
        <f>"K820.6/65"</f>
        <v>K820.6/65</v>
      </c>
    </row>
    <row r="139" spans="1:5" ht="21.95" customHeight="1">
      <c r="A139" s="6" t="str">
        <f>"978-7-5426-5933-0"</f>
        <v>978-7-5426-5933-0</v>
      </c>
      <c r="B139" s="7" t="str">
        <f>"民国人物小传．第二十册"</f>
        <v>民国人物小传．第二十册</v>
      </c>
      <c r="C139" s="8" t="str">
        <f t="shared" si="11"/>
        <v>刘绍唐主编</v>
      </c>
      <c r="D139" s="8" t="str">
        <f t="shared" si="12"/>
        <v>上海三联书店</v>
      </c>
      <c r="E139" s="8" t="str">
        <f>"K820.6/66"</f>
        <v>K820.6/66</v>
      </c>
    </row>
    <row r="140" spans="1:5" ht="21.95" customHeight="1">
      <c r="A140" s="6" t="str">
        <f>"978-7-5426-6093-0"</f>
        <v>978-7-5426-6093-0</v>
      </c>
      <c r="B140" s="7" t="str">
        <f>"第一读本"</f>
        <v>第一读本</v>
      </c>
      <c r="C140" s="8" t="str">
        <f>"绍兴市第一中学编"</f>
        <v>绍兴市第一中学编</v>
      </c>
      <c r="D140" s="8" t="str">
        <f t="shared" si="12"/>
        <v>上海三联书店</v>
      </c>
      <c r="E140" s="8" t="str">
        <f>"K820.7/97"</f>
        <v>K820.7/97</v>
      </c>
    </row>
    <row r="141" spans="1:5" ht="21.95" customHeight="1">
      <c r="A141" s="6" t="str">
        <f>"978-7-5086-6237-4"</f>
        <v>978-7-5086-6237-4</v>
      </c>
      <c r="B141" s="7" t="str">
        <f>"宋氏家族：一场历史的“华丽悲剧”"</f>
        <v>宋氏家族：一场历史的“华丽悲剧”</v>
      </c>
      <c r="C141" s="8" t="str">
        <f>"(美) 斯特林·西格雷夫著"</f>
        <v>(美) 斯特林·西格雷夫著</v>
      </c>
      <c r="D141" s="8" t="str">
        <f>"中信出版集团股份有限公司"</f>
        <v>中信出版集团股份有限公司</v>
      </c>
      <c r="E141" s="8" t="str">
        <f>"K820.9/963"</f>
        <v>K820.9/963</v>
      </c>
    </row>
    <row r="142" spans="1:5" ht="21.95" customHeight="1">
      <c r="A142" s="6" t="str">
        <f>"978-7-5096-5162-9"</f>
        <v>978-7-5096-5162-9</v>
      </c>
      <c r="B142" s="7" t="str">
        <f>"行进在大时代：步超回眸那些年"</f>
        <v>行进在大时代：步超回眸那些年</v>
      </c>
      <c r="C142" s="8" t="str">
        <f>"李步超著"</f>
        <v>李步超著</v>
      </c>
      <c r="D142" s="8" t="str">
        <f>"经济管理出版社"</f>
        <v>经济管理出版社</v>
      </c>
      <c r="E142" s="8" t="str">
        <f>"K825.31/35"</f>
        <v>K825.31/35</v>
      </c>
    </row>
    <row r="143" spans="1:5" ht="21.95" customHeight="1">
      <c r="A143" s="6" t="str">
        <f>"978-7-5426-5952-1"</f>
        <v>978-7-5426-5952-1</v>
      </c>
      <c r="B143" s="7" t="str">
        <f>"邹韬奋研究．第五辑"</f>
        <v>邹韬奋研究．第五辑</v>
      </c>
      <c r="C143" s="8" t="str">
        <f>"韬奋纪念馆编"</f>
        <v>韬奋纪念馆编</v>
      </c>
      <c r="D143" s="8" t="str">
        <f>"上海三联书店"</f>
        <v>上海三联书店</v>
      </c>
      <c r="E143" s="8" t="str">
        <f>"K825.42=6/3"</f>
        <v>K825.42=6/3</v>
      </c>
    </row>
    <row r="144" spans="1:5" ht="21.95" customHeight="1">
      <c r="A144" s="6" t="str">
        <f>"978-7-101-11946-6"</f>
        <v>978-7-101-11946-6</v>
      </c>
      <c r="B144" s="7" t="str">
        <f>"西潮与新潮"</f>
        <v>西潮与新潮</v>
      </c>
      <c r="C144" s="8" t="str">
        <f>"蒋梦麟著"</f>
        <v>蒋梦麟著</v>
      </c>
      <c r="D144" s="8" t="str">
        <f>"中华书局"</f>
        <v>中华书局</v>
      </c>
      <c r="E144" s="8" t="str">
        <f>"K825.46=72/6"</f>
        <v>K825.46=72/6</v>
      </c>
    </row>
    <row r="145" spans="1:5" ht="21.95" customHeight="1">
      <c r="A145" s="6" t="str">
        <f>"978-7-108-05869-0"</f>
        <v>978-7-108-05869-0</v>
      </c>
      <c r="B145" s="7" t="str">
        <f>"穿越世纪的光：周有光画传"</f>
        <v>穿越世纪的光：周有光画传</v>
      </c>
      <c r="C145" s="8" t="str">
        <f>"《周有光画传》编委会编著"</f>
        <v>《周有光画传》编委会编著</v>
      </c>
      <c r="D145" s="8" t="str">
        <f>"三联书店"</f>
        <v>三联书店</v>
      </c>
      <c r="E145" s="8" t="str">
        <f>"K825.5=76/6"</f>
        <v>K825.5=76/6</v>
      </c>
    </row>
    <row r="146" spans="1:5" ht="21.95" customHeight="1">
      <c r="A146" s="6" t="str">
        <f>"978-7-5086-7145-1"</f>
        <v>978-7-5086-7145-1</v>
      </c>
      <c r="B146" s="7" t="str">
        <f>"自传集"</f>
        <v>自传集</v>
      </c>
      <c r="C146" s="8" t="str">
        <f>"沈从文著"</f>
        <v>沈从文著</v>
      </c>
      <c r="D146" s="8" t="str">
        <f>"中信出版集团股份有限公司"</f>
        <v>中信出版集团股份有限公司</v>
      </c>
      <c r="E146" s="8" t="str">
        <f>"K825.6/500"</f>
        <v>K825.6/500</v>
      </c>
    </row>
    <row r="147" spans="1:5" ht="21.95" customHeight="1">
      <c r="A147" s="6" t="str">
        <f>"978-7-229-12614-8"</f>
        <v>978-7-229-12614-8</v>
      </c>
      <c r="B147" s="7" t="str">
        <f>"张爱玲的摩登时代"</f>
        <v>张爱玲的摩登时代</v>
      </c>
      <c r="C147" s="8" t="str">
        <f>"陶方宣著"</f>
        <v>陶方宣著</v>
      </c>
      <c r="D147" s="8" t="str">
        <f>"重庆出版社"</f>
        <v>重庆出版社</v>
      </c>
      <c r="E147" s="8" t="str">
        <f>"K825.6/501"</f>
        <v>K825.6/501</v>
      </c>
    </row>
    <row r="148" spans="1:5" ht="21.95" customHeight="1">
      <c r="A148" s="6" t="str">
        <f>"978-7-5161-9840-7"</f>
        <v>978-7-5161-9840-7</v>
      </c>
      <c r="B148" s="7" t="str">
        <f>"中国“60后”作家访谈录"</f>
        <v>中国“60后”作家访谈录</v>
      </c>
      <c r="C148" s="8" t="str">
        <f>"周新民著"</f>
        <v>周新民著</v>
      </c>
      <c r="D148" s="8" t="str">
        <f>"中国社会科学出版社"</f>
        <v>中国社会科学出版社</v>
      </c>
      <c r="E148" s="8" t="str">
        <f>"K825.6/502"</f>
        <v>K825.6/502</v>
      </c>
    </row>
    <row r="149" spans="1:5" ht="21.95" customHeight="1">
      <c r="A149" s="6" t="str">
        <f>"978-7-5426-6188-3"</f>
        <v>978-7-5426-6188-3</v>
      </c>
      <c r="B149" s="7" t="str">
        <f>"沈从文的前半生：一九O二-一九四八"</f>
        <v>沈从文的前半生：一九O二-一九四八</v>
      </c>
      <c r="C149" s="8" t="str">
        <f>"张新颖著"</f>
        <v>张新颖著</v>
      </c>
      <c r="D149" s="8" t="str">
        <f>"上海三联书店"</f>
        <v>上海三联书店</v>
      </c>
      <c r="E149" s="8" t="str">
        <f>"K825.6/503"</f>
        <v>K825.6/503</v>
      </c>
    </row>
    <row r="150" spans="1:5" ht="21.95" customHeight="1">
      <c r="A150" s="6" t="str">
        <f>"978-7-101-13062-1"</f>
        <v>978-7-101-13062-1</v>
      </c>
      <c r="B150" s="7" t="str">
        <f>"康震讲柳宗元"</f>
        <v>康震讲柳宗元</v>
      </c>
      <c r="C150" s="8" t="str">
        <f>"康震著"</f>
        <v>康震著</v>
      </c>
      <c r="D150" s="8" t="str">
        <f>"中华书局"</f>
        <v>中华书局</v>
      </c>
      <c r="E150" s="8" t="str">
        <f>"K825.6/504"</f>
        <v>K825.6/504</v>
      </c>
    </row>
    <row r="151" spans="1:5" ht="21.95" customHeight="1">
      <c r="A151" s="6" t="str">
        <f>"978-7-108-05779-2"</f>
        <v>978-7-108-05779-2</v>
      </c>
      <c r="B151" s="7" t="str">
        <f>"我认识的钱锺书"</f>
        <v>我认识的钱锺书</v>
      </c>
      <c r="C151" s="8" t="str">
        <f>"吴泰昌著"</f>
        <v>吴泰昌著</v>
      </c>
      <c r="D151" s="8" t="str">
        <f>"三联书店"</f>
        <v>三联书店</v>
      </c>
      <c r="E151" s="8" t="str">
        <f>"K825.6/505"</f>
        <v>K825.6/505</v>
      </c>
    </row>
    <row r="152" spans="1:5" ht="21.95" customHeight="1">
      <c r="A152" s="6" t="str">
        <f>"978-7-101-12552-8"</f>
        <v>978-7-101-12552-8</v>
      </c>
      <c r="B152" s="7" t="str">
        <f>"读解张爱玲：华美苍凉：gorgeous &amp; desolate"</f>
        <v>读解张爱玲：华美苍凉：gorgeous &amp; desolate</v>
      </c>
      <c r="C152" s="8" t="str">
        <f>"万燕著"</f>
        <v>万燕著</v>
      </c>
      <c r="D152" s="8" t="str">
        <f t="shared" ref="D152:D155" si="13">"中华书局"</f>
        <v>中华书局</v>
      </c>
      <c r="E152" s="8" t="str">
        <f>"K825.6/506"</f>
        <v>K825.6/506</v>
      </c>
    </row>
    <row r="153" spans="1:5" ht="21.95" customHeight="1">
      <c r="A153" s="6" t="str">
        <f>"978-7-101-12958-8"</f>
        <v>978-7-101-12958-8</v>
      </c>
      <c r="B153" s="7" t="str">
        <f>"康震讲韩愈"</f>
        <v>康震讲韩愈</v>
      </c>
      <c r="C153" s="8" t="str">
        <f t="shared" ref="C153:C155" si="14">"康震著"</f>
        <v>康震著</v>
      </c>
      <c r="D153" s="8" t="str">
        <f t="shared" si="13"/>
        <v>中华书局</v>
      </c>
      <c r="E153" s="8" t="str">
        <f>"K825.6=423/13"</f>
        <v>K825.6=423/13</v>
      </c>
    </row>
    <row r="154" spans="1:5" ht="21.95" customHeight="1">
      <c r="A154" s="6" t="str">
        <f>"978-7-101-13061-4"</f>
        <v>978-7-101-13061-4</v>
      </c>
      <c r="B154" s="7" t="str">
        <f>"康震讲欧阳修 曾巩"</f>
        <v>康震讲欧阳修 曾巩</v>
      </c>
      <c r="C154" s="8" t="str">
        <f t="shared" si="14"/>
        <v>康震著</v>
      </c>
      <c r="D154" s="8" t="str">
        <f t="shared" si="13"/>
        <v>中华书局</v>
      </c>
      <c r="E154" s="8" t="str">
        <f>"K825.6=441/15"</f>
        <v>K825.6=441/15</v>
      </c>
    </row>
    <row r="155" spans="1:5" ht="21.95" customHeight="1">
      <c r="A155" s="6" t="str">
        <f>"978-7-101-12975-5"</f>
        <v>978-7-101-12975-5</v>
      </c>
      <c r="B155" s="7" t="str">
        <f>"康震讲李清照"</f>
        <v>康震讲李清照</v>
      </c>
      <c r="C155" s="8" t="str">
        <f t="shared" si="14"/>
        <v>康震著</v>
      </c>
      <c r="D155" s="8" t="str">
        <f t="shared" si="13"/>
        <v>中华书局</v>
      </c>
      <c r="E155" s="8" t="str">
        <f>"K825.6=442/9"</f>
        <v>K825.6=442/9</v>
      </c>
    </row>
    <row r="156" spans="1:5" ht="21.95" customHeight="1">
      <c r="A156" s="6" t="str">
        <f>"978-7-5426-6039-8"</f>
        <v>978-7-5426-6039-8</v>
      </c>
      <c r="B156" s="7" t="str">
        <f>"清末才女汪藕裳及其家族名人研究"</f>
        <v>清末才女汪藕裳及其家族名人研究</v>
      </c>
      <c r="C156" s="8" t="str">
        <f>"王泽强著"</f>
        <v>王泽强著</v>
      </c>
      <c r="D156" s="8" t="str">
        <f>"上海三联书店"</f>
        <v>上海三联书店</v>
      </c>
      <c r="E156" s="8" t="str">
        <f>"K825.6=52/1"</f>
        <v>K825.6=52/1</v>
      </c>
    </row>
    <row r="157" spans="1:5" ht="21.95" customHeight="1">
      <c r="A157" s="6" t="str">
        <f>"978-7-301-28713-2"</f>
        <v>978-7-301-28713-2</v>
      </c>
      <c r="B157" s="7" t="str">
        <f>"王瑶与现代中国学术"</f>
        <v>王瑶与现代中国学术</v>
      </c>
      <c r="C157" s="8" t="str">
        <f>"陈平原编"</f>
        <v>陈平原编</v>
      </c>
      <c r="D157" s="8" t="str">
        <f>"北京大学出版社"</f>
        <v>北京大学出版社</v>
      </c>
      <c r="E157" s="8" t="str">
        <f>"K825.6=74/37"</f>
        <v>K825.6=74/37</v>
      </c>
    </row>
    <row r="158" spans="1:5" ht="21.95" customHeight="1">
      <c r="A158" s="6" t="str">
        <f>"978-7-02-013648-3"</f>
        <v>978-7-02-013648-3</v>
      </c>
      <c r="B158" s="7" t="str">
        <f>"李敖自传"</f>
        <v>李敖自传</v>
      </c>
      <c r="C158" s="8" t="str">
        <f>"李敖著"</f>
        <v>李敖著</v>
      </c>
      <c r="D158" s="8" t="str">
        <f>"人民文学出版社"</f>
        <v>人民文学出版社</v>
      </c>
      <c r="E158" s="8" t="str">
        <f>"K825.6=76/97"</f>
        <v>K825.6=76/97</v>
      </c>
    </row>
    <row r="159" spans="1:5" ht="21.95" customHeight="1">
      <c r="A159" s="6" t="str">
        <f>"978-7-108-05924-6"</f>
        <v>978-7-108-05924-6</v>
      </c>
      <c r="B159" s="7" t="str">
        <f>"遇见，汪国真"</f>
        <v>遇见，汪国真</v>
      </c>
      <c r="C159" s="8" t="str">
        <f>"窦欣平著"</f>
        <v>窦欣平著</v>
      </c>
      <c r="D159" s="8" t="str">
        <f>"生活·读书·新知三联书店"</f>
        <v>生活·读书·新知三联书店</v>
      </c>
      <c r="E159" s="8" t="str">
        <f>"K825.6=76/98"</f>
        <v>K825.6=76/98</v>
      </c>
    </row>
    <row r="160" spans="1:5" ht="21.95" customHeight="1">
      <c r="A160" s="6" t="str">
        <f>"978-7-5426-5958-3"</f>
        <v>978-7-5426-5958-3</v>
      </c>
      <c r="B160" s="7" t="str">
        <f>"越时代的理想主义"</f>
        <v>越时代的理想主义</v>
      </c>
      <c r="C160" s="8" t="str">
        <f>"陈思和， 李存光主编"</f>
        <v>陈思和， 李存光主编</v>
      </c>
      <c r="D160" s="8" t="str">
        <f>"上海三联书店"</f>
        <v>上海三联书店</v>
      </c>
      <c r="E160" s="8" t="str">
        <f>"K825.6-53/3"</f>
        <v>K825.6-53/3</v>
      </c>
    </row>
    <row r="161" spans="1:5" ht="21.95" customHeight="1">
      <c r="A161" s="6" t="str">
        <f>"978-7-101-12543-6"</f>
        <v>978-7-101-12543-6</v>
      </c>
      <c r="B161" s="7" t="str">
        <f>"中国文学家大辞典．明代卷"</f>
        <v>中国文学家大辞典．明代卷</v>
      </c>
      <c r="C161" s="8" t="str">
        <f>"李时人编著"</f>
        <v>李时人编著</v>
      </c>
      <c r="D161" s="8" t="str">
        <f>"中华书局"</f>
        <v>中华书局</v>
      </c>
      <c r="E161" s="8" t="str">
        <f>"K825.6-61/1"</f>
        <v>K825.6-61/1</v>
      </c>
    </row>
    <row r="162" spans="1:5" ht="21.95" customHeight="1">
      <c r="A162" s="6" t="str">
        <f>"978-7-108-05481-4"</f>
        <v>978-7-108-05481-4</v>
      </c>
      <c r="B162" s="7" t="str">
        <f>"撂地儿：40位天桥老艺人的沉浮命运"</f>
        <v>撂地儿：40位天桥老艺人的沉浮命运</v>
      </c>
      <c r="C162" s="8" t="str">
        <f>"方继孝著"</f>
        <v>方继孝著</v>
      </c>
      <c r="D162" s="8" t="str">
        <f>"三联书店"</f>
        <v>三联书店</v>
      </c>
      <c r="E162" s="8" t="str">
        <f>"K825.7/56"</f>
        <v>K825.7/56</v>
      </c>
    </row>
    <row r="163" spans="1:5" ht="21.95" customHeight="1">
      <c r="A163" s="6" t="str">
        <f>"978-7-108-05767-9"</f>
        <v>978-7-108-05767-9</v>
      </c>
      <c r="B163" s="7" t="str">
        <f>"一生充和"</f>
        <v>一生充和</v>
      </c>
      <c r="C163" s="8" t="str">
        <f>"王道著"</f>
        <v>王道著</v>
      </c>
      <c r="D163" s="8" t="str">
        <f>"三联书店"</f>
        <v>三联书店</v>
      </c>
      <c r="E163" s="8" t="str">
        <f>"K825.7/57"</f>
        <v>K825.7/57</v>
      </c>
    </row>
    <row r="164" spans="1:5" ht="21.95" customHeight="1">
      <c r="A164" s="6" t="str">
        <f>"978-7-301-28047-8"</f>
        <v>978-7-301-28047-8</v>
      </c>
      <c r="B164" s="7" t="str">
        <f>"石涛研究"</f>
        <v>石涛研究</v>
      </c>
      <c r="C164" s="8" t="str">
        <f>"朱良志著"</f>
        <v>朱良志著</v>
      </c>
      <c r="D164" s="8" t="str">
        <f>"北京大学出版社"</f>
        <v>北京大学出版社</v>
      </c>
      <c r="E164" s="8" t="str">
        <f>"K825.72/124"</f>
        <v>K825.72/124</v>
      </c>
    </row>
    <row r="165" spans="1:5" ht="21.95" customHeight="1">
      <c r="A165" s="6" t="str">
        <f>"978-7-5426-5821-0"</f>
        <v>978-7-5426-5821-0</v>
      </c>
      <c r="B165" s="7" t="str">
        <f>"第三届丰子恺研究国际学术会议论文集"</f>
        <v>第三届丰子恺研究国际学术会议论文集</v>
      </c>
      <c r="C165" s="8" t="str">
        <f>"杭州师范大学弘一大师丰子恺研究中心编"</f>
        <v>杭州师范大学弘一大师丰子恺研究中心编</v>
      </c>
      <c r="D165" s="8" t="str">
        <f>"上海三联书店"</f>
        <v>上海三联书店</v>
      </c>
      <c r="E165" s="8" t="str">
        <f>"K825.72-53/2"</f>
        <v>K825.72-53/2</v>
      </c>
    </row>
    <row r="166" spans="1:5" ht="21.95" customHeight="1">
      <c r="A166" s="6" t="str">
        <f>"978-7-302-48750-0"</f>
        <v>978-7-302-48750-0</v>
      </c>
      <c r="B166" s="7" t="str">
        <f>"张仃百年诞辰纪念文集：1917-2017：1917-2017"</f>
        <v>张仃百年诞辰纪念文集：1917-2017：1917-2017</v>
      </c>
      <c r="C166" s="8" t="str">
        <f>"主编杜大恺"</f>
        <v>主编杜大恺</v>
      </c>
      <c r="D166" s="8" t="str">
        <f>"清华大学出版社"</f>
        <v>清华大学出版社</v>
      </c>
      <c r="E166" s="8" t="str">
        <f>"K825.72-53/3"</f>
        <v>K825.72-53/3</v>
      </c>
    </row>
    <row r="167" spans="1:5" ht="21.95" customHeight="1">
      <c r="A167" s="6" t="str">
        <f>"978-7-5473-1141-7"</f>
        <v>978-7-5473-1141-7</v>
      </c>
      <c r="B167" s="7" t="str">
        <f>"王叔晖画传"</f>
        <v>王叔晖画传</v>
      </c>
      <c r="C167" s="8" t="str">
        <f>"蒋力著"</f>
        <v>蒋力著</v>
      </c>
      <c r="D167" s="8" t="str">
        <f>"东方出版中心"</f>
        <v>东方出版中心</v>
      </c>
      <c r="E167" s="8" t="str">
        <f>"K825.72-62/1"</f>
        <v>K825.72-62/1</v>
      </c>
    </row>
    <row r="168" spans="1:5" ht="21.95" customHeight="1">
      <c r="A168" s="6" t="str">
        <f>"978-7-5086-8473-4"</f>
        <v>978-7-5086-8473-4</v>
      </c>
      <c r="B168" s="7" t="str">
        <f>"一棵菜：我眼中的北京人艺"</f>
        <v>一棵菜：我眼中的北京人艺</v>
      </c>
      <c r="C168" s="8" t="str">
        <f>"方子春， 宋苗著"</f>
        <v>方子春， 宋苗著</v>
      </c>
      <c r="D168" s="8" t="str">
        <f>"中信出版集团股份有限公司"</f>
        <v>中信出版集团股份有限公司</v>
      </c>
      <c r="E168" s="8" t="str">
        <f>"K825.78/572"</f>
        <v>K825.78/572</v>
      </c>
    </row>
    <row r="169" spans="1:5" ht="21.95" customHeight="1">
      <c r="A169" s="6" t="str">
        <f>"978-7-301-28430-8"</f>
        <v>978-7-301-28430-8</v>
      </c>
      <c r="B169" s="7" t="str">
        <f>"梨花带雨：生旦净末丑的乾坤"</f>
        <v>梨花带雨：生旦净末丑的乾坤</v>
      </c>
      <c r="C169" s="8" t="str">
        <f>"谭帆， 徐坤著"</f>
        <v>谭帆， 徐坤著</v>
      </c>
      <c r="D169" s="8" t="str">
        <f>"北京大学出版社"</f>
        <v>北京大学出版社</v>
      </c>
      <c r="E169" s="8" t="str">
        <f>"K825.78/573"</f>
        <v>K825.78/573</v>
      </c>
    </row>
    <row r="170" spans="1:5" ht="21.95" customHeight="1">
      <c r="A170" s="6" t="str">
        <f>"978-7-302-47817-1"</f>
        <v>978-7-302-47817-1</v>
      </c>
      <c r="B170" s="7" t="str">
        <f>"北京当代戏剧名家论"</f>
        <v>北京当代戏剧名家论</v>
      </c>
      <c r="C170" s="8" t="str">
        <f>"张玲霞编著"</f>
        <v>张玲霞编著</v>
      </c>
      <c r="D170" s="8" t="str">
        <f>"清华大学出版社"</f>
        <v>清华大学出版社</v>
      </c>
      <c r="E170" s="8" t="str">
        <f>"K825.78=76/79"</f>
        <v>K825.78=76/79</v>
      </c>
    </row>
    <row r="171" spans="1:5" ht="21.95" customHeight="1">
      <c r="A171" s="6" t="str">
        <f>"978-7-101-12429-3"</f>
        <v>978-7-101-12429-3</v>
      </c>
      <c r="B171" s="7" t="str">
        <f>"唐宋词绝唱"</f>
        <v>唐宋词绝唱</v>
      </c>
      <c r="C171" s="8" t="str">
        <f>"柯贞金， 谭新红编著"</f>
        <v>柯贞金， 谭新红编著</v>
      </c>
      <c r="D171" s="8" t="str">
        <f>"中华书局"</f>
        <v>中华书局</v>
      </c>
      <c r="E171" s="8" t="str">
        <f>"K825.78=76/80"</f>
        <v>K825.78=76/80</v>
      </c>
    </row>
    <row r="172" spans="1:5" ht="21.95" customHeight="1">
      <c r="A172" s="6" t="str">
        <f>"978-7-108-05807-2"</f>
        <v>978-7-108-05807-2</v>
      </c>
      <c r="B172" s="7" t="str">
        <f>"卖艺黄家"</f>
        <v>卖艺黄家</v>
      </c>
      <c r="C172" s="8" t="str">
        <f>"黄宗江等著"</f>
        <v>黄宗江等著</v>
      </c>
      <c r="D172" s="8" t="str">
        <f>"三联书店"</f>
        <v>三联书店</v>
      </c>
      <c r="E172" s="8" t="str">
        <f>"K825.78=76/81"</f>
        <v>K825.78=76/81</v>
      </c>
    </row>
    <row r="173" spans="1:5" ht="33.75" customHeight="1">
      <c r="A173" s="6" t="str">
        <f>"978-7-108-05956-7"</f>
        <v>978-7-108-05956-7</v>
      </c>
      <c r="B173" s="7" t="str">
        <f>"傅斯年：中国近代历史与政治中的个体生命：a life in chinese history and politics"</f>
        <v>傅斯年：中国近代历史与政治中的个体生命：a life in chinese history and politics</v>
      </c>
      <c r="C173" s="8" t="str">
        <f>"王汎森著"</f>
        <v>王汎森著</v>
      </c>
      <c r="D173" s="8" t="str">
        <f>"三联书店"</f>
        <v>三联书店</v>
      </c>
      <c r="E173" s="8" t="str">
        <f>"K825.8/20"</f>
        <v>K825.8/20</v>
      </c>
    </row>
    <row r="174" spans="1:5" ht="21.95" customHeight="1">
      <c r="A174" s="6" t="str">
        <f>"978-7-5161-4829-7"</f>
        <v>978-7-5161-4829-7</v>
      </c>
      <c r="B174" s="7" t="str">
        <f>"守望：陈寅恪往事"</f>
        <v>守望：陈寅恪往事</v>
      </c>
      <c r="C174" s="8" t="str">
        <f>"吴定宇著"</f>
        <v>吴定宇著</v>
      </c>
      <c r="D174" s="8" t="str">
        <f>"中国社会科学出版社"</f>
        <v>中国社会科学出版社</v>
      </c>
      <c r="E174" s="8" t="str">
        <f>"K825.81=72/8"</f>
        <v>K825.81=72/8</v>
      </c>
    </row>
    <row r="175" spans="1:5" ht="21.95" customHeight="1">
      <c r="A175" s="6" t="str">
        <f>"978-7-5125-0927-6"</f>
        <v>978-7-5125-0927-6</v>
      </c>
      <c r="B175" s="7" t="str">
        <f>"林徽因往事：你是一树一树的花开"</f>
        <v>林徽因往事：你是一树一树的花开</v>
      </c>
      <c r="C175" s="8" t="str">
        <f>"张海燕著"</f>
        <v>张海燕著</v>
      </c>
      <c r="D175" s="8" t="str">
        <f>"国际文化出版公司"</f>
        <v>国际文化出版公司</v>
      </c>
      <c r="E175" s="8" t="str">
        <f>"K826.16=71/6"</f>
        <v>K826.16=71/6</v>
      </c>
    </row>
    <row r="176" spans="1:5" ht="21.95" customHeight="1">
      <c r="A176" s="6" t="str">
        <f>"978-7-5086-7332-5"</f>
        <v>978-7-5086-7332-5</v>
      </c>
      <c r="B176" s="7" t="str">
        <f>"秦谜：重新发现秦始皇"</f>
        <v>秦谜：重新发现秦始皇</v>
      </c>
      <c r="C176" s="8" t="str">
        <f>"李开元著"</f>
        <v>李开元著</v>
      </c>
      <c r="D176" s="8" t="str">
        <f>"中信出版集团股份有限公司"</f>
        <v>中信出版集团股份有限公司</v>
      </c>
      <c r="E176" s="8" t="str">
        <f>"K827=33/19"</f>
        <v>K827=33/19</v>
      </c>
    </row>
    <row r="177" spans="1:5" ht="21.95" customHeight="1">
      <c r="A177" s="6" t="str">
        <f>"978-7-101-13051-5"</f>
        <v>978-7-101-13051-5</v>
      </c>
      <c r="B177" s="7" t="str">
        <f>"康震讲王安石"</f>
        <v>康震讲王安石</v>
      </c>
      <c r="C177" s="8" t="str">
        <f>"康震著"</f>
        <v>康震著</v>
      </c>
      <c r="D177" s="8" t="str">
        <f>"中华书局"</f>
        <v>中华书局</v>
      </c>
      <c r="E177" s="8" t="str">
        <f>"K827=441/19"</f>
        <v>K827=441/19</v>
      </c>
    </row>
    <row r="178" spans="1:5" ht="21.95" customHeight="1">
      <c r="A178" s="6" t="str">
        <f>"978-7-108-05784-6"</f>
        <v>978-7-108-05784-6</v>
      </c>
      <c r="B178" s="7" t="str">
        <f>"慈禧回銮：1901年的一次特殊旅行"</f>
        <v>慈禧回銮：1901年的一次特殊旅行</v>
      </c>
      <c r="C178" s="8" t="str">
        <f>"杨红林著"</f>
        <v>杨红林著</v>
      </c>
      <c r="D178" s="8" t="str">
        <f>"三联书店"</f>
        <v>三联书店</v>
      </c>
      <c r="E178" s="8" t="str">
        <f>"K827=52/1310"</f>
        <v>K827=52/1310</v>
      </c>
    </row>
    <row r="179" spans="1:5" ht="21.95" customHeight="1">
      <c r="A179" s="6" t="str">
        <f>"978-7-108-05644-3"</f>
        <v>978-7-108-05644-3</v>
      </c>
      <c r="B179" s="7" t="str">
        <f>"中国近代外交官群体的形成：1861-1911：1861-1911"</f>
        <v>中国近代外交官群体的形成：1861-1911：1861-1911</v>
      </c>
      <c r="C179" s="8" t="str">
        <f>"李文杰著"</f>
        <v>李文杰著</v>
      </c>
      <c r="D179" s="8" t="str">
        <f>"三联书店"</f>
        <v>三联书店</v>
      </c>
      <c r="E179" s="8" t="str">
        <f>"K827=52/1311"</f>
        <v>K827=52/1311</v>
      </c>
    </row>
    <row r="180" spans="1:5" ht="21.95" customHeight="1">
      <c r="A180" s="6" t="str">
        <f>"978-7-5538-0884-0"</f>
        <v>978-7-5538-0884-0</v>
      </c>
      <c r="B180" s="7" t="str">
        <f>"曾国藩的正面与侧面．3：曾国藩的领导力"</f>
        <v>曾国藩的正面与侧面．3：曾国藩的领导力</v>
      </c>
      <c r="C180" s="8" t="str">
        <f>"张宏杰著"</f>
        <v>张宏杰著</v>
      </c>
      <c r="D180" s="8" t="str">
        <f>"岳麓书社"</f>
        <v>岳麓书社</v>
      </c>
      <c r="E180" s="8" t="str">
        <f>"K827=52/1312"</f>
        <v>K827=52/1312</v>
      </c>
    </row>
    <row r="181" spans="1:5" ht="21.95" customHeight="1">
      <c r="A181" s="6" t="str">
        <f>"978-7-5361-5944-0"</f>
        <v>978-7-5361-5944-0</v>
      </c>
      <c r="B181" s="7" t="str">
        <f>"民族振兴的追梦者：孙中山"</f>
        <v>民族振兴的追梦者：孙中山</v>
      </c>
      <c r="C181" s="8" t="str">
        <f>"马庆忠， 李联海著"</f>
        <v>马庆忠， 李联海著</v>
      </c>
      <c r="D181" s="8" t="str">
        <f>"广东高等教育出版社"</f>
        <v>广东高等教育出版社</v>
      </c>
      <c r="E181" s="8" t="str">
        <f>"K827=6/140"</f>
        <v>K827=6/140</v>
      </c>
    </row>
    <row r="182" spans="1:5" ht="21.95" customHeight="1">
      <c r="A182" s="6" t="str">
        <f t="shared" ref="A182:A193" si="15">"978-7-101-12459-0"</f>
        <v>978-7-101-12459-0</v>
      </c>
      <c r="B182" s="7" t="str">
        <f>"孙中山史事编年．1"</f>
        <v>孙中山史事编年．1</v>
      </c>
      <c r="C182" s="8" t="str">
        <f t="shared" ref="C182:C193" si="16">"主编桑兵"</f>
        <v>主编桑兵</v>
      </c>
      <c r="D182" s="8" t="str">
        <f t="shared" ref="D182:D193" si="17">"中华书局"</f>
        <v>中华书局</v>
      </c>
      <c r="E182" s="8" t="str">
        <f>"K827=6/141/1"</f>
        <v>K827=6/141/1</v>
      </c>
    </row>
    <row r="183" spans="1:5" ht="21.95" customHeight="1">
      <c r="A183" s="6" t="str">
        <f t="shared" si="15"/>
        <v>978-7-101-12459-0</v>
      </c>
      <c r="B183" s="7" t="str">
        <f>"孙中山史事编年．10"</f>
        <v>孙中山史事编年．10</v>
      </c>
      <c r="C183" s="8" t="str">
        <f t="shared" si="16"/>
        <v>主编桑兵</v>
      </c>
      <c r="D183" s="8" t="str">
        <f t="shared" si="17"/>
        <v>中华书局</v>
      </c>
      <c r="E183" s="8" t="str">
        <f>"K827=6/141/10"</f>
        <v>K827=6/141/10</v>
      </c>
    </row>
    <row r="184" spans="1:5" ht="21.95" customHeight="1">
      <c r="A184" s="6" t="str">
        <f t="shared" si="15"/>
        <v>978-7-101-12459-0</v>
      </c>
      <c r="B184" s="7" t="str">
        <f>"孙中山史事编年．11"</f>
        <v>孙中山史事编年．11</v>
      </c>
      <c r="C184" s="8" t="str">
        <f t="shared" si="16"/>
        <v>主编桑兵</v>
      </c>
      <c r="D184" s="8" t="str">
        <f t="shared" si="17"/>
        <v>中华书局</v>
      </c>
      <c r="E184" s="8" t="str">
        <f>"K827=6/141/11"</f>
        <v>K827=6/141/11</v>
      </c>
    </row>
    <row r="185" spans="1:5" ht="21.95" customHeight="1">
      <c r="A185" s="6" t="str">
        <f t="shared" si="15"/>
        <v>978-7-101-12459-0</v>
      </c>
      <c r="B185" s="7" t="str">
        <f>"孙中山史事编年．12"</f>
        <v>孙中山史事编年．12</v>
      </c>
      <c r="C185" s="8" t="str">
        <f t="shared" si="16"/>
        <v>主编桑兵</v>
      </c>
      <c r="D185" s="8" t="str">
        <f t="shared" si="17"/>
        <v>中华书局</v>
      </c>
      <c r="E185" s="8" t="str">
        <f>"K827=6/141/12"</f>
        <v>K827=6/141/12</v>
      </c>
    </row>
    <row r="186" spans="1:5" ht="21.95" customHeight="1">
      <c r="A186" s="6" t="str">
        <f t="shared" si="15"/>
        <v>978-7-101-12459-0</v>
      </c>
      <c r="B186" s="7" t="str">
        <f>"孙中山史事编年．2"</f>
        <v>孙中山史事编年．2</v>
      </c>
      <c r="C186" s="8" t="str">
        <f t="shared" si="16"/>
        <v>主编桑兵</v>
      </c>
      <c r="D186" s="8" t="str">
        <f t="shared" si="17"/>
        <v>中华书局</v>
      </c>
      <c r="E186" s="8" t="str">
        <f>"K827=6/141/2"</f>
        <v>K827=6/141/2</v>
      </c>
    </row>
    <row r="187" spans="1:5" ht="21.95" customHeight="1">
      <c r="A187" s="6" t="str">
        <f t="shared" si="15"/>
        <v>978-7-101-12459-0</v>
      </c>
      <c r="B187" s="7" t="str">
        <f>"孙中山史事编年．3"</f>
        <v>孙中山史事编年．3</v>
      </c>
      <c r="C187" s="8" t="str">
        <f t="shared" si="16"/>
        <v>主编桑兵</v>
      </c>
      <c r="D187" s="8" t="str">
        <f t="shared" si="17"/>
        <v>中华书局</v>
      </c>
      <c r="E187" s="8" t="str">
        <f>"K827=6/141/3"</f>
        <v>K827=6/141/3</v>
      </c>
    </row>
    <row r="188" spans="1:5" ht="21.95" customHeight="1">
      <c r="A188" s="6" t="str">
        <f t="shared" si="15"/>
        <v>978-7-101-12459-0</v>
      </c>
      <c r="B188" s="7" t="str">
        <f>"孙中山史事编年．4"</f>
        <v>孙中山史事编年．4</v>
      </c>
      <c r="C188" s="8" t="str">
        <f t="shared" si="16"/>
        <v>主编桑兵</v>
      </c>
      <c r="D188" s="8" t="str">
        <f t="shared" si="17"/>
        <v>中华书局</v>
      </c>
      <c r="E188" s="8" t="str">
        <f>"K827=6/141/4"</f>
        <v>K827=6/141/4</v>
      </c>
    </row>
    <row r="189" spans="1:5" ht="21.95" customHeight="1">
      <c r="A189" s="6" t="str">
        <f t="shared" si="15"/>
        <v>978-7-101-12459-0</v>
      </c>
      <c r="B189" s="7" t="str">
        <f>"孙中山史事编年．5"</f>
        <v>孙中山史事编年．5</v>
      </c>
      <c r="C189" s="8" t="str">
        <f t="shared" si="16"/>
        <v>主编桑兵</v>
      </c>
      <c r="D189" s="8" t="str">
        <f t="shared" si="17"/>
        <v>中华书局</v>
      </c>
      <c r="E189" s="8" t="str">
        <f>"K827=6/141/5"</f>
        <v>K827=6/141/5</v>
      </c>
    </row>
    <row r="190" spans="1:5" ht="21.95" customHeight="1">
      <c r="A190" s="6" t="str">
        <f t="shared" si="15"/>
        <v>978-7-101-12459-0</v>
      </c>
      <c r="B190" s="7" t="str">
        <f>"孙中山史事编年．6"</f>
        <v>孙中山史事编年．6</v>
      </c>
      <c r="C190" s="8" t="str">
        <f t="shared" si="16"/>
        <v>主编桑兵</v>
      </c>
      <c r="D190" s="8" t="str">
        <f t="shared" si="17"/>
        <v>中华书局</v>
      </c>
      <c r="E190" s="8" t="str">
        <f>"K827=6/141/6"</f>
        <v>K827=6/141/6</v>
      </c>
    </row>
    <row r="191" spans="1:5" ht="21.95" customHeight="1">
      <c r="A191" s="6" t="str">
        <f t="shared" si="15"/>
        <v>978-7-101-12459-0</v>
      </c>
      <c r="B191" s="7" t="str">
        <f>"孙中山史事编年．7"</f>
        <v>孙中山史事编年．7</v>
      </c>
      <c r="C191" s="8" t="str">
        <f t="shared" si="16"/>
        <v>主编桑兵</v>
      </c>
      <c r="D191" s="8" t="str">
        <f t="shared" si="17"/>
        <v>中华书局</v>
      </c>
      <c r="E191" s="8" t="str">
        <f>"K827=6/141/7"</f>
        <v>K827=6/141/7</v>
      </c>
    </row>
    <row r="192" spans="1:5" ht="21.95" customHeight="1">
      <c r="A192" s="6" t="str">
        <f t="shared" si="15"/>
        <v>978-7-101-12459-0</v>
      </c>
      <c r="B192" s="7" t="str">
        <f>"孙中山史事编年．8"</f>
        <v>孙中山史事编年．8</v>
      </c>
      <c r="C192" s="8" t="str">
        <f t="shared" si="16"/>
        <v>主编桑兵</v>
      </c>
      <c r="D192" s="8" t="str">
        <f t="shared" si="17"/>
        <v>中华书局</v>
      </c>
      <c r="E192" s="8" t="str">
        <f>"K827=6/141/8"</f>
        <v>K827=6/141/8</v>
      </c>
    </row>
    <row r="193" spans="1:5" ht="21.95" customHeight="1">
      <c r="A193" s="6" t="str">
        <f t="shared" si="15"/>
        <v>978-7-101-12459-0</v>
      </c>
      <c r="B193" s="7" t="str">
        <f>"孙中山史事编年．9"</f>
        <v>孙中山史事编年．9</v>
      </c>
      <c r="C193" s="8" t="str">
        <f t="shared" si="16"/>
        <v>主编桑兵</v>
      </c>
      <c r="D193" s="8" t="str">
        <f t="shared" si="17"/>
        <v>中华书局</v>
      </c>
      <c r="E193" s="8" t="str">
        <f>"K827=6/141/9"</f>
        <v>K827=6/141/9</v>
      </c>
    </row>
    <row r="194" spans="1:5" ht="21.95" customHeight="1">
      <c r="A194" s="6" t="str">
        <f>"978-7-5596-0511-5"</f>
        <v>978-7-5596-0511-5</v>
      </c>
      <c r="B194" s="7" t="str">
        <f>"阿米尔·汗：我行我素"</f>
        <v>阿米尔·汗：我行我素</v>
      </c>
      <c r="C194" s="8" t="str">
        <f>"(印) 克里斯蒂娜·丹尼尔斯著"</f>
        <v>(印) 克里斯蒂娜·丹尼尔斯著</v>
      </c>
      <c r="D194" s="8" t="str">
        <f>"北京联合出版公司"</f>
        <v>北京联合出版公司</v>
      </c>
      <c r="E194" s="8" t="str">
        <f>"K833.515.78=5/1"</f>
        <v>K833.515.78=5/1</v>
      </c>
    </row>
    <row r="195" spans="1:5" ht="21.95" customHeight="1">
      <c r="A195" s="6" t="str">
        <f>"978-7-5086-6661-7"</f>
        <v>978-7-5086-6661-7</v>
      </c>
      <c r="B195" s="7" t="str">
        <f>"文艺复兴的女人们"</f>
        <v>文艺复兴的女人们</v>
      </c>
      <c r="C195" s="8" t="str">
        <f>"(日) 盐野七生著"</f>
        <v>(日) 盐野七生著</v>
      </c>
      <c r="D195" s="8" t="str">
        <f>"中信出版集团股份有限公司"</f>
        <v>中信出版集团股份有限公司</v>
      </c>
      <c r="E195" s="8" t="str">
        <f>"K835.085/1"</f>
        <v>K835.085/1</v>
      </c>
    </row>
    <row r="196" spans="1:5" ht="21.95" customHeight="1">
      <c r="A196" s="6" t="str">
        <f>"978-7-5086-7802-3"</f>
        <v>978-7-5086-7802-3</v>
      </c>
      <c r="B196" s="7" t="str">
        <f>"卡尔·波兰尼传"</f>
        <v>卡尔·波兰尼传</v>
      </c>
      <c r="C196" s="8" t="str">
        <f>"(英)加雷斯·戴尔著"</f>
        <v>(英)加雷斯·戴尔著</v>
      </c>
      <c r="D196" s="8" t="str">
        <f>"中信出版集团股份有限公司"</f>
        <v>中信出版集团股份有限公司</v>
      </c>
      <c r="E196" s="8" t="str">
        <f>"K835.155.1/2"</f>
        <v>K835.155.1/2</v>
      </c>
    </row>
    <row r="197" spans="1:5" ht="21.95" customHeight="1">
      <c r="A197" s="6" t="str">
        <f>"978-7-108-05637-5"</f>
        <v>978-7-108-05637-5</v>
      </c>
      <c r="B197" s="7" t="str">
        <f>"歌德与席勒：两位文学大师之间的一场友谊"</f>
        <v>歌德与席勒：两位文学大师之间的一场友谊</v>
      </c>
      <c r="C197" s="8" t="str">
        <f>"(德) 吕迪格尔·萨弗兰斯基著"</f>
        <v>(德) 吕迪格尔·萨弗兰斯基著</v>
      </c>
      <c r="D197" s="8" t="str">
        <f>"三联书店"</f>
        <v>三联书店</v>
      </c>
      <c r="E197" s="8" t="str">
        <f>"K835.165.6/32"</f>
        <v>K835.165.6/32</v>
      </c>
    </row>
    <row r="198" spans="1:5" ht="21.95" customHeight="1">
      <c r="A198" s="6" t="str">
        <f>"978-7-108-05939-0"</f>
        <v>978-7-108-05939-0</v>
      </c>
      <c r="B198" s="7" t="str">
        <f>"但丁"</f>
        <v>但丁</v>
      </c>
      <c r="C198" s="8" t="str">
        <f>"(美) R.W.B.刘易斯著"</f>
        <v>(美) R.W.B.刘易斯著</v>
      </c>
      <c r="D198" s="8" t="str">
        <f>"三联书店"</f>
        <v>三联书店</v>
      </c>
      <c r="E198" s="8" t="str">
        <f>"K835.465.6=323/1"</f>
        <v>K835.465.6=323/1</v>
      </c>
    </row>
    <row r="199" spans="1:5" ht="21.95" customHeight="1">
      <c r="A199" s="6" t="str">
        <f>"978-7-301-28777-4"</f>
        <v>978-7-301-28777-4</v>
      </c>
      <c r="B199" s="7" t="str">
        <f>"边缘人的呼喊与细语：西欧中世纪晚期女性作家研究"</f>
        <v>边缘人的呼喊与细语：西欧中世纪晚期女性作家研究</v>
      </c>
      <c r="C199" s="8" t="str">
        <f>"杜力著"</f>
        <v>杜力著</v>
      </c>
      <c r="D199" s="8" t="str">
        <f>"北京大学出版社"</f>
        <v>北京大学出版社</v>
      </c>
      <c r="E199" s="8" t="str">
        <f>"K835.605.6=3/1"</f>
        <v>K835.605.6=3/1</v>
      </c>
    </row>
    <row r="200" spans="1:5" ht="21.95" customHeight="1">
      <c r="A200" s="6" t="str">
        <f>"978-7-229-12761-9"</f>
        <v>978-7-229-12761-9</v>
      </c>
      <c r="B200" s="7" t="str">
        <f>"我和霍金的生活"</f>
        <v>我和霍金的生活</v>
      </c>
      <c r="C200" s="8" t="str">
        <f>"(英) 简·霍金著"</f>
        <v>(英) 简·霍金著</v>
      </c>
      <c r="D200" s="8" t="str">
        <f>"重庆出版社"</f>
        <v>重庆出版社</v>
      </c>
      <c r="E200" s="8" t="str">
        <f>"K835.616.14/4"</f>
        <v>K835.616.14/4</v>
      </c>
    </row>
    <row r="201" spans="1:5" ht="21.95" customHeight="1">
      <c r="A201" s="6" t="str">
        <f>"978-7-5596-1259-5"</f>
        <v>978-7-5596-1259-5</v>
      </c>
      <c r="B201" s="7" t="str">
        <f>"梵高的耳朵：一个真实的故事：the true story"</f>
        <v>梵高的耳朵：一个真实的故事：the true story</v>
      </c>
      <c r="C201" s="8" t="str">
        <f>"(英) 贝尔纳黛特·墨菲著"</f>
        <v>(英) 贝尔纳黛特·墨菲著</v>
      </c>
      <c r="D201" s="8" t="str">
        <f>"北京联合出版公司"</f>
        <v>北京联合出版公司</v>
      </c>
      <c r="E201" s="8" t="str">
        <f>"K835.635.72=43/1"</f>
        <v>K835.635.72=43/1</v>
      </c>
    </row>
    <row r="202" spans="1:5" ht="21.95" customHeight="1">
      <c r="A202" s="6" t="str">
        <f>"978-7-5153-4965-7"</f>
        <v>978-7-5153-4965-7</v>
      </c>
      <c r="B202" s="7" t="str">
        <f>"莫奈，和他痴迷的睡莲"</f>
        <v>莫奈，和他痴迷的睡莲</v>
      </c>
      <c r="C202" s="8" t="str">
        <f>"(美) 罗斯·金著"</f>
        <v>(美) 罗斯·金著</v>
      </c>
      <c r="D202" s="8" t="str">
        <f>"中国青年出版社"</f>
        <v>中国青年出版社</v>
      </c>
      <c r="E202" s="8" t="str">
        <f>"K835.655.72=51/1"</f>
        <v>K835.655.72=51/1</v>
      </c>
    </row>
    <row r="203" spans="1:5" ht="21.95" customHeight="1">
      <c r="A203" s="6" t="str">
        <f>"978-7-5086-8104-7"</f>
        <v>978-7-5086-8104-7</v>
      </c>
      <c r="B203" s="7" t="str">
        <f>"美国的恺撒大帝：麦克阿瑟．上"</f>
        <v>美国的恺撒大帝：麦克阿瑟．上</v>
      </c>
      <c r="C203" s="8" t="str">
        <f>"(美) 威廉·曼彻斯特著"</f>
        <v>(美) 威廉·曼彻斯特著</v>
      </c>
      <c r="D203" s="8" t="str">
        <f t="shared" ref="D203:D211" si="18">"中信出版集团股份有限公司"</f>
        <v>中信出版集团股份有限公司</v>
      </c>
      <c r="E203" s="8" t="str">
        <f>"K837.125.2/28"</f>
        <v>K837.125.2/28</v>
      </c>
    </row>
    <row r="204" spans="1:5" ht="21.95" customHeight="1">
      <c r="A204" s="6" t="str">
        <f>"978-7-5086-7950-1"</f>
        <v>978-7-5086-7950-1</v>
      </c>
      <c r="B204" s="7" t="str">
        <f>"滚雪球：巴菲特和他的财富人生．下"</f>
        <v>滚雪球：巴菲特和他的财富人生．下</v>
      </c>
      <c r="C204" s="8" t="str">
        <f>"(美)艾丽斯·施罗德著"</f>
        <v>(美)艾丽斯·施罗德著</v>
      </c>
      <c r="D204" s="8" t="str">
        <f t="shared" si="18"/>
        <v>中信出版集团股份有限公司</v>
      </c>
      <c r="E204" s="8" t="str">
        <f>"K837.125.34/25/2=3D"</f>
        <v>K837.125.34/25/2=3D</v>
      </c>
    </row>
    <row r="205" spans="1:5" ht="34.5" customHeight="1">
      <c r="A205" s="6" t="str">
        <f>"978-7-5086-7175-8"</f>
        <v>978-7-5086-7175-8</v>
      </c>
      <c r="B205" s="7" t="str">
        <f>"一个聪明的投资者：本杰明·格雷厄姆：the life and timeless financial wisdom of Benjamin Graham"</f>
        <v>一个聪明的投资者：本杰明·格雷厄姆：the life and timeless financial wisdom of Benjamin Graham</v>
      </c>
      <c r="C205" s="8" t="str">
        <f>"(美) 乔·卡伦著"</f>
        <v>(美) 乔·卡伦著</v>
      </c>
      <c r="D205" s="8" t="str">
        <f t="shared" si="18"/>
        <v>中信出版集团股份有限公司</v>
      </c>
      <c r="E205" s="8" t="str">
        <f>"K837.125.34=534/1"</f>
        <v>K837.125.34=534/1</v>
      </c>
    </row>
    <row r="206" spans="1:5" ht="21.95" customHeight="1">
      <c r="A206" s="6" t="str">
        <f>"978-7-5086-7878-8"</f>
        <v>978-7-5086-7878-8</v>
      </c>
      <c r="B206" s="7" t="str">
        <f>"滚雪球：巴菲特和他的财富人生．上"</f>
        <v>滚雪球：巴菲特和他的财富人生．上</v>
      </c>
      <c r="C206" s="8" t="str">
        <f>"(美)艾丽斯·施罗德著"</f>
        <v>(美)艾丽斯·施罗德著</v>
      </c>
      <c r="D206" s="8" t="str">
        <f t="shared" si="18"/>
        <v>中信出版集团股份有限公司</v>
      </c>
      <c r="E206" s="8" t="str">
        <f>"K837.125.34=6/25/1=3D"</f>
        <v>K837.125.34=6/25/1=3D</v>
      </c>
    </row>
    <row r="207" spans="1:5" ht="21.95" customHeight="1">
      <c r="A207" s="6" t="str">
        <f>"978-7-5086-7405-6"</f>
        <v>978-7-5086-7405-6</v>
      </c>
      <c r="B207" s="7" t="str">
        <f>"杰克·韦尔奇自传"</f>
        <v>杰克·韦尔奇自传</v>
      </c>
      <c r="C207" s="8" t="str">
        <f>"(美) 杰克·韦尔奇， 约翰·拜恩著"</f>
        <v>(美) 杰克·韦尔奇， 约翰·拜恩著</v>
      </c>
      <c r="D207" s="8" t="str">
        <f t="shared" si="18"/>
        <v>中信出版集团股份有限公司</v>
      </c>
      <c r="E207" s="8" t="str">
        <f>"K837.125.38=6/26"</f>
        <v>K837.125.38=6/26</v>
      </c>
    </row>
    <row r="208" spans="1:5" ht="21.95" customHeight="1">
      <c r="A208" s="6" t="str">
        <f>"978-7-5086-7822-1"</f>
        <v>978-7-5086-7822-1</v>
      </c>
      <c r="B208" s="7" t="str">
        <f>"追寻历史：一个记者和他的20世纪：a personal adventure"</f>
        <v>追寻历史：一个记者和他的20世纪：a personal adventure</v>
      </c>
      <c r="C208" s="8" t="str">
        <f>"(美) 白修德著"</f>
        <v>(美) 白修德著</v>
      </c>
      <c r="D208" s="8" t="str">
        <f t="shared" si="18"/>
        <v>中信出版集团股份有限公司</v>
      </c>
      <c r="E208" s="8" t="str">
        <f>"K837.125.42/10"</f>
        <v>K837.125.42/10</v>
      </c>
    </row>
    <row r="209" spans="1:5" ht="21.95" customHeight="1">
      <c r="A209" s="6" t="str">
        <f>"978-7-5086-6602-0"</f>
        <v>978-7-5086-6602-0</v>
      </c>
      <c r="B209" s="7" t="str">
        <f>"华盛顿传"</f>
        <v>华盛顿传</v>
      </c>
      <c r="C209" s="8" t="str">
        <f>"(美) 约瑟夫·J·埃利斯著"</f>
        <v>(美) 约瑟夫·J·埃利斯著</v>
      </c>
      <c r="D209" s="8" t="str">
        <f t="shared" si="18"/>
        <v>中信出版集团股份有限公司</v>
      </c>
      <c r="E209" s="8" t="str">
        <f>"K837.127=41/26"</f>
        <v>K837.127=41/26</v>
      </c>
    </row>
    <row r="210" spans="1:5" ht="33" customHeight="1">
      <c r="A210" s="6" t="str">
        <f>"978-7-5086-8110-8"</f>
        <v>978-7-5086-8110-8</v>
      </c>
      <c r="B210" s="7" t="str">
        <f>"杰斐逊传：美国的斯芬克斯：the character of Thomas Jefferson"</f>
        <v>杰斐逊传：美国的斯芬克斯：the character of Thomas Jefferson</v>
      </c>
      <c r="C210" s="8" t="str">
        <f>"(美) 约瑟夫·J.埃利斯著"</f>
        <v>(美) 约瑟夫·J.埃利斯著</v>
      </c>
      <c r="D210" s="8" t="str">
        <f t="shared" si="18"/>
        <v>中信出版集团股份有限公司</v>
      </c>
      <c r="E210" s="8" t="str">
        <f>"K837.127=41/27"</f>
        <v>K837.127=41/27</v>
      </c>
    </row>
    <row r="211" spans="1:5" ht="21.95" customHeight="1">
      <c r="A211" s="6" t="str">
        <f>"978-7-5086-7125-3"</f>
        <v>978-7-5086-7125-3</v>
      </c>
      <c r="B211" s="7" t="str">
        <f>"即逝的闪耀之光：肯尼迪：remembering Kennedy"</f>
        <v>即逝的闪耀之光：肯尼迪：remembering Kennedy</v>
      </c>
      <c r="C211" s="8" t="str">
        <f>"(美) 威廉·曼彻斯特著"</f>
        <v>(美) 威廉·曼彻斯特著</v>
      </c>
      <c r="D211" s="8" t="str">
        <f t="shared" si="18"/>
        <v>中信出版集团股份有限公司</v>
      </c>
      <c r="E211" s="8" t="str">
        <f>"K837.127=5/12"</f>
        <v>K837.127=5/12</v>
      </c>
    </row>
    <row r="212" spans="1:5" ht="21.95" customHeight="1">
      <c r="A212" s="6" t="str">
        <f>"978-7-108-05905-5"</f>
        <v>978-7-108-05905-5</v>
      </c>
      <c r="B212" s="7" t="str">
        <f>"马丁·路德·金"</f>
        <v>马丁·路德·金</v>
      </c>
      <c r="C212" s="8" t="str">
        <f>"(美) 马歇尔·弗拉迪著"</f>
        <v>(美) 马歇尔·弗拉迪著</v>
      </c>
      <c r="D212" s="8" t="str">
        <f>"三联书店"</f>
        <v>三联书店</v>
      </c>
      <c r="E212" s="8" t="str">
        <f>"K837.127=533/12"</f>
        <v>K837.127=533/12</v>
      </c>
    </row>
    <row r="213" spans="1:5" ht="21.95" customHeight="1">
      <c r="A213" s="6" t="str">
        <f>"978-7-5086-6913-7"</f>
        <v>978-7-5086-6913-7</v>
      </c>
      <c r="B213" s="7" t="str">
        <f>"里根传．上"</f>
        <v>里根传．上</v>
      </c>
      <c r="C213" s="8" t="str">
        <f>"(美) H·W·布兰兹著"</f>
        <v>(美) H·W·布兰兹著</v>
      </c>
      <c r="D213" s="8" t="str">
        <f>"中信出版社"</f>
        <v>中信出版社</v>
      </c>
      <c r="E213" s="8" t="str">
        <f>"K837.127=6/37/1"</f>
        <v>K837.127=6/37/1</v>
      </c>
    </row>
    <row r="214" spans="1:5" ht="21.95" customHeight="1">
      <c r="A214" s="6" t="str">
        <f>"978-7-5086-6914-4"</f>
        <v>978-7-5086-6914-4</v>
      </c>
      <c r="B214" s="7" t="str">
        <f>"里根传．下"</f>
        <v>里根传．下</v>
      </c>
      <c r="C214" s="8" t="str">
        <f>"(美)H·W·布兰兹(H.W. Brands)著"</f>
        <v>(美)H·W·布兰兹(H.W. Brands)著</v>
      </c>
      <c r="D214" s="8" t="str">
        <f>"中信出版社"</f>
        <v>中信出版社</v>
      </c>
      <c r="E214" s="8" t="str">
        <f>"K837.127=6/37/2"</f>
        <v>K837.127=6/37/2</v>
      </c>
    </row>
    <row r="215" spans="1:5" ht="21.95" customHeight="1">
      <c r="A215" s="6" t="str">
        <f>"978-7-108-06101-0"</f>
        <v>978-7-108-06101-0</v>
      </c>
      <c r="B215" s="7" t="str">
        <f>"神祇、陵墓与学者：考古学传奇：Roman Der Archaologie"</f>
        <v>神祇、陵墓与学者：考古学传奇：Roman Der Archaologie</v>
      </c>
      <c r="C215" s="8" t="str">
        <f>"(德) C.W.策拉姆著"</f>
        <v>(德) C.W.策拉姆著</v>
      </c>
      <c r="D215" s="8" t="str">
        <f>"三联书店"</f>
        <v>三联书店</v>
      </c>
      <c r="E215" s="8" t="str">
        <f>"K86-09/1=2D"</f>
        <v>K86-09/1=2D</v>
      </c>
    </row>
    <row r="216" spans="1:5" ht="30" customHeight="1">
      <c r="A216" s="6" t="str">
        <f>"978-7-108-05901-7"</f>
        <v>978-7-108-05901-7</v>
      </c>
      <c r="B216" s="7" t="str">
        <f>"中国考古学：旧石器时代晚期到早期青铜时代：from the late paleolithic to the early bronze age"</f>
        <v>中国考古学：旧石器时代晚期到早期青铜时代：from the late paleolithic to the early bronze age</v>
      </c>
      <c r="C216" s="8" t="str">
        <f>"刘莉， 陈星灿著"</f>
        <v>刘莉， 陈星灿著</v>
      </c>
      <c r="D216" s="8" t="str">
        <f>"三联书店"</f>
        <v>三联书店</v>
      </c>
      <c r="E216" s="8" t="str">
        <f>"K871/6"</f>
        <v>K871/6</v>
      </c>
    </row>
    <row r="217" spans="1:5" ht="21.95" customHeight="1">
      <c r="A217" s="6" t="str">
        <f>"978-7-301-27967-0"</f>
        <v>978-7-301-27967-0</v>
      </c>
      <c r="B217" s="7" t="str">
        <f>"西域考古与艺术"</f>
        <v>西域考古与艺术</v>
      </c>
      <c r="C217" s="8" t="str">
        <f>"林梅村著"</f>
        <v>林梅村著</v>
      </c>
      <c r="D217" s="8" t="str">
        <f>"北京大学出版社"</f>
        <v>北京大学出版社</v>
      </c>
      <c r="E217" s="8" t="str">
        <f>"K872.45-53/1"</f>
        <v>K872.45-53/1</v>
      </c>
    </row>
    <row r="218" spans="1:5" ht="21.95" customHeight="1">
      <c r="A218" s="6" t="str">
        <f>"978-7-101-12445-3"</f>
        <v>978-7-101-12445-3</v>
      </c>
      <c r="B218" s="7" t="str">
        <f>"汉代服饰"</f>
        <v>汉代服饰</v>
      </c>
      <c r="C218" s="8" t="str">
        <f>"张末元编著"</f>
        <v>张末元编著</v>
      </c>
      <c r="D218" s="8" t="str">
        <f>"中华书局"</f>
        <v>中华书局</v>
      </c>
      <c r="E218" s="8" t="str">
        <f>"K875.24/16"</f>
        <v>K875.24/16</v>
      </c>
    </row>
    <row r="219" spans="1:5" ht="21.95" customHeight="1">
      <c r="A219" s="6" t="str">
        <f>"978-7-108-05916-1"</f>
        <v>978-7-108-05916-1</v>
      </c>
      <c r="B219" s="7" t="str">
        <f>"鉴若长河：中国古代铜镜的微观世界"</f>
        <v>鉴若长河：中国古代铜镜的微观世界</v>
      </c>
      <c r="C219" s="8" t="str">
        <f>"霍宏伟著"</f>
        <v>霍宏伟著</v>
      </c>
      <c r="D219" s="8" t="str">
        <f>"三联书店"</f>
        <v>三联书店</v>
      </c>
      <c r="E219" s="8" t="str">
        <f>"K875.24/17"</f>
        <v>K875.24/17</v>
      </c>
    </row>
    <row r="220" spans="1:5" ht="21.95" customHeight="1">
      <c r="A220" s="6" t="str">
        <f>"978-7-108-05788-4"</f>
        <v>978-7-108-05788-4</v>
      </c>
      <c r="B220" s="7" t="str">
        <f>"道在瓦甓：吴昌硕的古砖收藏与艺术实践"</f>
        <v>道在瓦甓：吴昌硕的古砖收藏与艺术实践</v>
      </c>
      <c r="C220" s="8" t="str">
        <f>"梅松著"</f>
        <v>梅松著</v>
      </c>
      <c r="D220" s="8" t="str">
        <f>"三联书店"</f>
        <v>三联书店</v>
      </c>
      <c r="E220" s="8" t="str">
        <f>"K876.34/56"</f>
        <v>K876.34/56</v>
      </c>
    </row>
    <row r="221" spans="1:5" ht="21.95" customHeight="1">
      <c r="A221" s="6" t="str">
        <f>"978-7-301-28429-2"</f>
        <v>978-7-301-28429-2</v>
      </c>
      <c r="B221" s="7" t="str">
        <f>"恰如灯下故人：谛听中国瓷器妙音"</f>
        <v>恰如灯下故人：谛听中国瓷器妙音</v>
      </c>
      <c r="C221" s="8" t="str">
        <f>"霍华著"</f>
        <v>霍华著</v>
      </c>
      <c r="D221" s="8" t="str">
        <f>"北京大学出版社"</f>
        <v>北京大学出版社</v>
      </c>
      <c r="E221" s="8" t="str">
        <f>"K876.34/57"</f>
        <v>K876.34/57</v>
      </c>
    </row>
    <row r="222" spans="1:5" ht="21.95" customHeight="1">
      <c r="A222" s="6" t="str">
        <f>"978-7-108-05932-1"</f>
        <v>978-7-108-05932-1</v>
      </c>
      <c r="B222" s="7" t="str">
        <f>"御窑千年"</f>
        <v>御窑千年</v>
      </c>
      <c r="C222" s="8" t="str">
        <f>"阎崇年著"</f>
        <v>阎崇年著</v>
      </c>
      <c r="D222" s="8" t="str">
        <f>"三联书店"</f>
        <v>三联书店</v>
      </c>
      <c r="E222" s="8" t="str">
        <f>"K876.34/58"</f>
        <v>K876.34/58</v>
      </c>
    </row>
    <row r="223" spans="1:5" ht="21.95" customHeight="1">
      <c r="A223" s="6" t="str">
        <f>"978-7-108-05819-5"</f>
        <v>978-7-108-05819-5</v>
      </c>
      <c r="B223" s="7" t="str">
        <f>"汉画像胡人图像研究"</f>
        <v>汉画像胡人图像研究</v>
      </c>
      <c r="C223" s="8" t="str">
        <f>"朱浒著"</f>
        <v>朱浒著</v>
      </c>
      <c r="D223" s="8" t="str">
        <f>"三联书店"</f>
        <v>三联书店</v>
      </c>
      <c r="E223" s="8" t="str">
        <f>"K879.424/10"</f>
        <v>K879.424/10</v>
      </c>
    </row>
    <row r="224" spans="1:5" ht="21.95" customHeight="1">
      <c r="A224" s="6" t="str">
        <f>"978-7-5086-7990-7"</f>
        <v>978-7-5086-7990-7</v>
      </c>
      <c r="B224" s="7" t="str">
        <f>"谜一般的七支刀：五世纪的东亚与日本"</f>
        <v>谜一般的七支刀：五世纪的东亚与日本</v>
      </c>
      <c r="C224" s="8" t="str">
        <f>"(日) 宫崎市定著"</f>
        <v>(日) 宫崎市定著</v>
      </c>
      <c r="D224" s="8" t="str">
        <f>"中信出版集团股份有限公司"</f>
        <v>中信出版集团股份有限公司</v>
      </c>
      <c r="E224" s="8" t="str">
        <f>"K883.135.8/1"</f>
        <v>K883.135.8/1</v>
      </c>
    </row>
    <row r="225" spans="1:5" ht="21.95" customHeight="1">
      <c r="A225" s="6" t="str">
        <f>"978-7-5032-5975-3"</f>
        <v>978-7-5032-5975-3</v>
      </c>
      <c r="B225" s="7" t="str">
        <f>"活动礼仪实务"</f>
        <v>活动礼仪实务</v>
      </c>
      <c r="C225" s="8" t="str">
        <f>"主编程静静"</f>
        <v>主编程静静</v>
      </c>
      <c r="D225" s="8" t="str">
        <f>"中国旅游出版社"</f>
        <v>中国旅游出版社</v>
      </c>
      <c r="E225" s="8" t="str">
        <f>"K891.26/169"</f>
        <v>K891.26/169</v>
      </c>
    </row>
    <row r="226" spans="1:5" ht="21.95" customHeight="1">
      <c r="A226" s="6" t="str">
        <f>"978-7-5113-6800-3"</f>
        <v>978-7-5113-6800-3</v>
      </c>
      <c r="B226" s="7" t="str">
        <f>"礼仪常识全知道"</f>
        <v>礼仪常识全知道</v>
      </c>
      <c r="C226" s="8" t="str">
        <f>"夏志强编著"</f>
        <v>夏志强编著</v>
      </c>
      <c r="D226" s="8" t="str">
        <f>"中国华侨出版社"</f>
        <v>中国华侨出版社</v>
      </c>
      <c r="E226" s="8" t="str">
        <f>"K891.26/170"</f>
        <v>K891.26/170</v>
      </c>
    </row>
    <row r="227" spans="1:5" ht="21.95" customHeight="1">
      <c r="A227" s="6" t="str">
        <f>"978-7-5180-4626-3"</f>
        <v>978-7-5180-4626-3</v>
      </c>
      <c r="B227" s="7" t="str">
        <f>"女孩的第一本实用礼仪书．2：日常礼仪细节全书"</f>
        <v>女孩的第一本实用礼仪书．2：日常礼仪细节全书</v>
      </c>
      <c r="C227" s="8" t="str">
        <f>"杨扬著"</f>
        <v>杨扬著</v>
      </c>
      <c r="D227" s="8" t="str">
        <f>"中国纺织出版社"</f>
        <v>中国纺织出版社</v>
      </c>
      <c r="E227" s="8" t="str">
        <f>"K891.26/171/2"</f>
        <v>K891.26/171/2</v>
      </c>
    </row>
    <row r="228" spans="1:5" ht="21.95" customHeight="1">
      <c r="A228" s="6" t="str">
        <f>"978-7-5032-5896-1"</f>
        <v>978-7-5032-5896-1</v>
      </c>
      <c r="B228" s="7" t="str">
        <f>"旅游中外民俗"</f>
        <v>旅游中外民俗</v>
      </c>
      <c r="C228" s="8" t="str">
        <f>"刘亚轩主编"</f>
        <v>刘亚轩主编</v>
      </c>
      <c r="D228" s="8" t="str">
        <f>"中国旅游出版社"</f>
        <v>中国旅游出版社</v>
      </c>
      <c r="E228" s="8" t="str">
        <f>"K891/32=2D"</f>
        <v>K891/32=2D</v>
      </c>
    </row>
    <row r="229" spans="1:5" ht="21.95" customHeight="1">
      <c r="A229" s="6" t="str">
        <f>"978-7-108-06145-4"</f>
        <v>978-7-108-06145-4</v>
      </c>
      <c r="B229" s="7" t="str">
        <f>"服饰汇"</f>
        <v>服饰汇</v>
      </c>
      <c r="C229" s="8" t="str">
        <f>"孙孟英编著"</f>
        <v>孙孟英编著</v>
      </c>
      <c r="D229" s="8" t="str">
        <f>"三联书店"</f>
        <v>三联书店</v>
      </c>
      <c r="E229" s="8" t="str">
        <f>"K892.23/22"</f>
        <v>K892.23/22</v>
      </c>
    </row>
    <row r="230" spans="1:5" ht="21.95" customHeight="1">
      <c r="A230" s="6" t="str">
        <f>"978-7-5426-5918-7"</f>
        <v>978-7-5426-5918-7</v>
      </c>
      <c r="B230" s="7" t="str">
        <f>"礼仪、文化与法律秩序：传统礼俗转型及其对京津冀的考察"</f>
        <v>礼仪、文化与法律秩序：传统礼俗转型及其对京津冀的考察</v>
      </c>
      <c r="C230" s="8" t="str">
        <f>"李洪卫主编"</f>
        <v>李洪卫主编</v>
      </c>
      <c r="D230" s="8" t="str">
        <f>"上海三联书店"</f>
        <v>上海三联书店</v>
      </c>
      <c r="E230" s="8" t="str">
        <f>"K892.26/26"</f>
        <v>K892.26/26</v>
      </c>
    </row>
    <row r="231" spans="1:5" ht="21.95" customHeight="1">
      <c r="A231" s="6" t="str">
        <f>"978-7-5426-5960-6"</f>
        <v>978-7-5426-5960-6</v>
      </c>
      <c r="B231" s="7" t="str">
        <f>"中国礼制变迁及其现代价值研究．西北卷"</f>
        <v>中国礼制变迁及其现代价值研究．西北卷</v>
      </c>
      <c r="C231" s="8" t="str">
        <f>"汤勤福，陈峰主编"</f>
        <v>汤勤福，陈峰主编</v>
      </c>
      <c r="D231" s="8" t="str">
        <f>"上海三联书店"</f>
        <v>上海三联书店</v>
      </c>
      <c r="E231" s="8" t="str">
        <f>"K892.9/50"</f>
        <v>K892.9/50</v>
      </c>
    </row>
    <row r="232" spans="1:5" ht="21.95" customHeight="1">
      <c r="A232" s="6" t="str">
        <f>"978-7-5321-6226-0"</f>
        <v>978-7-5321-6226-0</v>
      </c>
      <c r="B232" s="7" t="str">
        <f>"隋唐五代风俗"</f>
        <v>隋唐五代风俗</v>
      </c>
      <c r="C232" s="8" t="str">
        <f>"吴玉贵著"</f>
        <v>吴玉贵著</v>
      </c>
      <c r="D232" s="8" t="str">
        <f t="shared" ref="D232:D237" si="19">"上海文艺出版社"</f>
        <v>上海文艺出版社</v>
      </c>
      <c r="E232" s="8" t="str">
        <f>"K892/111"</f>
        <v>K892/111</v>
      </c>
    </row>
    <row r="233" spans="1:5" ht="21.95" customHeight="1">
      <c r="A233" s="6" t="str">
        <f>"978-7-5321-6486-8"</f>
        <v>978-7-5321-6486-8</v>
      </c>
      <c r="B233" s="7" t="str">
        <f>"夏商风俗"</f>
        <v>夏商风俗</v>
      </c>
      <c r="C233" s="8" t="str">
        <f>"宋镇豪著"</f>
        <v>宋镇豪著</v>
      </c>
      <c r="D233" s="8" t="str">
        <f t="shared" si="19"/>
        <v>上海文艺出版社</v>
      </c>
      <c r="E233" s="8" t="str">
        <f>"K892/112"</f>
        <v>K892/112</v>
      </c>
    </row>
    <row r="234" spans="1:5" ht="21.95" customHeight="1">
      <c r="A234" s="6" t="str">
        <f>"978-7-5321-6510-0"</f>
        <v>978-7-5321-6510-0</v>
      </c>
      <c r="B234" s="7" t="str">
        <f>"清代风俗"</f>
        <v>清代风俗</v>
      </c>
      <c r="C234" s="8" t="str">
        <f>"林永匡， 袁立泽著"</f>
        <v>林永匡， 袁立泽著</v>
      </c>
      <c r="D234" s="8" t="str">
        <f t="shared" si="19"/>
        <v>上海文艺出版社</v>
      </c>
      <c r="E234" s="8" t="str">
        <f>"K892/113"</f>
        <v>K892/113</v>
      </c>
    </row>
    <row r="235" spans="1:5" ht="21.95" customHeight="1">
      <c r="A235" s="6" t="str">
        <f>"978-7-5321-5818-8"</f>
        <v>978-7-5321-5818-8</v>
      </c>
      <c r="B235" s="7" t="str">
        <f>"秦汉风俗"</f>
        <v>秦汉风俗</v>
      </c>
      <c r="C235" s="8" t="str">
        <f>"彭卫，杨振红著"</f>
        <v>彭卫，杨振红著</v>
      </c>
      <c r="D235" s="8" t="str">
        <f t="shared" si="19"/>
        <v>上海文艺出版社</v>
      </c>
      <c r="E235" s="8" t="str">
        <f>"K892/114"</f>
        <v>K892/114</v>
      </c>
    </row>
    <row r="236" spans="1:5" ht="21.95" customHeight="1">
      <c r="A236" s="6" t="str">
        <f>"978-7-5321-6225-3"</f>
        <v>978-7-5321-6225-3</v>
      </c>
      <c r="B236" s="7" t="str">
        <f>"宋代风俗"</f>
        <v>宋代风俗</v>
      </c>
      <c r="C236" s="8" t="str">
        <f>"徐吉军 ... [等] 著"</f>
        <v>徐吉军 ... [等] 著</v>
      </c>
      <c r="D236" s="8" t="str">
        <f t="shared" si="19"/>
        <v>上海文艺出版社</v>
      </c>
      <c r="E236" s="8" t="str">
        <f>"K892/115"</f>
        <v>K892/115</v>
      </c>
    </row>
    <row r="237" spans="1:5" ht="21.95" customHeight="1">
      <c r="A237" s="6" t="str">
        <f>"978-7-5321-5726-6"</f>
        <v>978-7-5321-5726-6</v>
      </c>
      <c r="B237" s="7" t="str">
        <f>"辽金风俗"</f>
        <v>辽金风俗</v>
      </c>
      <c r="C237" s="8" t="str">
        <f>"宋德金著"</f>
        <v>宋德金著</v>
      </c>
      <c r="D237" s="8" t="str">
        <f t="shared" si="19"/>
        <v>上海文艺出版社</v>
      </c>
      <c r="E237" s="8" t="str">
        <f>"K892/116"</f>
        <v>K892/116</v>
      </c>
    </row>
    <row r="238" spans="1:5" ht="21.95" customHeight="1">
      <c r="A238" s="6" t="str">
        <f>"978-7-108-06110-2"</f>
        <v>978-7-108-06110-2</v>
      </c>
      <c r="B238" s="7" t="str">
        <f>"新订人文地理随笔"</f>
        <v>新订人文地理随笔</v>
      </c>
      <c r="C238" s="8" t="str">
        <f>"唐晓峰著"</f>
        <v>唐晓峰著</v>
      </c>
      <c r="D238" s="8" t="str">
        <f>"三联书店"</f>
        <v>三联书店</v>
      </c>
      <c r="E238" s="8" t="str">
        <f>"K901-53/1"</f>
        <v>K901-53/1</v>
      </c>
    </row>
    <row r="239" spans="1:5" ht="21.95" customHeight="1">
      <c r="A239" s="6" t="str">
        <f>"978-7-5096-5421-7"</f>
        <v>978-7-5096-5421-7</v>
      </c>
      <c r="B239" s="7" t="str">
        <f>"“一带一路”国家国情．蒙古国．National condition"</f>
        <v>“一带一路”国家国情．蒙古国．National condition</v>
      </c>
      <c r="C239" s="8" t="str">
        <f>"主编李晶"</f>
        <v>主编李晶</v>
      </c>
      <c r="D239" s="8" t="str">
        <f>"经济管理出版社"</f>
        <v>经济管理出版社</v>
      </c>
      <c r="E239" s="8" t="str">
        <f>"K91/44"</f>
        <v>K91/44</v>
      </c>
    </row>
    <row r="240" spans="1:5" ht="21.95" customHeight="1">
      <c r="A240" s="6" t="str">
        <f>"978-7-108-05830-0"</f>
        <v>978-7-108-05830-0</v>
      </c>
      <c r="B240" s="7" t="str">
        <f>"谁在地球的另一边：从古代海图看世界"</f>
        <v>谁在地球的另一边：从古代海图看世界</v>
      </c>
      <c r="C240" s="8" t="str">
        <f>"梁二平著"</f>
        <v>梁二平著</v>
      </c>
      <c r="D240" s="8" t="str">
        <f>"三联书店"</f>
        <v>三联书店</v>
      </c>
      <c r="E240" s="8" t="str">
        <f>"K916/5"</f>
        <v>K916/5</v>
      </c>
    </row>
    <row r="241" spans="1:5" ht="21.95" customHeight="1">
      <c r="A241" s="6" t="str">
        <f>"978-7-101-12271-8"</f>
        <v>978-7-101-12271-8</v>
      </c>
      <c r="B241" s="7" t="str">
        <f>"北京的胡同"</f>
        <v>北京的胡同</v>
      </c>
      <c r="C241" s="8" t="str">
        <f>"翁立著"</f>
        <v>翁立著</v>
      </c>
      <c r="D241" s="8" t="str">
        <f>"中华书局"</f>
        <v>中华书局</v>
      </c>
      <c r="E241" s="8" t="str">
        <f>"K921/42"</f>
        <v>K921/42</v>
      </c>
    </row>
    <row r="242" spans="1:5" ht="21.95" customHeight="1">
      <c r="A242" s="6" t="str">
        <f>"978-7-03-007383-9"</f>
        <v>978-7-03-007383-9</v>
      </c>
      <c r="B242" s="7" t="str">
        <f>"中国政区地理"</f>
        <v>中国政区地理</v>
      </c>
      <c r="C242" s="8" t="str">
        <f>"刘君德， 靳润成， 周克瑜编著"</f>
        <v>刘君德， 靳润成， 周克瑜编著</v>
      </c>
      <c r="D242" s="8" t="str">
        <f>"科学出版社"</f>
        <v>科学出版社</v>
      </c>
      <c r="E242" s="8" t="str">
        <f>"K928.2/11"</f>
        <v>K928.2/11</v>
      </c>
    </row>
    <row r="243" spans="1:5" ht="21.95" customHeight="1">
      <c r="A243" s="6" t="str">
        <f>"978-7-5473-1262-9"</f>
        <v>978-7-5473-1262-9</v>
      </c>
      <c r="B243" s="7" t="str">
        <f>"遗珠拾粹：中国古城古镇古村踏察．一"</f>
        <v>遗珠拾粹：中国古城古镇古村踏察．一</v>
      </c>
      <c r="C243" s="8" t="str">
        <f>"阮仪三主编"</f>
        <v>阮仪三主编</v>
      </c>
      <c r="D243" s="8" t="str">
        <f>"东方出版中心"</f>
        <v>东方出版中心</v>
      </c>
      <c r="E243" s="8" t="str">
        <f>"K928.5/67/1=2D"</f>
        <v>K928.5/67/1=2D</v>
      </c>
    </row>
    <row r="244" spans="1:5" ht="21.95" customHeight="1">
      <c r="A244" s="6" t="str">
        <f>"978-7-5473-1263-6"</f>
        <v>978-7-5473-1263-6</v>
      </c>
      <c r="B244" s="7" t="str">
        <f>"遗珠拾粹：中国古城古镇古村踏察．二"</f>
        <v>遗珠拾粹：中国古城古镇古村踏察．二</v>
      </c>
      <c r="C244" s="8" t="str">
        <f>"阮仪三主编"</f>
        <v>阮仪三主编</v>
      </c>
      <c r="D244" s="8" t="str">
        <f>"东方出版中心"</f>
        <v>东方出版中心</v>
      </c>
      <c r="E244" s="8" t="str">
        <f>"K928.5/67/2=2D"</f>
        <v>K928.5/67/2=2D</v>
      </c>
    </row>
    <row r="245" spans="1:5" ht="21.95" customHeight="1">
      <c r="A245" s="6" t="str">
        <f>"978-7-308-17647-7"</f>
        <v>978-7-308-17647-7</v>
      </c>
      <c r="B245" s="7" t="str">
        <f>"丝路小史．海丝卷：被世界改变， 也改变着世界"</f>
        <v>丝路小史．海丝卷：被世界改变， 也改变着世界</v>
      </c>
      <c r="C245" s="8" t="str">
        <f>"郭晔旻著"</f>
        <v>郭晔旻著</v>
      </c>
      <c r="D245" s="8" t="str">
        <f>"浙江大学出版社"</f>
        <v>浙江大学出版社</v>
      </c>
      <c r="E245" s="8" t="str">
        <f>"K928.6/27"</f>
        <v>K928.6/27</v>
      </c>
    </row>
    <row r="246" spans="1:5" ht="21.95" customHeight="1">
      <c r="A246" s="6" t="str">
        <f>"978-7-5032-5797-1"</f>
        <v>978-7-5032-5797-1</v>
      </c>
      <c r="B246" s="7" t="str">
        <f>"中国自助游"</f>
        <v>中国自助游</v>
      </c>
      <c r="C246" s="8" t="str">
        <f>"《中国自助游》编写组编著"</f>
        <v>《中国自助游》编写组编著</v>
      </c>
      <c r="D246" s="8" t="str">
        <f>"中国旅游出版社"</f>
        <v>中国旅游出版社</v>
      </c>
      <c r="E246" s="8" t="str">
        <f>"K928.9/291=6D"</f>
        <v>K928.9/291=6D</v>
      </c>
    </row>
    <row r="247" spans="1:5" ht="21.95" customHeight="1">
      <c r="A247" s="6" t="str">
        <f>"978-7-5032-5883-1"</f>
        <v>978-7-5032-5883-1</v>
      </c>
      <c r="B247" s="7" t="str">
        <f>"中国自驾游"</f>
        <v>中国自驾游</v>
      </c>
      <c r="C247" s="8" t="str">
        <f>"《中国自驾》 (地图版) 编写组编著"</f>
        <v>《中国自驾》 (地图版) 编写组编著</v>
      </c>
      <c r="D247" s="8" t="str">
        <f>"中国旅游出版社"</f>
        <v>中国旅游出版社</v>
      </c>
      <c r="E247" s="8" t="str">
        <f>"K928.9/292=8D"</f>
        <v>K928.9/292=8D</v>
      </c>
    </row>
    <row r="248" spans="1:5" ht="21.95" customHeight="1">
      <c r="A248" s="6" t="str">
        <f>"978-7-5394-9264-3"</f>
        <v>978-7-5394-9264-3</v>
      </c>
      <c r="B248" s="7" t="str">
        <f>"字绘台湾"</f>
        <v>字绘台湾</v>
      </c>
      <c r="C248" s="8" t="str">
        <f>"徐郑冰， 陈历渝， 沈娟著"</f>
        <v>徐郑冰， 陈历渝， 沈娟著</v>
      </c>
      <c r="D248" s="8" t="str">
        <f>"湖北美术出版社"</f>
        <v>湖北美术出版社</v>
      </c>
      <c r="E248" s="8" t="str">
        <f>"K928.958/27"</f>
        <v>K928.958/27</v>
      </c>
    </row>
    <row r="249" spans="1:5" ht="21.95" customHeight="1">
      <c r="A249" s="6" t="str">
        <f>"978-7-5096-5261-9"</f>
        <v>978-7-5096-5261-9</v>
      </c>
      <c r="B249" s="7" t="str">
        <f>"阿拉伯国家概况"</f>
        <v>阿拉伯国家概况</v>
      </c>
      <c r="C249" s="8" t="str">
        <f>"王瑛等著"</f>
        <v>王瑛等著</v>
      </c>
      <c r="D249" s="8" t="str">
        <f>"经济管理出版社"</f>
        <v>经济管理出版社</v>
      </c>
      <c r="E249" s="8" t="str">
        <f>"K937.1/4"</f>
        <v>K937.1/4</v>
      </c>
    </row>
    <row r="250" spans="1:5" ht="21.95" customHeight="1">
      <c r="A250" s="6" t="str">
        <f>"978-7-5459-1430-6"</f>
        <v>978-7-5459-1430-6</v>
      </c>
      <c r="B250" s="7" t="str">
        <f>"不艺术，不法国"</f>
        <v>不艺术，不法国</v>
      </c>
      <c r="C250" s="8" t="str">
        <f>"杜一雄著"</f>
        <v>杜一雄著</v>
      </c>
      <c r="D250" s="8" t="str">
        <f>"鹭江出版社"</f>
        <v>鹭江出版社</v>
      </c>
      <c r="E250" s="8" t="str">
        <f>"K956.59/319"</f>
        <v>K956.59/319</v>
      </c>
    </row>
    <row r="251" spans="1:5" ht="21.95" customHeight="1">
      <c r="A251" s="6" t="str">
        <f>"978-7-5032-6010-0"</f>
        <v>978-7-5032-6010-0</v>
      </c>
      <c r="B251" s="7" t="str">
        <f>"4200公里的行走：徒步太平洋山脊小道"</f>
        <v>4200公里的行走：徒步太平洋山脊小道</v>
      </c>
      <c r="C251" s="8" t="str">
        <f>"田禾著"</f>
        <v>田禾著</v>
      </c>
      <c r="D251" s="8" t="str">
        <f>"中国旅游出版社"</f>
        <v>中国旅游出版社</v>
      </c>
      <c r="E251" s="8" t="str">
        <f>"K971.29/42"</f>
        <v>K971.29/42</v>
      </c>
    </row>
    <row r="252" spans="1:5" ht="21.95" customHeight="1">
      <c r="A252" s="6" t="str">
        <f>"978-7-5031-7256-4"</f>
        <v>978-7-5031-7256-4</v>
      </c>
      <c r="B252" s="7" t="str">
        <f>"世界地图集：大字版"</f>
        <v>世界地图集：大字版</v>
      </c>
      <c r="C252" s="8" t="str">
        <f>"李安强主编"</f>
        <v>李安强主编</v>
      </c>
      <c r="D252" s="8" t="str">
        <f>"中国地图出版社"</f>
        <v>中国地图出版社</v>
      </c>
      <c r="E252" s="8" t="str">
        <f>"K991/16=2D"</f>
        <v>K991/16=2D</v>
      </c>
    </row>
    <row r="253" spans="1:5" ht="21.95" customHeight="1">
      <c r="A253" s="6" t="str">
        <f>"978-7-121-28360-4"</f>
        <v>978-7-121-28360-4</v>
      </c>
      <c r="B253" s="7" t="str">
        <f>"世界人文地图趣史"</f>
        <v>世界人文地图趣史</v>
      </c>
      <c r="C253" s="8" t="str">
        <f>"(英) 安妮·鲁尼著"</f>
        <v>(英) 安妮·鲁尼著</v>
      </c>
      <c r="D253" s="8" t="str">
        <f>"电子工业出版社"</f>
        <v>电子工业出版社</v>
      </c>
      <c r="E253" s="8" t="str">
        <f>"K991/17"</f>
        <v>K991/17</v>
      </c>
    </row>
    <row r="254" spans="1:5" ht="21.95" customHeight="1">
      <c r="A254" s="6" t="str">
        <f>"978-7-5031-7343-1"</f>
        <v>978-7-5031-7343-1</v>
      </c>
      <c r="B254" s="7" t="str">
        <f>"中国地图集：大字版"</f>
        <v>中国地图集：大字版</v>
      </c>
      <c r="C254" s="8" t="str">
        <f>"杜秀荣， 晋淑兰主编"</f>
        <v>杜秀荣， 晋淑兰主编</v>
      </c>
      <c r="D254" s="8" t="str">
        <f>"中国地图出版社"</f>
        <v>中国地图出版社</v>
      </c>
      <c r="E254" s="8" t="str">
        <f>"K992/26=2D"</f>
        <v>K992/26=2D</v>
      </c>
    </row>
  </sheetData>
  <phoneticPr fontId="1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0"/>
  <sheetViews>
    <sheetView workbookViewId="0">
      <selection activeCell="C21" sqref="C21"/>
    </sheetView>
  </sheetViews>
  <sheetFormatPr defaultRowHeight="13.5"/>
  <cols>
    <col min="1" max="1" width="19.875" customWidth="1"/>
    <col min="2" max="2" width="43.25" customWidth="1"/>
    <col min="3" max="3" width="28.25" customWidth="1"/>
    <col min="4" max="4" width="25" customWidth="1"/>
    <col min="5" max="5" width="16.625" customWidth="1"/>
  </cols>
  <sheetData>
    <row r="1" spans="1:5" ht="27" customHeight="1">
      <c r="A1" s="4" t="str">
        <f>"ISBN"</f>
        <v>ISBN</v>
      </c>
      <c r="B1" s="5" t="str">
        <f>"题名"</f>
        <v>题名</v>
      </c>
      <c r="C1" s="4" t="str">
        <f>"责任者"</f>
        <v>责任者</v>
      </c>
      <c r="D1" s="4" t="str">
        <f>"出版社"</f>
        <v>出版社</v>
      </c>
      <c r="E1" s="4" t="str">
        <f>"索书号"</f>
        <v>索书号</v>
      </c>
    </row>
    <row r="2" spans="1:5" ht="21.95" customHeight="1">
      <c r="A2" s="6" t="str">
        <f>"978-7-115-47994-5"</f>
        <v>978-7-115-47994-5</v>
      </c>
      <c r="B2" s="7" t="str">
        <f>"奇妙数学史：数字与生活"</f>
        <v>奇妙数学史：数字与生活</v>
      </c>
      <c r="C2" s="8" t="str">
        <f>"(英) 汤姆·杰克逊著"</f>
        <v>(英) 汤姆·杰克逊著</v>
      </c>
      <c r="D2" s="8" t="str">
        <f>"人民邮电出版社"</f>
        <v>人民邮电出版社</v>
      </c>
      <c r="E2" s="8" t="str">
        <f>"O11-49/6"</f>
        <v>O11-49/6</v>
      </c>
    </row>
    <row r="3" spans="1:5" ht="21.95" customHeight="1">
      <c r="A3" s="6" t="str">
        <f>"978-7-121-33053-7"</f>
        <v>978-7-121-33053-7</v>
      </c>
      <c r="B3" s="7" t="str">
        <f>"地理空间大数据开发利用"</f>
        <v>地理空间大数据开发利用</v>
      </c>
      <c r="C3" s="8" t="str">
        <f>"程晓波著"</f>
        <v>程晓波著</v>
      </c>
      <c r="D3" s="8" t="str">
        <f>"电子工业出版社"</f>
        <v>电子工业出版社</v>
      </c>
      <c r="E3" s="8" t="str">
        <f>"P208/59"</f>
        <v>P208/59</v>
      </c>
    </row>
    <row r="4" spans="1:5" ht="21.95" customHeight="1">
      <c r="A4" s="6" t="str">
        <f>"978-7-03-053021-9"</f>
        <v>978-7-03-053021-9</v>
      </c>
      <c r="B4" s="7" t="str">
        <f>"局部解剖学实习指导"</f>
        <v>局部解剖学实习指导</v>
      </c>
      <c r="C4" s="8" t="str">
        <f>"主编刘凤霞， 陈胜国"</f>
        <v>主编刘凤霞， 陈胜国</v>
      </c>
      <c r="D4" s="8" t="str">
        <f>"科学出版社"</f>
        <v>科学出版社</v>
      </c>
      <c r="E4" s="8" t="str">
        <f>"R323/1"</f>
        <v>R323/1</v>
      </c>
    </row>
    <row r="5" spans="1:5" ht="21.95" customHeight="1">
      <c r="A5" s="6" t="str">
        <f>"978-7-121-33363-7"</f>
        <v>978-7-121-33363-7</v>
      </c>
      <c r="B5" s="7" t="str">
        <f>"人体与大脑"</f>
        <v>人体与大脑</v>
      </c>
      <c r="C5" s="8" t="str">
        <f>"(美)《科学新闻》杂志社编著"</f>
        <v>(美)《科学新闻》杂志社编著</v>
      </c>
      <c r="D5" s="8" t="str">
        <f>"电子工业出版社"</f>
        <v>电子工业出版社</v>
      </c>
      <c r="E5" s="8" t="str">
        <f>"R32-49/23"</f>
        <v>R32-49/23</v>
      </c>
    </row>
    <row r="6" spans="1:5" ht="52.5" customHeight="1">
      <c r="A6" s="6" t="str">
        <f>"978-7-5086-7826-9"</f>
        <v>978-7-5086-7826-9</v>
      </c>
      <c r="B6" s="7" t="str">
        <f>"人类的终极命运：从旧石器时代到人工智能的未来：savior or destroyer? the history and future of artificial intelligence"</f>
        <v>人类的终极命运：从旧石器时代到人工智能的未来：savior or destroyer? the history and future of artificial intelligence</v>
      </c>
      <c r="C6" s="8" t="str">
        <f>"(英) 乔治·扎卡达基斯著"</f>
        <v>(英) 乔治·扎卡达基斯著</v>
      </c>
      <c r="D6" s="8" t="str">
        <f>"中信出版集团股份有限公司"</f>
        <v>中信出版集团股份有限公司</v>
      </c>
      <c r="E6" s="8" t="str">
        <f>"TP18/61"</f>
        <v>TP18/61</v>
      </c>
    </row>
    <row r="7" spans="1:5" ht="21.95" customHeight="1">
      <c r="A7" s="6" t="str">
        <f>"978-7-121-31319-6"</f>
        <v>978-7-121-31319-6</v>
      </c>
      <c r="B7" s="7" t="str">
        <f>"Python机器学习算法"</f>
        <v>Python机器学习算法</v>
      </c>
      <c r="C7" s="8" t="str">
        <f>"赵志勇著"</f>
        <v>赵志勇著</v>
      </c>
      <c r="D7" s="8" t="str">
        <f>"电子工业出版社"</f>
        <v>电子工业出版社</v>
      </c>
      <c r="E7" s="8" t="str">
        <f>"TP311.561/12"</f>
        <v>TP311.561/12</v>
      </c>
    </row>
    <row r="8" spans="1:5" ht="21.95" customHeight="1">
      <c r="A8" s="6" t="str">
        <f>"978-7-5086-2511-9"</f>
        <v>978-7-5086-2511-9</v>
      </c>
      <c r="B8" s="7" t="str">
        <f>"粗糙食堂"</f>
        <v>粗糙食堂</v>
      </c>
      <c r="C8" s="8" t="str">
        <f>"莲小兔著绘"</f>
        <v>莲小兔著绘</v>
      </c>
      <c r="D8" s="8" t="str">
        <f>"中信出版集团股份有限公司"</f>
        <v>中信出版集团股份有限公司</v>
      </c>
      <c r="E8" s="8" t="str">
        <f>"TS972.12/139"</f>
        <v>TS972.12/139</v>
      </c>
    </row>
    <row r="9" spans="1:5" ht="21.95" customHeight="1">
      <c r="A9" s="6" t="str">
        <f>"978-7-5086-8298-3"</f>
        <v>978-7-5086-8298-3</v>
      </c>
      <c r="B9" s="7" t="str">
        <f>"建造属于自己的世界"</f>
        <v>建造属于自己的世界</v>
      </c>
      <c r="C9" s="8" t="str">
        <f>"Lens，(日)安藤忠雄著"</f>
        <v>Lens，(日)安藤忠雄著</v>
      </c>
      <c r="D9" s="8" t="str">
        <f>"中信出版集团股份有限公司"</f>
        <v>中信出版集团股份有限公司</v>
      </c>
      <c r="E9" s="8" t="str">
        <f>"TU206/193"</f>
        <v>TU206/193</v>
      </c>
    </row>
    <row r="10" spans="1:5" ht="45.75" customHeight="1">
      <c r="A10" s="6" t="str">
        <f>"978-7-5086-7051-5"</f>
        <v>978-7-5086-7051-5</v>
      </c>
      <c r="B10" s="7" t="str">
        <f>"极简科学史：人类探索世界和自我的2500年：from the writings of aristotle to the big bang theory susan wise bauer"</f>
        <v>极简科学史：人类探索世界和自我的2500年：from the writings of aristotle to the big bang theory susan wise bauer</v>
      </c>
      <c r="C10" s="8" t="str">
        <f>"(美) 苏珊·怀斯·鲍尔著"</f>
        <v>(美) 苏珊·怀斯·鲍尔著</v>
      </c>
      <c r="D10" s="8" t="str">
        <f>"中信出版集团股份有限公司"</f>
        <v>中信出版集团股份有限公司</v>
      </c>
      <c r="E10" s="8" t="str">
        <f>"Z228/786"</f>
        <v>Z228/786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B、C、D、E类</vt:lpstr>
      <vt:lpstr>F类</vt:lpstr>
      <vt:lpstr>G、H</vt:lpstr>
      <vt:lpstr>I</vt:lpstr>
      <vt:lpstr>J、K</vt:lpstr>
      <vt:lpstr>其他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2018-08-30T07:47:18Z</dcterms:modified>
</cp:coreProperties>
</file>